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C Product Reports/06 2018 PR/"/>
    </mc:Choice>
  </mc:AlternateContent>
  <xr:revisionPtr revIDLastSave="0" documentId="13_ncr:1_{F106444E-EFD2-244D-AFB2-B61A2F9B5F3C}" xr6:coauthVersionLast="34" xr6:coauthVersionMax="34" xr10:uidLastSave="{00000000-0000-0000-0000-000000000000}"/>
  <bookViews>
    <workbookView xWindow="0" yWindow="460" windowWidth="28800" windowHeight="17540" xr2:uid="{00000000-000D-0000-FFFF-FFFF00000000}"/>
  </bookViews>
  <sheets>
    <sheet name="Outputs" sheetId="1" r:id="rId1"/>
    <sheet name="Inputs" sheetId="2" r:id="rId2"/>
    <sheet name="Raw Data" sheetId="3" r:id="rId3"/>
    <sheet name="&gt;&gt;" sheetId="4" r:id="rId4"/>
    <sheet name="Daily Free Value" sheetId="5" r:id="rId5"/>
    <sheet name="Default Bet Tuning" sheetId="6" r:id="rId6"/>
    <sheet name="New User Balance" sheetId="7" r:id="rId7"/>
    <sheet name="Minimum Bet Tuning" sheetId="8" r:id="rId8"/>
    <sheet name="Currency Conversion" sheetId="9" r:id="rId9"/>
  </sheets>
  <definedNames>
    <definedName name="_xlnm._FilterDatabase" localSheetId="0" hidden="1">Outputs!$A$8:$N$58</definedName>
  </definedNames>
  <calcPr calcId="179017"/>
</workbook>
</file>

<file path=xl/calcChain.xml><?xml version="1.0" encoding="utf-8"?>
<calcChain xmlns="http://schemas.openxmlformats.org/spreadsheetml/2006/main">
  <c r="P16" i="3" l="1"/>
  <c r="P58" i="3"/>
  <c r="P59" i="3"/>
  <c r="AM59" i="3"/>
  <c r="P60" i="3"/>
  <c r="AM60" i="3"/>
  <c r="P61" i="3"/>
  <c r="P62" i="3"/>
  <c r="P63" i="3"/>
  <c r="P64" i="3"/>
  <c r="P65" i="3"/>
  <c r="P66" i="3"/>
  <c r="AS66" i="3"/>
  <c r="AS67" i="3" s="1"/>
  <c r="AS68" i="3" s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AN53" i="3"/>
  <c r="AN54" i="3" s="1"/>
  <c r="AK53" i="3"/>
  <c r="AK54" i="3" s="1"/>
  <c r="AN49" i="3"/>
  <c r="AL49" i="3"/>
  <c r="AK49" i="3"/>
  <c r="AD49" i="3"/>
  <c r="B49" i="3"/>
  <c r="AX44" i="3"/>
  <c r="AV44" i="3"/>
  <c r="AU44" i="3"/>
  <c r="AT44" i="3"/>
  <c r="AR44" i="3"/>
  <c r="AP44" i="3"/>
  <c r="AO44" i="3"/>
  <c r="AN44" i="3"/>
  <c r="AM44" i="3"/>
  <c r="AL44" i="3"/>
  <c r="AK44" i="3"/>
  <c r="AF44" i="3"/>
  <c r="AE44" i="3"/>
  <c r="AD44" i="3"/>
  <c r="V44" i="3"/>
  <c r="V39" i="3" s="1"/>
  <c r="R44" i="3"/>
  <c r="B44" i="3"/>
  <c r="T33" i="3"/>
  <c r="D33" i="3"/>
  <c r="I10" i="3"/>
  <c r="I9" i="3"/>
  <c r="I8" i="3"/>
  <c r="I7" i="3"/>
  <c r="AZ61" i="2"/>
  <c r="AY61" i="2"/>
  <c r="AX61" i="2"/>
  <c r="AW61" i="2"/>
  <c r="AV61" i="2"/>
  <c r="AU61" i="2"/>
  <c r="AT61" i="2"/>
  <c r="AS61" i="2"/>
  <c r="AR61" i="2"/>
  <c r="AQ61" i="2"/>
  <c r="AP61" i="2"/>
  <c r="AO61" i="2"/>
  <c r="AK61" i="2"/>
  <c r="AJ61" i="2"/>
  <c r="AI61" i="2"/>
  <c r="AH61" i="2"/>
  <c r="AD61" i="2"/>
  <c r="AC61" i="2"/>
  <c r="AB61" i="2"/>
  <c r="AA61" i="2"/>
  <c r="Z61" i="2"/>
  <c r="Y61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K60" i="2"/>
  <c r="AJ60" i="2"/>
  <c r="AI60" i="2"/>
  <c r="AH60" i="2"/>
  <c r="AD60" i="2"/>
  <c r="AC60" i="2"/>
  <c r="AB60" i="2"/>
  <c r="AA60" i="2"/>
  <c r="Z60" i="2"/>
  <c r="Y60" i="2"/>
  <c r="X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Z55" i="2"/>
  <c r="AX55" i="2"/>
  <c r="AT55" i="2"/>
  <c r="AR55" i="2"/>
  <c r="AK55" i="2"/>
  <c r="AJ55" i="2"/>
  <c r="AI55" i="2"/>
  <c r="AH55" i="2"/>
  <c r="AD55" i="2"/>
  <c r="AC55" i="2"/>
  <c r="AB55" i="2"/>
  <c r="AA55" i="2"/>
  <c r="Z55" i="2"/>
  <c r="Y55" i="2"/>
  <c r="X55" i="2"/>
  <c r="V55" i="2"/>
  <c r="U55" i="2"/>
  <c r="T55" i="2"/>
  <c r="S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Z54" i="2"/>
  <c r="AX54" i="2"/>
  <c r="AT54" i="2"/>
  <c r="AR54" i="2"/>
  <c r="AK54" i="2"/>
  <c r="AJ54" i="2"/>
  <c r="AI54" i="2"/>
  <c r="AH54" i="2"/>
  <c r="AD54" i="2"/>
  <c r="AC54" i="2"/>
  <c r="AB54" i="2"/>
  <c r="AA54" i="2"/>
  <c r="Z54" i="2"/>
  <c r="Y54" i="2"/>
  <c r="X54" i="2"/>
  <c r="V54" i="2"/>
  <c r="U54" i="2"/>
  <c r="T54" i="2"/>
  <c r="S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T52" i="2"/>
  <c r="AO52" i="2"/>
  <c r="AP51" i="2"/>
  <c r="AZ49" i="2"/>
  <c r="AZ52" i="2" s="1"/>
  <c r="AY49" i="2"/>
  <c r="AY6" i="2" s="1"/>
  <c r="AX49" i="2"/>
  <c r="AW34" i="3" s="1"/>
  <c r="AW49" i="2"/>
  <c r="AW52" i="2" s="1"/>
  <c r="AV49" i="2"/>
  <c r="AU49" i="2"/>
  <c r="AU58" i="2" s="1"/>
  <c r="AT49" i="2"/>
  <c r="AS34" i="3" s="1"/>
  <c r="AS49" i="2"/>
  <c r="AS57" i="2" s="1"/>
  <c r="AR49" i="2"/>
  <c r="AR32" i="2" s="1"/>
  <c r="AQ49" i="2"/>
  <c r="AQ6" i="2" s="1"/>
  <c r="AP49" i="2"/>
  <c r="AP52" i="2" s="1"/>
  <c r="AO49" i="2"/>
  <c r="AN49" i="2"/>
  <c r="AN6" i="2" s="1"/>
  <c r="AM49" i="2"/>
  <c r="AM58" i="3" s="1"/>
  <c r="AL49" i="2"/>
  <c r="AL58" i="2" s="1"/>
  <c r="AK49" i="2"/>
  <c r="AK57" i="2" s="1"/>
  <c r="AJ49" i="2"/>
  <c r="AI49" i="2"/>
  <c r="AH49" i="2"/>
  <c r="AG49" i="2"/>
  <c r="AG58" i="2" s="1"/>
  <c r="AF49" i="2"/>
  <c r="AE49" i="2"/>
  <c r="AE6" i="2" s="1"/>
  <c r="AD49" i="2"/>
  <c r="AC49" i="2"/>
  <c r="AB49" i="2"/>
  <c r="AA49" i="2"/>
  <c r="Z49" i="2"/>
  <c r="Y49" i="2"/>
  <c r="Y51" i="2" s="1"/>
  <c r="X49" i="2"/>
  <c r="W49" i="2"/>
  <c r="V49" i="2"/>
  <c r="V57" i="2" s="1"/>
  <c r="U49" i="2"/>
  <c r="U32" i="2" s="1"/>
  <c r="T49" i="2"/>
  <c r="S49" i="2"/>
  <c r="R49" i="2"/>
  <c r="Q49" i="2"/>
  <c r="Q57" i="2" s="1"/>
  <c r="P49" i="2"/>
  <c r="O49" i="2"/>
  <c r="O32" i="2" s="1"/>
  <c r="N49" i="2"/>
  <c r="M49" i="2"/>
  <c r="L49" i="2"/>
  <c r="K49" i="2"/>
  <c r="K32" i="2" s="1"/>
  <c r="J49" i="2"/>
  <c r="I49" i="2"/>
  <c r="I32" i="2" s="1"/>
  <c r="D35" i="1" s="1"/>
  <c r="H49" i="2"/>
  <c r="G49" i="2"/>
  <c r="G32" i="2" s="1"/>
  <c r="F49" i="2"/>
  <c r="E49" i="2"/>
  <c r="E57" i="2" s="1"/>
  <c r="D49" i="2"/>
  <c r="C49" i="2"/>
  <c r="C6" i="2" s="1"/>
  <c r="C32" i="2" s="1"/>
  <c r="D26" i="1" s="1"/>
  <c r="AX32" i="2"/>
  <c r="AT32" i="2"/>
  <c r="AI32" i="2"/>
  <c r="AH32" i="2"/>
  <c r="AD32" i="2"/>
  <c r="AC32" i="2"/>
  <c r="AA32" i="2"/>
  <c r="Z32" i="2"/>
  <c r="Y32" i="2"/>
  <c r="V32" i="2"/>
  <c r="S32" i="2"/>
  <c r="N32" i="2"/>
  <c r="M32" i="2"/>
  <c r="J32" i="2"/>
  <c r="F32" i="2"/>
  <c r="E32" i="2"/>
  <c r="AZ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G36" i="1" s="1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Z22" i="2"/>
  <c r="AY22" i="2"/>
  <c r="AY43" i="2" s="1"/>
  <c r="AY44" i="2" s="1"/>
  <c r="AX22" i="2"/>
  <c r="AW22" i="2"/>
  <c r="AV22" i="2"/>
  <c r="AU22" i="2"/>
  <c r="AU43" i="2" s="1"/>
  <c r="AU44" i="2" s="1"/>
  <c r="AT22" i="2"/>
  <c r="AS22" i="2"/>
  <c r="AR22" i="2"/>
  <c r="AQ22" i="2"/>
  <c r="AQ43" i="2" s="1"/>
  <c r="AQ44" i="2" s="1"/>
  <c r="AP22" i="2"/>
  <c r="AO22" i="2"/>
  <c r="AN22" i="2"/>
  <c r="AM22" i="2"/>
  <c r="AM43" i="2" s="1"/>
  <c r="AM44" i="2" s="1"/>
  <c r="AL22" i="2"/>
  <c r="AK22" i="2"/>
  <c r="AJ22" i="2"/>
  <c r="AI22" i="2"/>
  <c r="AI43" i="2" s="1"/>
  <c r="AI44" i="2" s="1"/>
  <c r="AH22" i="2"/>
  <c r="AG22" i="2"/>
  <c r="AF22" i="2"/>
  <c r="AE22" i="2"/>
  <c r="AE43" i="2" s="1"/>
  <c r="AE44" i="2" s="1"/>
  <c r="AD22" i="2"/>
  <c r="AC22" i="2"/>
  <c r="AB22" i="2"/>
  <c r="AA22" i="2"/>
  <c r="AA43" i="2" s="1"/>
  <c r="AA44" i="2" s="1"/>
  <c r="Z22" i="2"/>
  <c r="Y22" i="2"/>
  <c r="X22" i="2"/>
  <c r="W22" i="2"/>
  <c r="W43" i="2" s="1"/>
  <c r="W44" i="2" s="1"/>
  <c r="V22" i="2"/>
  <c r="U22" i="2"/>
  <c r="T22" i="2"/>
  <c r="S22" i="2"/>
  <c r="S43" i="2" s="1"/>
  <c r="S44" i="2" s="1"/>
  <c r="R22" i="2"/>
  <c r="Q22" i="2"/>
  <c r="P22" i="2"/>
  <c r="O22" i="2"/>
  <c r="O43" i="2" s="1"/>
  <c r="O44" i="2" s="1"/>
  <c r="N22" i="2"/>
  <c r="M22" i="2"/>
  <c r="L22" i="2"/>
  <c r="K22" i="2"/>
  <c r="K43" i="2" s="1"/>
  <c r="K44" i="2" s="1"/>
  <c r="J22" i="2"/>
  <c r="I22" i="2"/>
  <c r="H22" i="2"/>
  <c r="G22" i="2"/>
  <c r="G43" i="2" s="1"/>
  <c r="G44" i="2" s="1"/>
  <c r="F22" i="2"/>
  <c r="E22" i="2"/>
  <c r="D22" i="2"/>
  <c r="C22" i="2"/>
  <c r="C43" i="2" s="1"/>
  <c r="C44" i="2" s="1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Z18" i="2"/>
  <c r="AZ40" i="2" s="1"/>
  <c r="AY18" i="2"/>
  <c r="AY40" i="2" s="1"/>
  <c r="AY41" i="2" s="1"/>
  <c r="AX18" i="2"/>
  <c r="AW18" i="2"/>
  <c r="AW40" i="2" s="1"/>
  <c r="AW41" i="2" s="1"/>
  <c r="AV18" i="2"/>
  <c r="AU18" i="2"/>
  <c r="AU40" i="2" s="1"/>
  <c r="AU41" i="2" s="1"/>
  <c r="AS18" i="2"/>
  <c r="AR18" i="2"/>
  <c r="AQ18" i="2"/>
  <c r="AP18" i="2"/>
  <c r="AO18" i="2"/>
  <c r="AN18" i="2"/>
  <c r="AM18" i="2"/>
  <c r="AL18" i="2"/>
  <c r="AK18" i="2"/>
  <c r="AI18" i="2"/>
  <c r="AH18" i="2"/>
  <c r="AG18" i="2"/>
  <c r="AF18" i="2"/>
  <c r="AF40" i="2" s="1"/>
  <c r="AD18" i="2"/>
  <c r="AC18" i="2"/>
  <c r="AB18" i="2"/>
  <c r="AA18" i="2"/>
  <c r="Z18" i="2"/>
  <c r="X18" i="2"/>
  <c r="X40" i="2" s="1"/>
  <c r="W18" i="2"/>
  <c r="U18" i="2"/>
  <c r="T18" i="2"/>
  <c r="S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T17" i="2"/>
  <c r="AT18" i="2" s="1"/>
  <c r="AJ17" i="2"/>
  <c r="AJ18" i="2" s="1"/>
  <c r="AE17" i="2"/>
  <c r="AE18" i="2" s="1"/>
  <c r="Y17" i="2"/>
  <c r="Y18" i="2" s="1"/>
  <c r="Y40" i="2" s="1"/>
  <c r="Y41" i="2" s="1"/>
  <c r="V17" i="2"/>
  <c r="V18" i="2" s="1"/>
  <c r="R17" i="2"/>
  <c r="R18" i="2" s="1"/>
  <c r="AZ15" i="2"/>
  <c r="AY15" i="2"/>
  <c r="AX15" i="2"/>
  <c r="AW15" i="2"/>
  <c r="AV15" i="2"/>
  <c r="AU15" i="2"/>
  <c r="AT15" i="2"/>
  <c r="AS11" i="2"/>
  <c r="AR15" i="2"/>
  <c r="AQ15" i="2"/>
  <c r="AP15" i="2"/>
  <c r="AN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Y14" i="2"/>
  <c r="AX14" i="2"/>
  <c r="AW14" i="2"/>
  <c r="AW37" i="2" s="1"/>
  <c r="AW38" i="2" s="1"/>
  <c r="AV14" i="2"/>
  <c r="AU14" i="2"/>
  <c r="AQ14" i="2"/>
  <c r="AP14" i="2"/>
  <c r="AO14" i="2"/>
  <c r="AN14" i="2"/>
  <c r="AM14" i="2"/>
  <c r="AL14" i="2"/>
  <c r="AK14" i="2"/>
  <c r="AH14" i="2"/>
  <c r="AF14" i="2"/>
  <c r="AE14" i="2"/>
  <c r="AE37" i="2" s="1"/>
  <c r="AE38" i="2" s="1"/>
  <c r="AB14" i="2"/>
  <c r="AA14" i="2"/>
  <c r="Y14" i="2"/>
  <c r="X14" i="2"/>
  <c r="W14" i="2"/>
  <c r="V14" i="2"/>
  <c r="U14" i="2"/>
  <c r="T14" i="2"/>
  <c r="S14" i="2"/>
  <c r="R14" i="2"/>
  <c r="Q14" i="2"/>
  <c r="P14" i="2"/>
  <c r="P37" i="2" s="1"/>
  <c r="O14" i="2"/>
  <c r="N14" i="2"/>
  <c r="M14" i="2"/>
  <c r="K14" i="2"/>
  <c r="J14" i="2"/>
  <c r="I14" i="2"/>
  <c r="H14" i="2"/>
  <c r="F14" i="2"/>
  <c r="F37" i="2" s="1"/>
  <c r="F38" i="2" s="1"/>
  <c r="E14" i="2"/>
  <c r="D14" i="2"/>
  <c r="C14" i="2"/>
  <c r="AZ13" i="2"/>
  <c r="AZ14" i="2" s="1"/>
  <c r="AT13" i="2"/>
  <c r="AT14" i="2" s="1"/>
  <c r="AT37" i="2" s="1"/>
  <c r="AS14" i="2"/>
  <c r="AS37" i="2" s="1"/>
  <c r="AR13" i="2"/>
  <c r="AR14" i="2" s="1"/>
  <c r="AR37" i="2" s="1"/>
  <c r="AJ13" i="2"/>
  <c r="AJ14" i="2" s="1"/>
  <c r="AI13" i="2"/>
  <c r="AI14" i="2" s="1"/>
  <c r="AG13" i="2"/>
  <c r="AG14" i="2" s="1"/>
  <c r="AD13" i="2"/>
  <c r="AD14" i="2" s="1"/>
  <c r="AC13" i="2"/>
  <c r="AC14" i="2" s="1"/>
  <c r="Z13" i="2"/>
  <c r="Z14" i="2" s="1"/>
  <c r="L13" i="2"/>
  <c r="L14" i="2" s="1"/>
  <c r="G13" i="2"/>
  <c r="G14" i="2" s="1"/>
  <c r="AZ11" i="2"/>
  <c r="AX11" i="2"/>
  <c r="AW11" i="2"/>
  <c r="AV11" i="2"/>
  <c r="AU11" i="2"/>
  <c r="AT11" i="2"/>
  <c r="AR11" i="2"/>
  <c r="AQ11" i="2"/>
  <c r="AO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I11" i="2"/>
  <c r="H11" i="2"/>
  <c r="G11" i="2"/>
  <c r="F11" i="2"/>
  <c r="E11" i="2"/>
  <c r="D11" i="2"/>
  <c r="C11" i="2"/>
  <c r="AZ10" i="2"/>
  <c r="AY10" i="2"/>
  <c r="AX10" i="2"/>
  <c r="AW10" i="2"/>
  <c r="AV10" i="2"/>
  <c r="AU10" i="2"/>
  <c r="AU34" i="2" s="1"/>
  <c r="AT10" i="2"/>
  <c r="AT34" i="2" s="1"/>
  <c r="AQ10" i="2"/>
  <c r="AP10" i="2"/>
  <c r="AM10" i="2"/>
  <c r="AL10" i="2"/>
  <c r="AK10" i="2"/>
  <c r="AI10" i="2"/>
  <c r="AI34" i="2" s="1"/>
  <c r="AH10" i="2"/>
  <c r="AH34" i="2" s="1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I34" i="2" s="1"/>
  <c r="H10" i="2"/>
  <c r="G10" i="2"/>
  <c r="F10" i="2"/>
  <c r="E10" i="2"/>
  <c r="E34" i="2" s="1"/>
  <c r="D10" i="2"/>
  <c r="C10" i="2"/>
  <c r="AS9" i="2"/>
  <c r="AS10" i="2" s="1"/>
  <c r="AS34" i="2" s="1"/>
  <c r="AR9" i="2"/>
  <c r="AR10" i="2" s="1"/>
  <c r="AR34" i="2" s="1"/>
  <c r="AO9" i="2"/>
  <c r="AO10" i="2" s="1"/>
  <c r="AN9" i="2"/>
  <c r="AN10" i="2" s="1"/>
  <c r="AJ9" i="2"/>
  <c r="AJ10" i="2" s="1"/>
  <c r="AG9" i="2"/>
  <c r="AG10" i="2" s="1"/>
  <c r="AN7" i="2"/>
  <c r="AM7" i="2"/>
  <c r="AL7" i="2"/>
  <c r="AG7" i="2"/>
  <c r="AF7" i="2"/>
  <c r="AF61" i="2" s="1"/>
  <c r="AE7" i="2"/>
  <c r="W7" i="2"/>
  <c r="C7" i="2"/>
  <c r="AS6" i="2"/>
  <c r="AS32" i="2" s="1"/>
  <c r="AP6" i="2"/>
  <c r="W6" i="2"/>
  <c r="W32" i="2" s="1"/>
  <c r="D24" i="1" s="1"/>
  <c r="N36" i="1"/>
  <c r="M36" i="1"/>
  <c r="J36" i="1"/>
  <c r="F36" i="1"/>
  <c r="N27" i="1"/>
  <c r="M27" i="1"/>
  <c r="H27" i="1"/>
  <c r="N56" i="1"/>
  <c r="M56" i="1"/>
  <c r="I56" i="1"/>
  <c r="H56" i="1"/>
  <c r="D56" i="1"/>
  <c r="N55" i="1"/>
  <c r="M55" i="1"/>
  <c r="I55" i="1"/>
  <c r="H55" i="1"/>
  <c r="N54" i="1"/>
  <c r="M54" i="1"/>
  <c r="J54" i="1"/>
  <c r="I54" i="1"/>
  <c r="N53" i="1"/>
  <c r="M53" i="1"/>
  <c r="H53" i="1"/>
  <c r="N52" i="1"/>
  <c r="M52" i="1"/>
  <c r="I52" i="1"/>
  <c r="H52" i="1"/>
  <c r="N51" i="1"/>
  <c r="M51" i="1"/>
  <c r="J51" i="1"/>
  <c r="I51" i="1"/>
  <c r="N50" i="1"/>
  <c r="M50" i="1"/>
  <c r="J50" i="1"/>
  <c r="G50" i="1"/>
  <c r="F50" i="1"/>
  <c r="N49" i="1"/>
  <c r="M49" i="1"/>
  <c r="J49" i="1"/>
  <c r="N48" i="1"/>
  <c r="M48" i="1"/>
  <c r="J48" i="1"/>
  <c r="I48" i="1"/>
  <c r="N47" i="1"/>
  <c r="M47" i="1"/>
  <c r="J47" i="1"/>
  <c r="N46" i="1"/>
  <c r="M46" i="1"/>
  <c r="N45" i="1"/>
  <c r="M45" i="1"/>
  <c r="H45" i="1"/>
  <c r="N44" i="1"/>
  <c r="M44" i="1"/>
  <c r="L44" i="1"/>
  <c r="H44" i="1"/>
  <c r="N31" i="1"/>
  <c r="M31" i="1"/>
  <c r="K31" i="1"/>
  <c r="H31" i="1"/>
  <c r="G31" i="1"/>
  <c r="N21" i="1"/>
  <c r="M21" i="1"/>
  <c r="G21" i="1"/>
  <c r="N37" i="1"/>
  <c r="M37" i="1"/>
  <c r="H37" i="1"/>
  <c r="G37" i="1"/>
  <c r="N20" i="1"/>
  <c r="M20" i="1"/>
  <c r="H20" i="1"/>
  <c r="G20" i="1"/>
  <c r="N40" i="1"/>
  <c r="M40" i="1"/>
  <c r="N19" i="1"/>
  <c r="M19" i="1"/>
  <c r="N22" i="1"/>
  <c r="M22" i="1"/>
  <c r="H22" i="1"/>
  <c r="N25" i="1"/>
  <c r="M25" i="1"/>
  <c r="J25" i="1"/>
  <c r="H25" i="1"/>
  <c r="G25" i="1"/>
  <c r="F25" i="1"/>
  <c r="D25" i="1"/>
  <c r="N58" i="1"/>
  <c r="M58" i="1"/>
  <c r="J58" i="1"/>
  <c r="I58" i="1"/>
  <c r="H58" i="1"/>
  <c r="G58" i="1"/>
  <c r="F58" i="1"/>
  <c r="D58" i="1"/>
  <c r="N32" i="1"/>
  <c r="M32" i="1"/>
  <c r="J32" i="1"/>
  <c r="I32" i="1"/>
  <c r="G32" i="1"/>
  <c r="F32" i="1"/>
  <c r="N57" i="1"/>
  <c r="M57" i="1"/>
  <c r="J57" i="1"/>
  <c r="I57" i="1"/>
  <c r="H57" i="1"/>
  <c r="G57" i="1"/>
  <c r="F57" i="1"/>
  <c r="D57" i="1"/>
  <c r="N38" i="1"/>
  <c r="M38" i="1"/>
  <c r="J38" i="1"/>
  <c r="I38" i="1"/>
  <c r="H38" i="1"/>
  <c r="G38" i="1"/>
  <c r="F38" i="1"/>
  <c r="D38" i="1"/>
  <c r="N17" i="1"/>
  <c r="M17" i="1"/>
  <c r="J17" i="1"/>
  <c r="I17" i="1"/>
  <c r="H17" i="1"/>
  <c r="G17" i="1"/>
  <c r="F17" i="1"/>
  <c r="D17" i="1"/>
  <c r="N18" i="1"/>
  <c r="M18" i="1"/>
  <c r="J18" i="1"/>
  <c r="I18" i="1"/>
  <c r="G18" i="1"/>
  <c r="F18" i="1"/>
  <c r="N24" i="1"/>
  <c r="M24" i="1"/>
  <c r="H24" i="1"/>
  <c r="N34" i="1"/>
  <c r="M34" i="1"/>
  <c r="K34" i="1"/>
  <c r="J34" i="1"/>
  <c r="I34" i="1"/>
  <c r="H34" i="1"/>
  <c r="G34" i="1"/>
  <c r="F34" i="1"/>
  <c r="N11" i="1"/>
  <c r="M11" i="1"/>
  <c r="J11" i="1"/>
  <c r="H11" i="1"/>
  <c r="G11" i="1"/>
  <c r="F11" i="1"/>
  <c r="N33" i="1"/>
  <c r="M33" i="1"/>
  <c r="J33" i="1"/>
  <c r="I33" i="1"/>
  <c r="G33" i="1"/>
  <c r="F33" i="1"/>
  <c r="N14" i="1"/>
  <c r="M14" i="1"/>
  <c r="J14" i="1"/>
  <c r="I14" i="1"/>
  <c r="H14" i="1"/>
  <c r="G14" i="1"/>
  <c r="F14" i="1"/>
  <c r="N43" i="1"/>
  <c r="M43" i="1"/>
  <c r="J43" i="1"/>
  <c r="I43" i="1"/>
  <c r="H43" i="1"/>
  <c r="N12" i="1"/>
  <c r="M12" i="1"/>
  <c r="J12" i="1"/>
  <c r="I12" i="1"/>
  <c r="H12" i="1"/>
  <c r="G12" i="1"/>
  <c r="F12" i="1"/>
  <c r="N28" i="1"/>
  <c r="M28" i="1"/>
  <c r="J28" i="1"/>
  <c r="I28" i="1"/>
  <c r="H28" i="1"/>
  <c r="G28" i="1"/>
  <c r="F28" i="1"/>
  <c r="N41" i="1"/>
  <c r="M41" i="1"/>
  <c r="J41" i="1"/>
  <c r="I41" i="1"/>
  <c r="H41" i="1"/>
  <c r="G41" i="1"/>
  <c r="F41" i="1"/>
  <c r="D41" i="1"/>
  <c r="N13" i="1"/>
  <c r="M13" i="1"/>
  <c r="I13" i="1"/>
  <c r="H13" i="1"/>
  <c r="G13" i="1"/>
  <c r="F13" i="1"/>
  <c r="D13" i="1"/>
  <c r="N29" i="1"/>
  <c r="M29" i="1"/>
  <c r="J29" i="1"/>
  <c r="I29" i="1"/>
  <c r="H29" i="1"/>
  <c r="G29" i="1"/>
  <c r="F29" i="1"/>
  <c r="D29" i="1"/>
  <c r="N9" i="1"/>
  <c r="M9" i="1"/>
  <c r="J9" i="1"/>
  <c r="I9" i="1"/>
  <c r="G9" i="1"/>
  <c r="F9" i="1"/>
  <c r="N39" i="1"/>
  <c r="M39" i="1"/>
  <c r="J39" i="1"/>
  <c r="I39" i="1"/>
  <c r="H39" i="1"/>
  <c r="G39" i="1"/>
  <c r="F39" i="1"/>
  <c r="D39" i="1"/>
  <c r="N16" i="1"/>
  <c r="M16" i="1"/>
  <c r="J16" i="1"/>
  <c r="I16" i="1"/>
  <c r="H16" i="1"/>
  <c r="G16" i="1"/>
  <c r="F16" i="1"/>
  <c r="D16" i="1"/>
  <c r="N35" i="1"/>
  <c r="M35" i="1"/>
  <c r="J35" i="1"/>
  <c r="I35" i="1"/>
  <c r="H35" i="1"/>
  <c r="G35" i="1"/>
  <c r="F35" i="1"/>
  <c r="N42" i="1"/>
  <c r="M42" i="1"/>
  <c r="J42" i="1"/>
  <c r="I42" i="1"/>
  <c r="G42" i="1"/>
  <c r="F42" i="1"/>
  <c r="N30" i="1"/>
  <c r="M30" i="1"/>
  <c r="J30" i="1"/>
  <c r="I30" i="1"/>
  <c r="H30" i="1"/>
  <c r="G30" i="1"/>
  <c r="F30" i="1"/>
  <c r="D30" i="1"/>
  <c r="N15" i="1"/>
  <c r="M15" i="1"/>
  <c r="J15" i="1"/>
  <c r="I15" i="1"/>
  <c r="H15" i="1"/>
  <c r="G15" i="1"/>
  <c r="F15" i="1"/>
  <c r="D15" i="1"/>
  <c r="N10" i="1"/>
  <c r="M10" i="1"/>
  <c r="K10" i="1"/>
  <c r="J10" i="1"/>
  <c r="H10" i="1"/>
  <c r="G10" i="1"/>
  <c r="F10" i="1"/>
  <c r="N23" i="1"/>
  <c r="M23" i="1"/>
  <c r="J23" i="1"/>
  <c r="I23" i="1"/>
  <c r="G23" i="1"/>
  <c r="F23" i="1"/>
  <c r="N26" i="1"/>
  <c r="M26" i="1"/>
  <c r="H26" i="1"/>
  <c r="J8" i="1"/>
  <c r="I8" i="1"/>
  <c r="AJ40" i="2" l="1"/>
  <c r="AB40" i="2"/>
  <c r="AL40" i="2"/>
  <c r="AL41" i="2" s="1"/>
  <c r="AP40" i="2"/>
  <c r="AP41" i="2" s="1"/>
  <c r="J11" i="2"/>
  <c r="P83" i="3"/>
  <c r="AG34" i="2"/>
  <c r="M34" i="2"/>
  <c r="Q34" i="2"/>
  <c r="U34" i="2"/>
  <c r="Y34" i="2"/>
  <c r="AC34" i="2"/>
  <c r="AJ37" i="2"/>
  <c r="AZ37" i="2"/>
  <c r="AZ38" i="2" s="1"/>
  <c r="K37" i="2"/>
  <c r="K38" i="2" s="1"/>
  <c r="T37" i="2"/>
  <c r="X37" i="2"/>
  <c r="AP37" i="2"/>
  <c r="AP38" i="2" s="1"/>
  <c r="G40" i="2"/>
  <c r="G41" i="2" s="1"/>
  <c r="K40" i="2"/>
  <c r="K41" i="2" s="1"/>
  <c r="O40" i="2"/>
  <c r="O41" i="2" s="1"/>
  <c r="T40" i="2"/>
  <c r="T41" i="2" s="1"/>
  <c r="AN40" i="2"/>
  <c r="AR40" i="2"/>
  <c r="H37" i="2"/>
  <c r="Y37" i="2"/>
  <c r="Y38" i="2" s="1"/>
  <c r="D40" i="2"/>
  <c r="H40" i="2"/>
  <c r="H41" i="2" s="1"/>
  <c r="L40" i="2"/>
  <c r="P40" i="2"/>
  <c r="P41" i="2" s="1"/>
  <c r="U40" i="2"/>
  <c r="U41" i="2" s="1"/>
  <c r="AK40" i="2"/>
  <c r="AK41" i="2" s="1"/>
  <c r="AO40" i="2"/>
  <c r="AO41" i="2" s="1"/>
  <c r="AS40" i="2"/>
  <c r="AS41" i="2" s="1"/>
  <c r="D10" i="1"/>
  <c r="D34" i="1"/>
  <c r="D52" i="1"/>
  <c r="AM51" i="2"/>
  <c r="J13" i="1"/>
  <c r="AG6" i="2"/>
  <c r="AU6" i="2"/>
  <c r="AU32" i="2" s="1"/>
  <c r="D53" i="1" s="1"/>
  <c r="AG40" i="2"/>
  <c r="AG41" i="2" s="1"/>
  <c r="K12" i="1"/>
  <c r="D11" i="1"/>
  <c r="I51" i="2"/>
  <c r="I10" i="1"/>
  <c r="I11" i="1"/>
  <c r="I25" i="1"/>
  <c r="AL6" i="2"/>
  <c r="AO6" i="2"/>
  <c r="AO32" i="2" s="1"/>
  <c r="D47" i="1" s="1"/>
  <c r="AW6" i="2"/>
  <c r="AW32" i="2" s="1"/>
  <c r="AO34" i="2"/>
  <c r="AO35" i="2" s="1"/>
  <c r="AI37" i="2"/>
  <c r="AI38" i="2" s="1"/>
  <c r="J37" i="2"/>
  <c r="J38" i="2" s="1"/>
  <c r="S37" i="2"/>
  <c r="S38" i="2" s="1"/>
  <c r="W37" i="2"/>
  <c r="W38" i="2" s="1"/>
  <c r="F40" i="2"/>
  <c r="F41" i="2" s="1"/>
  <c r="J40" i="2"/>
  <c r="J41" i="2" s="1"/>
  <c r="N40" i="2"/>
  <c r="N41" i="2" s="1"/>
  <c r="S40" i="2"/>
  <c r="S41" i="2" s="1"/>
  <c r="AC40" i="2"/>
  <c r="AC41" i="2" s="1"/>
  <c r="AM40" i="2"/>
  <c r="AM41" i="2" s="1"/>
  <c r="AQ40" i="2"/>
  <c r="AQ41" i="2" s="1"/>
  <c r="AZ41" i="2"/>
  <c r="F43" i="2"/>
  <c r="F44" i="2" s="1"/>
  <c r="J43" i="2"/>
  <c r="J44" i="2" s="1"/>
  <c r="N43" i="2"/>
  <c r="N44" i="2" s="1"/>
  <c r="R43" i="2"/>
  <c r="R44" i="2" s="1"/>
  <c r="V43" i="2"/>
  <c r="V44" i="2" s="1"/>
  <c r="Z43" i="2"/>
  <c r="Z44" i="2" s="1"/>
  <c r="AD43" i="2"/>
  <c r="AD44" i="2" s="1"/>
  <c r="AH43" i="2"/>
  <c r="AH44" i="2" s="1"/>
  <c r="Q32" i="2"/>
  <c r="D12" i="1" s="1"/>
  <c r="AZ32" i="2"/>
  <c r="Q51" i="2"/>
  <c r="AX51" i="2"/>
  <c r="AP57" i="2"/>
  <c r="K48" i="1" s="1"/>
  <c r="AR34" i="3"/>
  <c r="D14" i="1"/>
  <c r="L53" i="1"/>
  <c r="AL51" i="2"/>
  <c r="AL52" i="2"/>
  <c r="AX52" i="2"/>
  <c r="AP58" i="2"/>
  <c r="AS38" i="2"/>
  <c r="AM61" i="3"/>
  <c r="U37" i="2"/>
  <c r="U38" i="2" s="1"/>
  <c r="G37" i="2"/>
  <c r="G38" i="2" s="1"/>
  <c r="AF37" i="2"/>
  <c r="AF38" i="2" s="1"/>
  <c r="AX37" i="2"/>
  <c r="AX38" i="2" s="1"/>
  <c r="C34" i="2"/>
  <c r="C35" i="2" s="1"/>
  <c r="G34" i="2"/>
  <c r="G46" i="2" s="1"/>
  <c r="K34" i="2"/>
  <c r="K35" i="2" s="1"/>
  <c r="O34" i="2"/>
  <c r="O35" i="2" s="1"/>
  <c r="S34" i="2"/>
  <c r="S35" i="2" s="1"/>
  <c r="W34" i="2"/>
  <c r="W35" i="2" s="1"/>
  <c r="AA34" i="2"/>
  <c r="AA35" i="2" s="1"/>
  <c r="AE34" i="2"/>
  <c r="AQ34" i="2"/>
  <c r="AQ35" i="2" s="1"/>
  <c r="AZ34" i="2"/>
  <c r="AZ35" i="2" s="1"/>
  <c r="L37" i="2"/>
  <c r="L38" i="2" s="1"/>
  <c r="AG37" i="2"/>
  <c r="AG38" i="2" s="1"/>
  <c r="D37" i="2"/>
  <c r="D38" i="2" s="1"/>
  <c r="N37" i="2"/>
  <c r="N38" i="2" s="1"/>
  <c r="AA37" i="2"/>
  <c r="AA38" i="2" s="1"/>
  <c r="AN37" i="2"/>
  <c r="AU37" i="2"/>
  <c r="AU38" i="2" s="1"/>
  <c r="AY37" i="2"/>
  <c r="AY38" i="2" s="1"/>
  <c r="Z40" i="2"/>
  <c r="Z41" i="2" s="1"/>
  <c r="AD40" i="2"/>
  <c r="AD41" i="2" s="1"/>
  <c r="AM6" i="2"/>
  <c r="AJ34" i="2"/>
  <c r="AJ35" i="2" s="1"/>
  <c r="AV34" i="2"/>
  <c r="AV35" i="2" s="1"/>
  <c r="C37" i="2"/>
  <c r="C38" i="2" s="1"/>
  <c r="D34" i="2"/>
  <c r="D35" i="2" s="1"/>
  <c r="H34" i="2"/>
  <c r="H35" i="2" s="1"/>
  <c r="L34" i="2"/>
  <c r="L35" i="2" s="1"/>
  <c r="P34" i="2"/>
  <c r="P35" i="2" s="1"/>
  <c r="T34" i="2"/>
  <c r="T35" i="2" s="1"/>
  <c r="X34" i="2"/>
  <c r="X35" i="2" s="1"/>
  <c r="AB34" i="2"/>
  <c r="AF34" i="2"/>
  <c r="AF35" i="2" s="1"/>
  <c r="AT38" i="2"/>
  <c r="O37" i="2"/>
  <c r="O38" i="2" s="1"/>
  <c r="AB37" i="2"/>
  <c r="AB38" i="2" s="1"/>
  <c r="AK37" i="2"/>
  <c r="AK38" i="2" s="1"/>
  <c r="AE40" i="2"/>
  <c r="AE41" i="2" s="1"/>
  <c r="AV6" i="2"/>
  <c r="AV54" i="2" s="1"/>
  <c r="F54" i="1" s="1"/>
  <c r="C34" i="3"/>
  <c r="D51" i="2"/>
  <c r="D32" i="2"/>
  <c r="D23" i="1" s="1"/>
  <c r="D52" i="2"/>
  <c r="G34" i="3"/>
  <c r="H52" i="2"/>
  <c r="H32" i="2"/>
  <c r="D42" i="1" s="1"/>
  <c r="K34" i="3"/>
  <c r="L32" i="2"/>
  <c r="D9" i="1" s="1"/>
  <c r="L51" i="2"/>
  <c r="O34" i="3"/>
  <c r="P51" i="2"/>
  <c r="P32" i="2"/>
  <c r="D28" i="1" s="1"/>
  <c r="S34" i="3"/>
  <c r="T52" i="2"/>
  <c r="T32" i="2"/>
  <c r="D33" i="1" s="1"/>
  <c r="W34" i="3"/>
  <c r="X52" i="2"/>
  <c r="X51" i="2"/>
  <c r="AA34" i="3"/>
  <c r="AB57" i="2"/>
  <c r="K32" i="1" s="1"/>
  <c r="AB58" i="2"/>
  <c r="L32" i="1" s="1"/>
  <c r="AE34" i="3"/>
  <c r="AF6" i="2"/>
  <c r="AF55" i="2" s="1"/>
  <c r="G19" i="1" s="1"/>
  <c r="AI34" i="3"/>
  <c r="AJ51" i="2"/>
  <c r="AJ52" i="2"/>
  <c r="AJ32" i="2"/>
  <c r="D21" i="1" s="1"/>
  <c r="AF52" i="2"/>
  <c r="T51" i="2"/>
  <c r="L58" i="2"/>
  <c r="L9" i="1" s="1"/>
  <c r="H23" i="1"/>
  <c r="H33" i="1"/>
  <c r="H21" i="1"/>
  <c r="AD37" i="2"/>
  <c r="AD38" i="2" s="1"/>
  <c r="AR38" i="2"/>
  <c r="P38" i="2"/>
  <c r="T38" i="2"/>
  <c r="X38" i="2"/>
  <c r="AL37" i="2"/>
  <c r="AL38" i="2" s="1"/>
  <c r="I36" i="1"/>
  <c r="D36" i="1"/>
  <c r="J27" i="1"/>
  <c r="G56" i="1"/>
  <c r="H54" i="1"/>
  <c r="J53" i="1"/>
  <c r="G52" i="1"/>
  <c r="H51" i="1"/>
  <c r="I50" i="1"/>
  <c r="D50" i="1"/>
  <c r="I49" i="1"/>
  <c r="L48" i="1"/>
  <c r="H48" i="1"/>
  <c r="I47" i="1"/>
  <c r="H46" i="1"/>
  <c r="J31" i="1"/>
  <c r="F31" i="1"/>
  <c r="J21" i="1"/>
  <c r="F21" i="1"/>
  <c r="J37" i="1"/>
  <c r="F37" i="1"/>
  <c r="J20" i="1"/>
  <c r="F20" i="1"/>
  <c r="L40" i="1"/>
  <c r="J19" i="1"/>
  <c r="H36" i="1"/>
  <c r="I27" i="1"/>
  <c r="J56" i="1"/>
  <c r="F56" i="1"/>
  <c r="J55" i="1"/>
  <c r="I53" i="1"/>
  <c r="J52" i="1"/>
  <c r="F52" i="1"/>
  <c r="K51" i="1"/>
  <c r="H50" i="1"/>
  <c r="H49" i="1"/>
  <c r="H47" i="1"/>
  <c r="I31" i="1"/>
  <c r="I21" i="1"/>
  <c r="I37" i="1"/>
  <c r="D37" i="1"/>
  <c r="I20" i="1"/>
  <c r="D20" i="1"/>
  <c r="H40" i="1"/>
  <c r="H19" i="1"/>
  <c r="X32" i="2"/>
  <c r="D18" i="1" s="1"/>
  <c r="AB32" i="2"/>
  <c r="D32" i="1" s="1"/>
  <c r="H51" i="2"/>
  <c r="AB51" i="2"/>
  <c r="P52" i="2"/>
  <c r="AV37" i="2"/>
  <c r="AV38" i="2" s="1"/>
  <c r="L52" i="2"/>
  <c r="H42" i="1"/>
  <c r="H9" i="1"/>
  <c r="H18" i="1"/>
  <c r="H32" i="1"/>
  <c r="AW34" i="2"/>
  <c r="H38" i="2"/>
  <c r="M37" i="2"/>
  <c r="M38" i="2" s="1"/>
  <c r="V40" i="2"/>
  <c r="V41" i="2" s="1"/>
  <c r="AT40" i="2"/>
  <c r="AT41" i="2" s="1"/>
  <c r="X41" i="2"/>
  <c r="AH40" i="2"/>
  <c r="AH41" i="2" s="1"/>
  <c r="AN43" i="2"/>
  <c r="AN44" i="2" s="1"/>
  <c r="AR43" i="2"/>
  <c r="AR44" i="2" s="1"/>
  <c r="AV43" i="2"/>
  <c r="AV44" i="2" s="1"/>
  <c r="AF51" i="2"/>
  <c r="AU51" i="2"/>
  <c r="AB52" i="2"/>
  <c r="D55" i="1"/>
  <c r="F34" i="2"/>
  <c r="J34" i="2"/>
  <c r="J35" i="2" s="1"/>
  <c r="N34" i="2"/>
  <c r="R34" i="2"/>
  <c r="R35" i="2" s="1"/>
  <c r="V34" i="2"/>
  <c r="V35" i="2" s="1"/>
  <c r="Z34" i="2"/>
  <c r="Z35" i="2" s="1"/>
  <c r="AD34" i="2"/>
  <c r="AD35" i="2" s="1"/>
  <c r="AT35" i="2"/>
  <c r="AX34" i="2"/>
  <c r="Z37" i="2"/>
  <c r="Z38" i="2" s="1"/>
  <c r="E37" i="2"/>
  <c r="E38" i="2" s="1"/>
  <c r="I37" i="2"/>
  <c r="I38" i="2" s="1"/>
  <c r="R37" i="2"/>
  <c r="R38" i="2" s="1"/>
  <c r="V37" i="2"/>
  <c r="V38" i="2" s="1"/>
  <c r="AH37" i="2"/>
  <c r="AH38" i="2" s="1"/>
  <c r="AQ37" i="2"/>
  <c r="AQ38" i="2" s="1"/>
  <c r="D41" i="2"/>
  <c r="L41" i="2"/>
  <c r="AA40" i="2"/>
  <c r="AA41" i="2" s="1"/>
  <c r="AI40" i="2"/>
  <c r="AI41" i="2" s="1"/>
  <c r="AN41" i="2"/>
  <c r="AR41" i="2"/>
  <c r="E43" i="2"/>
  <c r="E44" i="2" s="1"/>
  <c r="I43" i="2"/>
  <c r="I44" i="2" s="1"/>
  <c r="M43" i="2"/>
  <c r="M44" i="2" s="1"/>
  <c r="Q43" i="2"/>
  <c r="Q44" i="2" s="1"/>
  <c r="U43" i="2"/>
  <c r="U44" i="2" s="1"/>
  <c r="Y43" i="2"/>
  <c r="Y44" i="2" s="1"/>
  <c r="AC43" i="2"/>
  <c r="AC44" i="2" s="1"/>
  <c r="AG43" i="2"/>
  <c r="AG44" i="2" s="1"/>
  <c r="AK43" i="2"/>
  <c r="AK44" i="2" s="1"/>
  <c r="AO43" i="2"/>
  <c r="AO44" i="2" s="1"/>
  <c r="AS43" i="2"/>
  <c r="AS44" i="2" s="1"/>
  <c r="AW43" i="2"/>
  <c r="AW44" i="2" s="1"/>
  <c r="AZ43" i="2"/>
  <c r="AZ44" i="2" s="1"/>
  <c r="AG51" i="2"/>
  <c r="AZ58" i="2"/>
  <c r="L36" i="1" s="1"/>
  <c r="D51" i="1"/>
  <c r="AK34" i="2"/>
  <c r="AC37" i="2"/>
  <c r="AC38" i="2" s="1"/>
  <c r="AJ38" i="2"/>
  <c r="AN38" i="2"/>
  <c r="AJ41" i="2"/>
  <c r="E40" i="2"/>
  <c r="E41" i="2" s="1"/>
  <c r="I40" i="2"/>
  <c r="I41" i="2" s="1"/>
  <c r="M40" i="2"/>
  <c r="M41" i="2" s="1"/>
  <c r="Q40" i="2"/>
  <c r="Q41" i="2" s="1"/>
  <c r="W40" i="2"/>
  <c r="W41" i="2" s="1"/>
  <c r="AB41" i="2"/>
  <c r="AF41" i="2"/>
  <c r="AX40" i="2"/>
  <c r="AX41" i="2" s="1"/>
  <c r="AK32" i="2"/>
  <c r="D31" i="1" s="1"/>
  <c r="AT51" i="2"/>
  <c r="AK52" i="2"/>
  <c r="AS52" i="2"/>
  <c r="AK58" i="2"/>
  <c r="L31" i="1" s="1"/>
  <c r="AG35" i="2"/>
  <c r="E35" i="2"/>
  <c r="I35" i="2"/>
  <c r="M35" i="2"/>
  <c r="Q35" i="2"/>
  <c r="U35" i="2"/>
  <c r="Y35" i="2"/>
  <c r="AC35" i="2"/>
  <c r="AH35" i="2"/>
  <c r="AK35" i="2"/>
  <c r="AU35" i="2"/>
  <c r="AD46" i="2"/>
  <c r="AI35" i="2"/>
  <c r="O46" i="2"/>
  <c r="AE35" i="2"/>
  <c r="AR35" i="2"/>
  <c r="AB35" i="2"/>
  <c r="AX35" i="2"/>
  <c r="AE55" i="2"/>
  <c r="G22" i="1" s="1"/>
  <c r="AE54" i="2"/>
  <c r="F22" i="1" s="1"/>
  <c r="AL55" i="2"/>
  <c r="G44" i="1" s="1"/>
  <c r="AL54" i="2"/>
  <c r="F44" i="1" s="1"/>
  <c r="AP55" i="2"/>
  <c r="G48" i="1" s="1"/>
  <c r="AP54" i="2"/>
  <c r="F48" i="1" s="1"/>
  <c r="C61" i="2"/>
  <c r="J26" i="1" s="1"/>
  <c r="C60" i="2"/>
  <c r="I26" i="1" s="1"/>
  <c r="AG60" i="2"/>
  <c r="I40" i="1" s="1"/>
  <c r="AG61" i="2"/>
  <c r="J40" i="1" s="1"/>
  <c r="AN61" i="2"/>
  <c r="J46" i="1" s="1"/>
  <c r="AN60" i="2"/>
  <c r="I46" i="1" s="1"/>
  <c r="AE32" i="2"/>
  <c r="D22" i="1" s="1"/>
  <c r="C55" i="2"/>
  <c r="G26" i="1" s="1"/>
  <c r="C54" i="2"/>
  <c r="F26" i="1" s="1"/>
  <c r="AM55" i="2"/>
  <c r="G45" i="1" s="1"/>
  <c r="AM54" i="2"/>
  <c r="F45" i="1" s="1"/>
  <c r="AQ55" i="2"/>
  <c r="G49" i="1" s="1"/>
  <c r="AQ54" i="2"/>
  <c r="F49" i="1" s="1"/>
  <c r="AW55" i="2"/>
  <c r="G55" i="1" s="1"/>
  <c r="AW54" i="2"/>
  <c r="F55" i="1" s="1"/>
  <c r="W61" i="2"/>
  <c r="W60" i="2"/>
  <c r="AV40" i="2"/>
  <c r="AV41" i="2" s="1"/>
  <c r="D43" i="2"/>
  <c r="D44" i="2" s="1"/>
  <c r="H43" i="2"/>
  <c r="H44" i="2" s="1"/>
  <c r="L43" i="2"/>
  <c r="L44" i="2" s="1"/>
  <c r="P43" i="2"/>
  <c r="P44" i="2" s="1"/>
  <c r="T43" i="2"/>
  <c r="T44" i="2" s="1"/>
  <c r="X43" i="2"/>
  <c r="X44" i="2" s="1"/>
  <c r="AB43" i="2"/>
  <c r="AB44" i="2" s="1"/>
  <c r="AF43" i="2"/>
  <c r="AF44" i="2" s="1"/>
  <c r="AJ43" i="2"/>
  <c r="AJ44" i="2" s="1"/>
  <c r="AL43" i="2"/>
  <c r="AL44" i="2" s="1"/>
  <c r="AP43" i="2"/>
  <c r="AP44" i="2" s="1"/>
  <c r="AT43" i="2"/>
  <c r="AT44" i="2" s="1"/>
  <c r="AX43" i="2"/>
  <c r="AX44" i="2" s="1"/>
  <c r="AL32" i="2"/>
  <c r="D44" i="1" s="1"/>
  <c r="AP32" i="2"/>
  <c r="D48" i="1" s="1"/>
  <c r="B23" i="3"/>
  <c r="B21" i="3"/>
  <c r="B34" i="3"/>
  <c r="B24" i="3"/>
  <c r="B20" i="3"/>
  <c r="B22" i="3"/>
  <c r="C57" i="2"/>
  <c r="K26" i="1" s="1"/>
  <c r="C51" i="2"/>
  <c r="C58" i="2"/>
  <c r="L26" i="1" s="1"/>
  <c r="C52" i="2"/>
  <c r="F34" i="3"/>
  <c r="G57" i="2"/>
  <c r="K30" i="1" s="1"/>
  <c r="G51" i="2"/>
  <c r="G52" i="2"/>
  <c r="J34" i="3"/>
  <c r="K58" i="2"/>
  <c r="L39" i="1" s="1"/>
  <c r="K57" i="2"/>
  <c r="K51" i="2"/>
  <c r="K52" i="2"/>
  <c r="O58" i="2"/>
  <c r="L41" i="1" s="1"/>
  <c r="O57" i="2"/>
  <c r="K41" i="1" s="1"/>
  <c r="O51" i="2"/>
  <c r="N34" i="3"/>
  <c r="O52" i="2"/>
  <c r="R34" i="3"/>
  <c r="S57" i="2"/>
  <c r="K14" i="1" s="1"/>
  <c r="S51" i="2"/>
  <c r="S58" i="2"/>
  <c r="L14" i="1" s="1"/>
  <c r="S52" i="2"/>
  <c r="W57" i="2"/>
  <c r="W51" i="2"/>
  <c r="V34" i="3"/>
  <c r="W58" i="2"/>
  <c r="L24" i="1" s="1"/>
  <c r="W52" i="2"/>
  <c r="Z34" i="3"/>
  <c r="AA57" i="2"/>
  <c r="K57" i="1" s="1"/>
  <c r="AA58" i="2"/>
  <c r="L57" i="1" s="1"/>
  <c r="AA51" i="2"/>
  <c r="AA52" i="2"/>
  <c r="AE57" i="2"/>
  <c r="K22" i="1" s="1"/>
  <c r="AD34" i="3"/>
  <c r="AE58" i="2"/>
  <c r="L22" i="1" s="1"/>
  <c r="AE51" i="2"/>
  <c r="AE52" i="2"/>
  <c r="AH34" i="3"/>
  <c r="AI57" i="2"/>
  <c r="K37" i="1" s="1"/>
  <c r="AI51" i="2"/>
  <c r="AI58" i="2"/>
  <c r="L37" i="1" s="1"/>
  <c r="AI52" i="2"/>
  <c r="G58" i="2"/>
  <c r="L30" i="1" s="1"/>
  <c r="AG55" i="2"/>
  <c r="G40" i="1" s="1"/>
  <c r="AG54" i="2"/>
  <c r="F40" i="1" s="1"/>
  <c r="AN54" i="2"/>
  <c r="F46" i="1" s="1"/>
  <c r="AN55" i="2"/>
  <c r="G46" i="1" s="1"/>
  <c r="AS55" i="2"/>
  <c r="G51" i="1" s="1"/>
  <c r="AS54" i="2"/>
  <c r="F51" i="1" s="1"/>
  <c r="AY55" i="2"/>
  <c r="G27" i="1" s="1"/>
  <c r="AY54" i="2"/>
  <c r="F27" i="1" s="1"/>
  <c r="AE61" i="2"/>
  <c r="J22" i="1" s="1"/>
  <c r="AE60" i="2"/>
  <c r="I22" i="1" s="1"/>
  <c r="AL60" i="2"/>
  <c r="I44" i="1" s="1"/>
  <c r="AL61" i="2"/>
  <c r="J44" i="1" s="1"/>
  <c r="AG32" i="2"/>
  <c r="D40" i="1" s="1"/>
  <c r="AM32" i="2"/>
  <c r="D45" i="1" s="1"/>
  <c r="AQ32" i="2"/>
  <c r="D49" i="1" s="1"/>
  <c r="AY32" i="2"/>
  <c r="D27" i="1" s="1"/>
  <c r="AF60" i="2"/>
  <c r="I19" i="1" s="1"/>
  <c r="W55" i="2"/>
  <c r="W54" i="2"/>
  <c r="AU55" i="2"/>
  <c r="G53" i="1" s="1"/>
  <c r="AU54" i="2"/>
  <c r="F53" i="1" s="1"/>
  <c r="AM60" i="2"/>
  <c r="I45" i="1" s="1"/>
  <c r="AM61" i="2"/>
  <c r="J45" i="1" s="1"/>
  <c r="AN32" i="2"/>
  <c r="D46" i="1" s="1"/>
  <c r="E58" i="2"/>
  <c r="L10" i="1" s="1"/>
  <c r="E52" i="2"/>
  <c r="H34" i="3"/>
  <c r="I58" i="2"/>
  <c r="L35" i="1" s="1"/>
  <c r="I52" i="2"/>
  <c r="L34" i="3"/>
  <c r="M58" i="2"/>
  <c r="L29" i="1" s="1"/>
  <c r="M52" i="2"/>
  <c r="P34" i="3"/>
  <c r="Q52" i="2"/>
  <c r="U58" i="2"/>
  <c r="L11" i="1" s="1"/>
  <c r="U57" i="2"/>
  <c r="K11" i="1" s="1"/>
  <c r="U52" i="2"/>
  <c r="X34" i="3"/>
  <c r="Y58" i="2"/>
  <c r="L17" i="1" s="1"/>
  <c r="Y57" i="2"/>
  <c r="Y52" i="2"/>
  <c r="AB34" i="3"/>
  <c r="AC58" i="2"/>
  <c r="L58" i="1" s="1"/>
  <c r="AC57" i="2"/>
  <c r="K58" i="1" s="1"/>
  <c r="AC52" i="2"/>
  <c r="AF34" i="3"/>
  <c r="AG52" i="2"/>
  <c r="AL34" i="3"/>
  <c r="AL17" i="3"/>
  <c r="AL15" i="3"/>
  <c r="AL10" i="3"/>
  <c r="AL7" i="3"/>
  <c r="AL16" i="3"/>
  <c r="AL13" i="3"/>
  <c r="AM58" i="2"/>
  <c r="L45" i="1" s="1"/>
  <c r="AM57" i="2"/>
  <c r="K45" i="1" s="1"/>
  <c r="AM52" i="2"/>
  <c r="AP34" i="3"/>
  <c r="AQ58" i="2"/>
  <c r="L49" i="1" s="1"/>
  <c r="AQ57" i="2"/>
  <c r="K49" i="1" s="1"/>
  <c r="AQ52" i="2"/>
  <c r="AT34" i="3"/>
  <c r="AU52" i="2"/>
  <c r="AX34" i="3"/>
  <c r="AX10" i="3"/>
  <c r="AX7" i="3"/>
  <c r="AY58" i="2"/>
  <c r="L27" i="1" s="1"/>
  <c r="AY57" i="2"/>
  <c r="K27" i="1" s="1"/>
  <c r="AY52" i="2"/>
  <c r="E51" i="2"/>
  <c r="M51" i="2"/>
  <c r="U51" i="2"/>
  <c r="AC51" i="2"/>
  <c r="AQ51" i="2"/>
  <c r="AY51" i="2"/>
  <c r="I57" i="2"/>
  <c r="K35" i="1" s="1"/>
  <c r="AU57" i="2"/>
  <c r="K53" i="1" s="1"/>
  <c r="Q58" i="2"/>
  <c r="L12" i="1" s="1"/>
  <c r="E34" i="3"/>
  <c r="F58" i="2"/>
  <c r="L15" i="1" s="1"/>
  <c r="F52" i="2"/>
  <c r="F57" i="2"/>
  <c r="K15" i="1" s="1"/>
  <c r="F51" i="2"/>
  <c r="I34" i="3"/>
  <c r="J58" i="2"/>
  <c r="L16" i="1" s="1"/>
  <c r="J52" i="2"/>
  <c r="J57" i="2"/>
  <c r="K16" i="1" s="1"/>
  <c r="J51" i="2"/>
  <c r="M34" i="3"/>
  <c r="N58" i="2"/>
  <c r="L13" i="1" s="1"/>
  <c r="N52" i="2"/>
  <c r="N57" i="2"/>
  <c r="K13" i="1" s="1"/>
  <c r="N51" i="2"/>
  <c r="Q34" i="3"/>
  <c r="R58" i="2"/>
  <c r="L43" i="1" s="1"/>
  <c r="R52" i="2"/>
  <c r="R57" i="2"/>
  <c r="K43" i="1" s="1"/>
  <c r="R51" i="2"/>
  <c r="U34" i="3"/>
  <c r="V58" i="2"/>
  <c r="L34" i="1" s="1"/>
  <c r="V52" i="2"/>
  <c r="V51" i="2"/>
  <c r="Y34" i="3"/>
  <c r="Z58" i="2"/>
  <c r="L38" i="1" s="1"/>
  <c r="Z57" i="2"/>
  <c r="Z52" i="2"/>
  <c r="Z51" i="2"/>
  <c r="AC34" i="3"/>
  <c r="AD58" i="2"/>
  <c r="L25" i="1" s="1"/>
  <c r="AD57" i="2"/>
  <c r="K25" i="1" s="1"/>
  <c r="AD52" i="2"/>
  <c r="AD51" i="2"/>
  <c r="AG34" i="3"/>
  <c r="AH58" i="2"/>
  <c r="L20" i="1" s="1"/>
  <c r="AH52" i="2"/>
  <c r="AH57" i="2"/>
  <c r="K20" i="1" s="1"/>
  <c r="AH51" i="2"/>
  <c r="AM10" i="3"/>
  <c r="AM7" i="3"/>
  <c r="AM9" i="3"/>
  <c r="AM34" i="3"/>
  <c r="AM8" i="3"/>
  <c r="AM6" i="3"/>
  <c r="AN58" i="2"/>
  <c r="L46" i="1" s="1"/>
  <c r="AN57" i="2"/>
  <c r="K46" i="1" s="1"/>
  <c r="AN52" i="2"/>
  <c r="AN51" i="2"/>
  <c r="AQ34" i="3"/>
  <c r="AR58" i="2"/>
  <c r="L50" i="1" s="1"/>
  <c r="AR57" i="2"/>
  <c r="K50" i="1" s="1"/>
  <c r="AR52" i="2"/>
  <c r="AR51" i="2"/>
  <c r="AU34" i="3"/>
  <c r="AV58" i="2"/>
  <c r="L54" i="1" s="1"/>
  <c r="AV52" i="2"/>
  <c r="AV57" i="2"/>
  <c r="K54" i="1" s="1"/>
  <c r="AV51" i="2"/>
  <c r="M57" i="2"/>
  <c r="AG57" i="2"/>
  <c r="K40" i="1" s="1"/>
  <c r="AN33" i="3"/>
  <c r="AN34" i="3" s="1"/>
  <c r="AN14" i="3"/>
  <c r="AO57" i="2"/>
  <c r="K47" i="1" s="1"/>
  <c r="AV34" i="3"/>
  <c r="AW57" i="2"/>
  <c r="K55" i="1" s="1"/>
  <c r="AY34" i="3"/>
  <c r="AZ57" i="2"/>
  <c r="K36" i="1" s="1"/>
  <c r="X57" i="2"/>
  <c r="K18" i="1" s="1"/>
  <c r="AL57" i="2"/>
  <c r="K44" i="1" s="1"/>
  <c r="H58" i="2"/>
  <c r="L42" i="1" s="1"/>
  <c r="X58" i="2"/>
  <c r="L18" i="1" s="1"/>
  <c r="AW58" i="2"/>
  <c r="L55" i="1" s="1"/>
  <c r="AL14" i="3"/>
  <c r="AK34" i="3"/>
  <c r="AK10" i="3"/>
  <c r="AK9" i="3"/>
  <c r="AK7" i="3"/>
  <c r="AO34" i="3"/>
  <c r="AO6" i="3"/>
  <c r="AP11" i="2" s="1"/>
  <c r="AP34" i="2" s="1"/>
  <c r="AK51" i="2"/>
  <c r="AO51" i="2"/>
  <c r="AS51" i="2"/>
  <c r="AW51" i="2"/>
  <c r="AZ51" i="2"/>
  <c r="T57" i="2"/>
  <c r="K33" i="1" s="1"/>
  <c r="AJ57" i="2"/>
  <c r="K21" i="1" s="1"/>
  <c r="AX57" i="2"/>
  <c r="K56" i="1" s="1"/>
  <c r="D58" i="2"/>
  <c r="L23" i="1" s="1"/>
  <c r="T58" i="2"/>
  <c r="L33" i="1" s="1"/>
  <c r="AJ58" i="2"/>
  <c r="L21" i="1" s="1"/>
  <c r="AS58" i="2"/>
  <c r="L51" i="1" s="1"/>
  <c r="AX58" i="2"/>
  <c r="L56" i="1" s="1"/>
  <c r="T34" i="3"/>
  <c r="D57" i="2"/>
  <c r="K23" i="1" s="1"/>
  <c r="H57" i="2"/>
  <c r="L57" i="2"/>
  <c r="P57" i="2"/>
  <c r="K28" i="1" s="1"/>
  <c r="AF57" i="2"/>
  <c r="K19" i="1" s="1"/>
  <c r="AT57" i="2"/>
  <c r="K52" i="1" s="1"/>
  <c r="P58" i="2"/>
  <c r="L28" i="1" s="1"/>
  <c r="AF58" i="2"/>
  <c r="L19" i="1" s="1"/>
  <c r="AO58" i="2"/>
  <c r="L47" i="1" s="1"/>
  <c r="AT58" i="2"/>
  <c r="L52" i="1" s="1"/>
  <c r="AN16" i="3"/>
  <c r="AJ34" i="3"/>
  <c r="D34" i="3"/>
  <c r="Q15" i="2"/>
  <c r="Q37" i="2" s="1"/>
  <c r="AN17" i="3"/>
  <c r="AN15" i="3"/>
  <c r="AN13" i="3"/>
  <c r="AL8" i="3"/>
  <c r="AK8" i="3"/>
  <c r="J46" i="2" l="1"/>
  <c r="G35" i="2"/>
  <c r="N46" i="2"/>
  <c r="AE46" i="2"/>
  <c r="AE63" i="2" s="1"/>
  <c r="S46" i="2"/>
  <c r="S63" i="2" s="1"/>
  <c r="Y46" i="2"/>
  <c r="AO54" i="2"/>
  <c r="F47" i="1" s="1"/>
  <c r="AA46" i="2"/>
  <c r="AA63" i="2" s="1"/>
  <c r="AZ46" i="2"/>
  <c r="AZ63" i="2" s="1"/>
  <c r="AO55" i="2"/>
  <c r="G47" i="1" s="1"/>
  <c r="F46" i="2"/>
  <c r="F47" i="2" s="1"/>
  <c r="AS46" i="2"/>
  <c r="AS63" i="2" s="1"/>
  <c r="AS35" i="2"/>
  <c r="AR46" i="2"/>
  <c r="AR47" i="2" s="1"/>
  <c r="AU46" i="2"/>
  <c r="AU47" i="2" s="1"/>
  <c r="AK46" i="2"/>
  <c r="AV32" i="2"/>
  <c r="D54" i="1" s="1"/>
  <c r="AV55" i="2"/>
  <c r="G54" i="1" s="1"/>
  <c r="K46" i="2"/>
  <c r="K63" i="2" s="1"/>
  <c r="AQ46" i="2"/>
  <c r="AQ63" i="2" s="1"/>
  <c r="V46" i="2"/>
  <c r="V63" i="2" s="1"/>
  <c r="F35" i="2"/>
  <c r="AH46" i="2"/>
  <c r="AH63" i="2" s="1"/>
  <c r="Z46" i="2"/>
  <c r="Z63" i="2" s="1"/>
  <c r="AW46" i="2"/>
  <c r="AW63" i="2" s="1"/>
  <c r="M46" i="2"/>
  <c r="M63" i="2" s="1"/>
  <c r="AF32" i="2"/>
  <c r="D19" i="1" s="1"/>
  <c r="E46" i="2"/>
  <c r="E47" i="2" s="1"/>
  <c r="AF54" i="2"/>
  <c r="F19" i="1" s="1"/>
  <c r="AW35" i="2"/>
  <c r="W46" i="2"/>
  <c r="W63" i="2" s="1"/>
  <c r="AI46" i="2"/>
  <c r="AI47" i="2" s="1"/>
  <c r="N35" i="2"/>
  <c r="AC46" i="2"/>
  <c r="AC63" i="2" s="1"/>
  <c r="U46" i="2"/>
  <c r="U63" i="2" s="1"/>
  <c r="I46" i="2"/>
  <c r="I63" i="2" s="1"/>
  <c r="AG46" i="2"/>
  <c r="AG63" i="2" s="1"/>
  <c r="Q38" i="2"/>
  <c r="Q46" i="2"/>
  <c r="AP46" i="2"/>
  <c r="AP35" i="2"/>
  <c r="AL11" i="2"/>
  <c r="AL34" i="2" s="1"/>
  <c r="K29" i="1"/>
  <c r="K17" i="1"/>
  <c r="K24" i="1"/>
  <c r="AF46" i="2"/>
  <c r="H46" i="2"/>
  <c r="AI63" i="2"/>
  <c r="J63" i="2"/>
  <c r="J47" i="2"/>
  <c r="AU63" i="2"/>
  <c r="AO15" i="2"/>
  <c r="AO37" i="2" s="1"/>
  <c r="Q23" i="3"/>
  <c r="Q21" i="3"/>
  <c r="Q24" i="3"/>
  <c r="Q20" i="3"/>
  <c r="Q22" i="3"/>
  <c r="K9" i="1"/>
  <c r="K38" i="1"/>
  <c r="AY11" i="2"/>
  <c r="AY34" i="2" s="1"/>
  <c r="AM15" i="2"/>
  <c r="AM37" i="2" s="1"/>
  <c r="AM38" i="2" s="1"/>
  <c r="F24" i="1"/>
  <c r="K39" i="1"/>
  <c r="C19" i="2"/>
  <c r="C40" i="2" s="1"/>
  <c r="AX46" i="2"/>
  <c r="AB46" i="2"/>
  <c r="T46" i="2"/>
  <c r="L46" i="2"/>
  <c r="D46" i="2"/>
  <c r="Y63" i="2"/>
  <c r="Y47" i="2"/>
  <c r="G24" i="1"/>
  <c r="I24" i="1"/>
  <c r="AZ47" i="2"/>
  <c r="AR63" i="2"/>
  <c r="AE47" i="2"/>
  <c r="W47" i="2"/>
  <c r="O63" i="2"/>
  <c r="O47" i="2"/>
  <c r="AD63" i="2"/>
  <c r="AD47" i="2"/>
  <c r="N63" i="2"/>
  <c r="N47" i="2"/>
  <c r="F63" i="2"/>
  <c r="AJ46" i="2"/>
  <c r="K42" i="1"/>
  <c r="AN11" i="2"/>
  <c r="AN34" i="2" s="1"/>
  <c r="AM11" i="2"/>
  <c r="AM34" i="2" s="1"/>
  <c r="J24" i="1"/>
  <c r="AT46" i="2"/>
  <c r="X46" i="2"/>
  <c r="P46" i="2"/>
  <c r="G63" i="2"/>
  <c r="G47" i="2"/>
  <c r="AV46" i="2"/>
  <c r="AK63" i="2"/>
  <c r="AK47" i="2"/>
  <c r="M47" i="2"/>
  <c r="S47" i="2" l="1"/>
  <c r="AA47" i="2"/>
  <c r="AW47" i="2"/>
  <c r="AS47" i="2"/>
  <c r="AS68" i="2" s="1"/>
  <c r="AQ47" i="2"/>
  <c r="V47" i="2"/>
  <c r="V68" i="2" s="1"/>
  <c r="K47" i="2"/>
  <c r="K68" i="2" s="1"/>
  <c r="U47" i="2"/>
  <c r="U68" i="2" s="1"/>
  <c r="Z47" i="2"/>
  <c r="Z68" i="2" s="1"/>
  <c r="I47" i="2"/>
  <c r="I68" i="2" s="1"/>
  <c r="AH47" i="2"/>
  <c r="AH68" i="2" s="1"/>
  <c r="E63" i="2"/>
  <c r="AG47" i="2"/>
  <c r="AG68" i="2" s="1"/>
  <c r="AC47" i="2"/>
  <c r="AC68" i="2" s="1"/>
  <c r="E68" i="2"/>
  <c r="E10" i="1"/>
  <c r="AT63" i="2"/>
  <c r="AT47" i="2"/>
  <c r="AJ63" i="2"/>
  <c r="AJ47" i="2"/>
  <c r="L63" i="2"/>
  <c r="L47" i="2"/>
  <c r="AX63" i="2"/>
  <c r="AX47" i="2"/>
  <c r="E39" i="1"/>
  <c r="H63" i="2"/>
  <c r="H47" i="2"/>
  <c r="F68" i="2"/>
  <c r="E15" i="1"/>
  <c r="W68" i="2"/>
  <c r="E24" i="1"/>
  <c r="AR68" i="2"/>
  <c r="E50" i="1"/>
  <c r="AA68" i="2"/>
  <c r="E57" i="1"/>
  <c r="T63" i="2"/>
  <c r="T47" i="2"/>
  <c r="AU68" i="2"/>
  <c r="E53" i="1"/>
  <c r="AW68" i="2"/>
  <c r="E55" i="1"/>
  <c r="AP47" i="2"/>
  <c r="AP63" i="2"/>
  <c r="M68" i="2"/>
  <c r="E29" i="1"/>
  <c r="Y68" i="2"/>
  <c r="E17" i="1"/>
  <c r="AB63" i="2"/>
  <c r="AB47" i="2"/>
  <c r="AY46" i="2"/>
  <c r="AY35" i="2"/>
  <c r="R19" i="2"/>
  <c r="R40" i="2" s="1"/>
  <c r="R6" i="2"/>
  <c r="AO38" i="2"/>
  <c r="AO46" i="2"/>
  <c r="Q63" i="2"/>
  <c r="Q47" i="2"/>
  <c r="AK68" i="2"/>
  <c r="E31" i="1"/>
  <c r="AV63" i="2"/>
  <c r="AV47" i="2"/>
  <c r="P63" i="2"/>
  <c r="P47" i="2"/>
  <c r="G68" i="2"/>
  <c r="E30" i="1"/>
  <c r="X47" i="2"/>
  <c r="X63" i="2"/>
  <c r="AM46" i="2"/>
  <c r="AM35" i="2"/>
  <c r="AN46" i="2"/>
  <c r="AN35" i="2"/>
  <c r="N68" i="2"/>
  <c r="E13" i="1"/>
  <c r="AD68" i="2"/>
  <c r="E25" i="1"/>
  <c r="O68" i="2"/>
  <c r="E41" i="1"/>
  <c r="AE68" i="2"/>
  <c r="E22" i="1"/>
  <c r="AZ68" i="2"/>
  <c r="E36" i="1"/>
  <c r="AQ68" i="2"/>
  <c r="E49" i="1"/>
  <c r="S68" i="2"/>
  <c r="E14" i="1"/>
  <c r="D63" i="2"/>
  <c r="D47" i="2"/>
  <c r="C41" i="2"/>
  <c r="C46" i="2"/>
  <c r="J68" i="2"/>
  <c r="E16" i="1"/>
  <c r="AI68" i="2"/>
  <c r="E37" i="1"/>
  <c r="AF63" i="2"/>
  <c r="AF47" i="2"/>
  <c r="AL46" i="2"/>
  <c r="AL35" i="2"/>
  <c r="E11" i="1" l="1"/>
  <c r="E51" i="1"/>
  <c r="E20" i="1"/>
  <c r="E35" i="1"/>
  <c r="E58" i="1"/>
  <c r="E34" i="1"/>
  <c r="E40" i="1"/>
  <c r="E38" i="1"/>
  <c r="AL63" i="2"/>
  <c r="AL47" i="2"/>
  <c r="P68" i="2"/>
  <c r="E28" i="1"/>
  <c r="AO63" i="2"/>
  <c r="AO47" i="2"/>
  <c r="AG66" i="2"/>
  <c r="AG67" i="2"/>
  <c r="AG65" i="2"/>
  <c r="AU66" i="2"/>
  <c r="AU67" i="2"/>
  <c r="AU65" i="2"/>
  <c r="AR66" i="2"/>
  <c r="AR67" i="2"/>
  <c r="AR65" i="2"/>
  <c r="F67" i="2"/>
  <c r="F66" i="2"/>
  <c r="F65" i="2"/>
  <c r="H68" i="2"/>
  <c r="E42" i="1"/>
  <c r="K66" i="2"/>
  <c r="K67" i="2"/>
  <c r="K65" i="2"/>
  <c r="I67" i="2"/>
  <c r="I66" i="2"/>
  <c r="I65" i="2"/>
  <c r="AI66" i="2"/>
  <c r="AI67" i="2"/>
  <c r="AI65" i="2"/>
  <c r="AF68" i="2"/>
  <c r="E19" i="1"/>
  <c r="D68" i="2"/>
  <c r="E23" i="1"/>
  <c r="AQ67" i="2"/>
  <c r="AQ66" i="2"/>
  <c r="AQ65" i="2"/>
  <c r="AE67" i="2"/>
  <c r="AE66" i="2"/>
  <c r="AE65" i="2"/>
  <c r="AD67" i="2"/>
  <c r="AD66" i="2"/>
  <c r="AD65" i="2"/>
  <c r="AN63" i="2"/>
  <c r="AN47" i="2"/>
  <c r="AM63" i="2"/>
  <c r="AM47" i="2"/>
  <c r="G66" i="2"/>
  <c r="G67" i="2"/>
  <c r="G65" i="2"/>
  <c r="AK66" i="2"/>
  <c r="AK67" i="2"/>
  <c r="AK65" i="2"/>
  <c r="AY63" i="2"/>
  <c r="AY47" i="2"/>
  <c r="AP68" i="2"/>
  <c r="E48" i="1"/>
  <c r="AA66" i="2"/>
  <c r="AA67" i="2"/>
  <c r="AA65" i="2"/>
  <c r="AX68" i="2"/>
  <c r="E56" i="1"/>
  <c r="AJ68" i="2"/>
  <c r="E21" i="1"/>
  <c r="AV68" i="2"/>
  <c r="E54" i="1"/>
  <c r="Q68" i="2"/>
  <c r="E12" i="1"/>
  <c r="R54" i="2"/>
  <c r="F43" i="1" s="1"/>
  <c r="R55" i="2"/>
  <c r="G43" i="1" s="1"/>
  <c r="R32" i="2"/>
  <c r="D43" i="1" s="1"/>
  <c r="AB68" i="2"/>
  <c r="E32" i="1"/>
  <c r="Y67" i="2"/>
  <c r="Y66" i="2"/>
  <c r="Y65" i="2"/>
  <c r="Z66" i="2"/>
  <c r="Z67" i="2"/>
  <c r="Z65" i="2"/>
  <c r="T68" i="2"/>
  <c r="E33" i="1"/>
  <c r="V66" i="2"/>
  <c r="V67" i="2"/>
  <c r="V65" i="2"/>
  <c r="U67" i="2"/>
  <c r="U66" i="2"/>
  <c r="U65" i="2"/>
  <c r="AH66" i="2"/>
  <c r="AH67" i="2"/>
  <c r="AH65" i="2"/>
  <c r="J67" i="2"/>
  <c r="J66" i="2"/>
  <c r="J65" i="2"/>
  <c r="C63" i="2"/>
  <c r="C47" i="2"/>
  <c r="S66" i="2"/>
  <c r="S67" i="2"/>
  <c r="S65" i="2"/>
  <c r="AZ66" i="2"/>
  <c r="AZ67" i="2"/>
  <c r="AZ65" i="2"/>
  <c r="O66" i="2"/>
  <c r="O67" i="2"/>
  <c r="O65" i="2"/>
  <c r="N66" i="2"/>
  <c r="N67" i="2"/>
  <c r="N65" i="2"/>
  <c r="AS67" i="2"/>
  <c r="AS66" i="2"/>
  <c r="AS65" i="2"/>
  <c r="X68" i="2"/>
  <c r="E18" i="1"/>
  <c r="AC67" i="2"/>
  <c r="AC66" i="2"/>
  <c r="AC65" i="2"/>
  <c r="R41" i="2"/>
  <c r="R46" i="2"/>
  <c r="M67" i="2"/>
  <c r="M66" i="2"/>
  <c r="M65" i="2"/>
  <c r="AW67" i="2"/>
  <c r="AW66" i="2"/>
  <c r="AW65" i="2"/>
  <c r="W66" i="2"/>
  <c r="W67" i="2"/>
  <c r="W65" i="2"/>
  <c r="L68" i="2"/>
  <c r="E9" i="1"/>
  <c r="AT68" i="2"/>
  <c r="E52" i="1"/>
  <c r="E67" i="2"/>
  <c r="E66" i="2"/>
  <c r="E65" i="2"/>
  <c r="L66" i="2" l="1"/>
  <c r="L67" i="2"/>
  <c r="L65" i="2"/>
  <c r="X66" i="2"/>
  <c r="X65" i="2"/>
  <c r="X67" i="2"/>
  <c r="C68" i="2"/>
  <c r="E26" i="1"/>
  <c r="AT66" i="2"/>
  <c r="AT65" i="2"/>
  <c r="AT67" i="2"/>
  <c r="T66" i="2"/>
  <c r="T65" i="2"/>
  <c r="T67" i="2"/>
  <c r="AB66" i="2"/>
  <c r="AB67" i="2"/>
  <c r="AB65" i="2"/>
  <c r="AV67" i="2"/>
  <c r="AV66" i="2"/>
  <c r="AV65" i="2"/>
  <c r="AX66" i="2"/>
  <c r="AX67" i="2"/>
  <c r="AX65" i="2"/>
  <c r="D66" i="2"/>
  <c r="D67" i="2"/>
  <c r="D65" i="2"/>
  <c r="AO68" i="2"/>
  <c r="E47" i="1"/>
  <c r="R63" i="2"/>
  <c r="R47" i="2"/>
  <c r="AP66" i="2"/>
  <c r="AP67" i="2"/>
  <c r="AP65" i="2"/>
  <c r="AN68" i="2"/>
  <c r="E46" i="1"/>
  <c r="Q67" i="2"/>
  <c r="Q65" i="2"/>
  <c r="Q66" i="2"/>
  <c r="AJ66" i="2"/>
  <c r="AJ65" i="2"/>
  <c r="AJ67" i="2"/>
  <c r="AY68" i="2"/>
  <c r="E27" i="1"/>
  <c r="AF66" i="2"/>
  <c r="AF67" i="2"/>
  <c r="AF65" i="2"/>
  <c r="H66" i="2"/>
  <c r="H67" i="2"/>
  <c r="H65" i="2"/>
  <c r="AL68" i="2"/>
  <c r="E44" i="1"/>
  <c r="AM68" i="2"/>
  <c r="E45" i="1"/>
  <c r="P66" i="2"/>
  <c r="P67" i="2"/>
  <c r="P65" i="2"/>
  <c r="AM67" i="2" l="1"/>
  <c r="AM66" i="2"/>
  <c r="AM65" i="2"/>
  <c r="AO67" i="2"/>
  <c r="AO65" i="2"/>
  <c r="AO66" i="2"/>
  <c r="C66" i="2"/>
  <c r="C67" i="2"/>
  <c r="C65" i="2"/>
  <c r="AN66" i="2"/>
  <c r="AN67" i="2"/>
  <c r="AN65" i="2"/>
  <c r="R68" i="2"/>
  <c r="E43" i="1"/>
  <c r="AL66" i="2"/>
  <c r="AL67" i="2"/>
  <c r="AL65" i="2"/>
  <c r="AY67" i="2"/>
  <c r="AY66" i="2"/>
  <c r="AY65" i="2"/>
  <c r="R66" i="2" l="1"/>
  <c r="R67" i="2"/>
  <c r="R65" i="2"/>
</calcChain>
</file>

<file path=xl/sharedStrings.xml><?xml version="1.0" encoding="utf-8"?>
<sst xmlns="http://schemas.openxmlformats.org/spreadsheetml/2006/main" count="1644" uniqueCount="362">
  <si>
    <t>Data collection</t>
  </si>
  <si>
    <t>The data below is the data used to determine the output of each feature. Notes included</t>
  </si>
  <si>
    <t>Feature</t>
  </si>
  <si>
    <t>Huuuge Casino</t>
  </si>
  <si>
    <t>DoubleDown</t>
  </si>
  <si>
    <t>Big Fish Casino</t>
  </si>
  <si>
    <t>GSN Casino</t>
  </si>
  <si>
    <t>Heart of Vegas</t>
  </si>
  <si>
    <t>House of Fun</t>
  </si>
  <si>
    <t>Jackpot Party HD</t>
  </si>
  <si>
    <t>DoubleU Casino</t>
  </si>
  <si>
    <t>Wizard of Oz</t>
  </si>
  <si>
    <t>Hit It Rich</t>
  </si>
  <si>
    <t>Slotomania HD</t>
  </si>
  <si>
    <t>Gold Fish HD</t>
  </si>
  <si>
    <t>Quick Hit Slots</t>
  </si>
  <si>
    <t>Caesars Slots</t>
  </si>
  <si>
    <t>Wonka Slots</t>
  </si>
  <si>
    <t>my KONAMI</t>
  </si>
  <si>
    <t>Black Diamond Slots</t>
  </si>
  <si>
    <t>Ellen’s Road to Riches</t>
  </si>
  <si>
    <t>Input numbers that come from the data tab</t>
  </si>
  <si>
    <t>Jackpot Magic Slots</t>
  </si>
  <si>
    <t>myVEGAS</t>
  </si>
  <si>
    <t>Scatter Slots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</si>
  <si>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</si>
  <si>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</si>
  <si>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</si>
  <si>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</si>
  <si>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</si>
  <si>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</si>
  <si>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</si>
  <si>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</si>
  <si>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</si>
  <si>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Xtreme Slots</t>
  </si>
  <si>
    <t>Old Vegas</t>
  </si>
  <si>
    <t>88 Fortune Slots</t>
  </si>
  <si>
    <t>Cashman Casino</t>
  </si>
  <si>
    <t>Spin to Win Slots</t>
  </si>
  <si>
    <t>Bingo Bash</t>
  </si>
  <si>
    <t>Bingo Blitz</t>
  </si>
  <si>
    <t>Bingo Party</t>
  </si>
  <si>
    <t>Monopoly Bingo</t>
  </si>
  <si>
    <t>Bingo Showdown</t>
  </si>
  <si>
    <t>Bingo Pop</t>
  </si>
  <si>
    <t>WSOP</t>
  </si>
  <si>
    <t>Zynga - Texas Holdem</t>
  </si>
  <si>
    <t>Poker Heat</t>
  </si>
  <si>
    <t>Scatter HoldEm Poker</t>
  </si>
  <si>
    <t>Fresh Deck</t>
  </si>
  <si>
    <t>Pokerist</t>
  </si>
  <si>
    <t>Texas Holdem</t>
  </si>
  <si>
    <t>Slots on Tour</t>
  </si>
  <si>
    <t>Monopoly Slots</t>
  </si>
  <si>
    <t>Primary bonus amount</t>
  </si>
  <si>
    <t>Daily Spin</t>
  </si>
  <si>
    <t>Wheel of Fun</t>
  </si>
  <si>
    <t>Daily Stamp</t>
  </si>
  <si>
    <t>Daily Streak Amount</t>
  </si>
  <si>
    <t>Daily Streak Award</t>
  </si>
  <si>
    <t>Lotto Bonus</t>
  </si>
  <si>
    <t>Daily Catch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</si>
  <si>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</si>
  <si>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</si>
  <si>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</si>
  <si>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</si>
  <si>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</si>
  <si>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</si>
  <si>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</si>
  <si>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</si>
  <si>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</si>
  <si>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</si>
  <si>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</si>
  <si>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</si>
  <si>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</si>
  <si>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</si>
  <si>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LIQUID AND GRIT'S ECONOMY SPREADSHEET</t>
  </si>
  <si>
    <t>This spreadsheet includes the economy analysis for many of the top apps</t>
  </si>
  <si>
    <t>Daily Reward</t>
  </si>
  <si>
    <t>Category</t>
  </si>
  <si>
    <t>Number</t>
  </si>
  <si>
    <t>Notes</t>
  </si>
  <si>
    <t>Mega Bonus</t>
  </si>
  <si>
    <t>Lucky Bonus</t>
  </si>
  <si>
    <t>Daily Reveiw</t>
  </si>
  <si>
    <t>Free Daily Spin</t>
  </si>
  <si>
    <t>Hours players can play and collect per day</t>
  </si>
  <si>
    <t>Adjust this number based on the engagement of the player group</t>
  </si>
  <si>
    <t>42000 Coins, 20 Shields</t>
  </si>
  <si>
    <t>Vlookup number</t>
  </si>
  <si>
    <t>ID</t>
  </si>
  <si>
    <t>Game</t>
  </si>
  <si>
    <t>Type</t>
  </si>
  <si>
    <t>New User Balance</t>
  </si>
  <si>
    <t>Daily Free Value</t>
  </si>
  <si>
    <t>Default Tuning</t>
  </si>
  <si>
    <t>Minimum Tuning</t>
  </si>
  <si>
    <t>Currency conversion</t>
  </si>
  <si>
    <t>$1 Props (Default Bet)</t>
  </si>
  <si>
    <t>$1 Props (Min Bet)</t>
  </si>
  <si>
    <t>Default Bet</t>
  </si>
  <si>
    <t>Minimum Bet</t>
  </si>
  <si>
    <t>496000 Coins, 15 Shields</t>
  </si>
  <si>
    <t>Slots</t>
  </si>
  <si>
    <t>73500 Coins, 20 Shields</t>
  </si>
  <si>
    <t>85800 Coins, 25 Sheilds</t>
  </si>
  <si>
    <t>Starting Balance (Explained)</t>
  </si>
  <si>
    <t>10000000 Coins, 1 Bronze Ticket</t>
  </si>
  <si>
    <t>1000000 Chips</t>
  </si>
  <si>
    <t>100000 Chips</t>
  </si>
  <si>
    <t>12500 Coins</t>
  </si>
  <si>
    <t>2000000 Coins</t>
  </si>
  <si>
    <t>1000 Coins</t>
  </si>
  <si>
    <t>6000000 Coins</t>
  </si>
  <si>
    <t>1000000 Coins</t>
  </si>
  <si>
    <t>4500000 Coins</t>
  </si>
  <si>
    <t>105600 Coins, 30 Sheilds</t>
  </si>
  <si>
    <t>1520000 Coins</t>
  </si>
  <si>
    <t>10000 Coins</t>
  </si>
  <si>
    <t>1250000 Coins</t>
  </si>
  <si>
    <t>40000 Coins</t>
  </si>
  <si>
    <t>1800000 Coins</t>
  </si>
  <si>
    <t>100000 Chips, 6 Tickets</t>
  </si>
  <si>
    <t>5000000 Coins</t>
  </si>
  <si>
    <t>50000 Chips, 100 Loyalty Points</t>
  </si>
  <si>
    <t>12,000,000 Coins, 50 Gems</t>
  </si>
  <si>
    <t>2000 Coins</t>
  </si>
  <si>
    <t>3000000 Coins</t>
  </si>
  <si>
    <t>30000 Chips, 100 Loyalty Points</t>
  </si>
  <si>
    <t>1400000 Coins</t>
  </si>
  <si>
    <t>323250 Coins</t>
  </si>
  <si>
    <t>150 Coins, 10 Gems, 1,000 Black Diamonds</t>
  </si>
  <si>
    <t>10,000 Coins, 3 Diamonds</t>
  </si>
  <si>
    <t>15000 Coins</t>
  </si>
  <si>
    <t>200000 Coins</t>
  </si>
  <si>
    <t>2,500 Coins, 24 Bingo Chips, 25 Boosts</t>
  </si>
  <si>
    <t>5,000 coins, 50 Bingo Chips, 30 Boosts</t>
  </si>
  <si>
    <t>500 BingoTickets, 30Boosts</t>
  </si>
  <si>
    <t>2,000 Money, 20 Gems, 30 Dice</t>
  </si>
  <si>
    <t>12 Tickets, 16 Boosts</t>
  </si>
  <si>
    <t>68 Cherries, 17,500 Coins</t>
  </si>
  <si>
    <t>250,000 Chips</t>
  </si>
  <si>
    <t>80,000 Chips, 5 gold coins</t>
  </si>
  <si>
    <t>15,000 Chips</t>
  </si>
  <si>
    <t>1,000,000 Coins, 20 Gems</t>
  </si>
  <si>
    <t>95000 Chips</t>
  </si>
  <si>
    <t>5,000 Chips, 10 Gold Coins</t>
  </si>
  <si>
    <t>800 Chips</t>
  </si>
  <si>
    <t>4,000,000 Coins, 200 Gems</t>
  </si>
  <si>
    <t xml:space="preserve">400,000 Coins, 10 Bucks </t>
  </si>
  <si>
    <t>New User Value</t>
  </si>
  <si>
    <t>Secondary coin bonus</t>
  </si>
  <si>
    <t>Coin Shop</t>
  </si>
  <si>
    <t>N/A</t>
  </si>
  <si>
    <t>Gold Vault - L15/T1</t>
  </si>
  <si>
    <t>Instant Deal</t>
  </si>
  <si>
    <t>Coin Bonus</t>
  </si>
  <si>
    <t>Inbox Free Coins</t>
  </si>
  <si>
    <t>Bonus</t>
  </si>
  <si>
    <t>Mystery Box</t>
  </si>
  <si>
    <t>Monthly Magic Bonus</t>
  </si>
  <si>
    <t>Bonus Spin w/o Streak</t>
  </si>
  <si>
    <t>Store Bonus</t>
  </si>
  <si>
    <t>Bonus Spin</t>
  </si>
  <si>
    <t>Legacy Bonus</t>
  </si>
  <si>
    <t>Monthly Morsels</t>
  </si>
  <si>
    <t>Daily Inbox Gift</t>
  </si>
  <si>
    <t>Daily Streak Bonus</t>
  </si>
  <si>
    <t>Mitzy Gift</t>
  </si>
  <si>
    <t>Hourly Bonus</t>
  </si>
  <si>
    <t>Mega Bonus - Skill Game</t>
  </si>
  <si>
    <t>Collect Bonus</t>
  </si>
  <si>
    <t>Bonus Coins</t>
  </si>
  <si>
    <t>CoinBonus</t>
  </si>
  <si>
    <t>Inbox Retention Gifts</t>
  </si>
  <si>
    <t>Xtreme Bonus</t>
  </si>
  <si>
    <t>Turbo Reward</t>
  </si>
  <si>
    <t>Lobby Bonus</t>
  </si>
  <si>
    <t>Daily Bonus Wheel</t>
  </si>
  <si>
    <t>Daily Collect</t>
  </si>
  <si>
    <t>Sctatcher - level 10</t>
  </si>
  <si>
    <t>Return Bonus</t>
  </si>
  <si>
    <t>Mega Bonus Wheel</t>
  </si>
  <si>
    <t>Hourly Spin &amp; Win</t>
  </si>
  <si>
    <t>Income</t>
  </si>
  <si>
    <t>-</t>
  </si>
  <si>
    <t>New User Currency Balance</t>
  </si>
  <si>
    <t>Primary bonuses awarded / day</t>
  </si>
  <si>
    <t>Tertiary coin bonus</t>
  </si>
  <si>
    <t>Lottery</t>
  </si>
  <si>
    <t>Sliver Vault</t>
  </si>
  <si>
    <t>Lucky Wheel</t>
  </si>
  <si>
    <t>Bonus w/o Streak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</si>
  <si>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</si>
  <si>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</si>
  <si>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</si>
  <si>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</si>
  <si>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</si>
  <si>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</si>
  <si>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</si>
  <si>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Special Bonus</t>
  </si>
  <si>
    <t>Lobby Chips</t>
  </si>
  <si>
    <t>Amount collected time set time period</t>
  </si>
  <si>
    <t>Other bonus</t>
  </si>
  <si>
    <t>Bronze Vault</t>
  </si>
  <si>
    <t>Watch for Coins</t>
  </si>
  <si>
    <t>$ value of free coins</t>
  </si>
  <si>
    <t>Average primary bonus awarded / day</t>
  </si>
  <si>
    <t>Players receive 30 diamonds @L10 and added to new user value ~10min to level up to L10</t>
  </si>
  <si>
    <t>watch to earn now speeds up the bronze vault x1 - Increase to return bonus was 1k each consecutive day max 25K</t>
  </si>
  <si>
    <t>Higher Lucky Wheel amounts</t>
  </si>
  <si>
    <t>Monthly Magic unlocks L15</t>
  </si>
  <si>
    <t>daily bonus multiplier now upto x5 for 5days in a row</t>
  </si>
  <si>
    <t>Legacy Bonus timer resets at 5pm PST server clock</t>
  </si>
  <si>
    <t>Monthly Morsels unlocks L20</t>
  </si>
  <si>
    <t>Ticket value based on weighted average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</si>
  <si>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</si>
  <si>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</si>
  <si>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</si>
  <si>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</si>
  <si>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</si>
  <si>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total bet = sweepstakes entry *accumulates on fs - daily reward bonus increases by 10K daily, daily wheel bonus multiplier = xdays streak</t>
  </si>
  <si>
    <t>Primary bingo play currency (dice) is bought with gems -33 dice for 120 gems -&gt; 120 gems for 4.99 - new users awarded 30 dice as daily bonus then all daily collections are 20 for D1-D5 - W2E = 5 gems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</si>
  <si>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</si>
  <si>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</si>
  <si>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</si>
  <si>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</si>
  <si>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</si>
  <si>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</si>
  <si>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1 Sliver chest awarded as part of daily bonus. Used average of rewards (7 chest collections) 530,286 coins and 35 gems for conversion</t>
  </si>
  <si>
    <t>Income collected @L3 - no $value of bucks - D1 daily bonus bonus assumption no notification</t>
  </si>
  <si>
    <t>Starting Balance</t>
  </si>
  <si>
    <t>10000000 Coins, 1 Bronze Ticket, 30 Diamonds</t>
  </si>
  <si>
    <t>2,000 Money, 20 Gems</t>
  </si>
  <si>
    <t>250,000 chips</t>
  </si>
  <si>
    <t>35,000 Chips, 1 Gold</t>
  </si>
  <si>
    <t>4,000,000 coins, 200 Gems</t>
  </si>
  <si>
    <t xml:space="preserve">400,000 coins, 10 bucks </t>
  </si>
  <si>
    <t>Currency Conversions</t>
  </si>
  <si>
    <t>Other currencies</t>
  </si>
  <si>
    <t>Bronze Tickets</t>
  </si>
  <si>
    <t>Magic Spin Gem</t>
  </si>
  <si>
    <t>Gems</t>
  </si>
  <si>
    <t>Diamonds</t>
  </si>
  <si>
    <t>Coins</t>
  </si>
  <si>
    <t>Boosts</t>
  </si>
  <si>
    <t>Gold Coins</t>
  </si>
  <si>
    <t>Gold</t>
  </si>
  <si>
    <t>Bucks</t>
  </si>
  <si>
    <t>Amount of currency</t>
  </si>
  <si>
    <t>Cost of currency</t>
  </si>
  <si>
    <t>Cost each</t>
  </si>
  <si>
    <t>Secondary bonus awarded / day</t>
  </si>
  <si>
    <t>Black Diamonds</t>
  </si>
  <si>
    <t>Money</t>
  </si>
  <si>
    <t>Mini Games</t>
  </si>
  <si>
    <t>Pull Tabs/Scratchers</t>
  </si>
  <si>
    <t>Scratchers</t>
  </si>
  <si>
    <t>Streak mulitplier</t>
  </si>
  <si>
    <t>Wonka Bars</t>
  </si>
  <si>
    <t>D1 = 4K</t>
  </si>
  <si>
    <t>D1 = 1x</t>
  </si>
  <si>
    <t>Value</t>
  </si>
  <si>
    <t>Streak information</t>
  </si>
  <si>
    <t>D1 = 1000</t>
  </si>
  <si>
    <t>D1 = 6000</t>
  </si>
  <si>
    <t>D2 = 8k</t>
  </si>
  <si>
    <t>D2 = 2x</t>
  </si>
  <si>
    <t xml:space="preserve">D1 = </t>
  </si>
  <si>
    <t>D1 = 1 Tap</t>
  </si>
  <si>
    <t>D1 = 40</t>
  </si>
  <si>
    <t>D1 = 5k</t>
  </si>
  <si>
    <t>D1 = 500000 Coins, 2 Spins</t>
  </si>
  <si>
    <t>D1 = 500</t>
  </si>
  <si>
    <t>D1 = 30000</t>
  </si>
  <si>
    <t>bingo credits</t>
  </si>
  <si>
    <t>Daily Streak</t>
  </si>
  <si>
    <t>D2 = 2000</t>
  </si>
  <si>
    <t>D5 = 10000</t>
  </si>
  <si>
    <t>D3 = 12k</t>
  </si>
  <si>
    <t>D3 = 3x</t>
  </si>
  <si>
    <t xml:space="preserve">D2 = </t>
  </si>
  <si>
    <t>D2 = 1.5x</t>
  </si>
  <si>
    <t>D2 = 2 Taps</t>
  </si>
  <si>
    <t>D2 = 80</t>
  </si>
  <si>
    <t>D2 = 5k</t>
  </si>
  <si>
    <t>D2 = 1000000 Coins, 4 Spins</t>
  </si>
  <si>
    <t>D2 = 1000</t>
  </si>
  <si>
    <t>D2 = 40000</t>
  </si>
  <si>
    <t>coins</t>
  </si>
  <si>
    <t>D3 = 3000</t>
  </si>
  <si>
    <t>D10 = 15000</t>
  </si>
  <si>
    <t>D4 = 16k</t>
  </si>
  <si>
    <t>D4 = 4x</t>
  </si>
  <si>
    <t xml:space="preserve">D3 = </t>
  </si>
  <si>
    <t>D3 = 2x</t>
  </si>
  <si>
    <t>D3 = 3 Taps</t>
  </si>
  <si>
    <t>D3 = 120</t>
  </si>
  <si>
    <t>D3 = 5k</t>
  </si>
  <si>
    <t>D3 = 2000000 Coins, 6 Spins</t>
  </si>
  <si>
    <t>D3 = 1500</t>
  </si>
  <si>
    <t>D3 = 50000</t>
  </si>
  <si>
    <t>power ups</t>
  </si>
  <si>
    <t>D4 = 4000</t>
  </si>
  <si>
    <t>D15 = 20000</t>
  </si>
  <si>
    <t>D5 = 20k</t>
  </si>
  <si>
    <t>D5 = 5x</t>
  </si>
  <si>
    <t xml:space="preserve">D4 = </t>
  </si>
  <si>
    <t>D4 = 4 Taps</t>
  </si>
  <si>
    <t>D4 = 160</t>
  </si>
  <si>
    <t>D4 = 5k</t>
  </si>
  <si>
    <t>D4 = 5000000 Coins, 8 Spins</t>
  </si>
  <si>
    <t>D4 = 2000</t>
  </si>
  <si>
    <t>D4 = 65000</t>
  </si>
  <si>
    <t>D5= 5000</t>
  </si>
  <si>
    <t>D25 = 30000</t>
  </si>
  <si>
    <t xml:space="preserve">D5 = </t>
  </si>
  <si>
    <t>D5 = 5 Taps</t>
  </si>
  <si>
    <t>D5 = 200</t>
  </si>
  <si>
    <t>D5 = 7500</t>
  </si>
  <si>
    <t>D5 = 10000000 Coins, 10 Spins</t>
  </si>
  <si>
    <t>D5 = 2500</t>
  </si>
  <si>
    <t>D5= 85000</t>
  </si>
  <si>
    <t>D5= 5x</t>
  </si>
  <si>
    <t>Average secondary bonus awarded / day</t>
  </si>
  <si>
    <t>Tertiary bonus awarded / day</t>
  </si>
  <si>
    <t>Bingo</t>
  </si>
  <si>
    <t>Average tertiary bonus awarded / day</t>
  </si>
  <si>
    <t>Other bonus awarded / day</t>
  </si>
  <si>
    <t>Poker</t>
  </si>
  <si>
    <t>Average other bonus awarded / day</t>
  </si>
  <si>
    <t>~$5 worth of primary currency (non-sale)</t>
  </si>
  <si>
    <t>Cost of currency (~$5)</t>
  </si>
  <si>
    <t xml:space="preserve">Default bet value </t>
  </si>
  <si>
    <t>Choose Bet</t>
  </si>
  <si>
    <t xml:space="preserve">Minimum bet value </t>
  </si>
  <si>
    <t>Results</t>
  </si>
  <si>
    <t>Value of new user coin balance</t>
  </si>
  <si>
    <t>Total primary bonus awarded daily</t>
  </si>
  <si>
    <t>Primary coin bonus daily coin value</t>
  </si>
  <si>
    <t>Total secondary bonus amount daily</t>
  </si>
  <si>
    <t>Secondary coin bonus daily coin value</t>
  </si>
  <si>
    <t>Total tertiary bonus amount daily</t>
  </si>
  <si>
    <t>Tertiary coin bonus daily coin value</t>
  </si>
  <si>
    <t>Total Other bonus amount daily</t>
  </si>
  <si>
    <t>Other coin bonus daily coin value</t>
  </si>
  <si>
    <t xml:space="preserve"> Total daily coin balance </t>
  </si>
  <si>
    <t>Total daily coin balance value</t>
  </si>
  <si>
    <t>$1 worth of chips (at $5 package)</t>
  </si>
  <si>
    <t>Default bet value</t>
  </si>
  <si>
    <t>Minimum bet value</t>
  </si>
  <si>
    <t>Default tuning</t>
  </si>
  <si>
    <t>Minimum bet tuning</t>
  </si>
  <si>
    <t>Currency value in propositions (default bet)</t>
  </si>
  <si>
    <t>Currency value in propositions (minimum bet)</t>
  </si>
  <si>
    <t>Bet/Chips (Default bet)</t>
  </si>
  <si>
    <t>Bet/Chips (Minimum Bet)</t>
  </si>
  <si>
    <t>Faucet Props (Default bet)</t>
  </si>
  <si>
    <t>% of value in primary</t>
  </si>
  <si>
    <t>% of value in secondary</t>
  </si>
  <si>
    <t>% of value in 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</si>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</sst>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;"/>
    <numFmt numFmtId="166" formatCode="0.0"/>
    <numFmt numFmtId="167" formatCode="_(* #,##0_);_(* \(#,##0\);_(* &quot;-&quot;??_);_(@_)"/>
  </numFmts>
  <fonts count="27">
    <font>
      <sz val="12"/>
      <color rgb="FF000000"/>
      <name val="Calibri"/>
    </font>
    <font>
      <b/>
      <sz val="12"/>
      <color rgb="FF62C3FF"/>
      <name val="Montserrat"/>
    </font>
    <font>
      <b/>
      <i/>
      <sz val="24"/>
      <color rgb="FFFFFFFF"/>
      <name val="Montserrat"/>
    </font>
    <font>
      <b/>
      <i/>
      <sz val="12"/>
      <color rgb="FF2281E0"/>
      <name val="Montserrat"/>
    </font>
    <font>
      <b/>
      <sz val="12"/>
      <color rgb="FF2281E0"/>
      <name val="Montserrat"/>
    </font>
    <font>
      <sz val="24"/>
      <color rgb="FF20304F"/>
      <name val="Montserrat"/>
    </font>
    <font>
      <b/>
      <sz val="24"/>
      <color rgb="FFFFFFFF"/>
      <name val="Montserrat"/>
    </font>
    <font>
      <sz val="12"/>
      <color rgb="FF20304F"/>
      <name val="Montserrat"/>
    </font>
    <font>
      <sz val="12"/>
      <name val="Montserrat"/>
    </font>
    <font>
      <sz val="24"/>
      <color rgb="FFFFFFFF"/>
      <name val="Montserrat"/>
    </font>
    <font>
      <b/>
      <sz val="12"/>
      <color rgb="FF20304F"/>
      <name val="Montserrat"/>
    </font>
    <font>
      <i/>
      <sz val="12"/>
      <color rgb="FF20304F"/>
      <name val="Montserrat"/>
    </font>
    <font>
      <b/>
      <i/>
      <sz val="30"/>
      <color rgb="FF62C3FF"/>
      <name val="Montserrat"/>
    </font>
    <font>
      <sz val="12"/>
      <color rgb="FF20304F"/>
      <name val="Montserrat"/>
    </font>
    <font>
      <b/>
      <sz val="12"/>
      <color rgb="FFFFFFFF"/>
      <name val="Montserrat"/>
    </font>
    <font>
      <b/>
      <sz val="12"/>
      <color rgb="FFFFFFFF"/>
      <name val="Montserrat"/>
    </font>
    <font>
      <b/>
      <i/>
      <sz val="12"/>
      <color rgb="FFFFFFFF"/>
      <name val="Montserrat"/>
    </font>
    <font>
      <b/>
      <sz val="11"/>
      <color rgb="FF62C3FF"/>
      <name val="Montserrat"/>
    </font>
    <font>
      <sz val="12"/>
      <color rgb="FF62C3FF"/>
      <name val="Montserrat"/>
    </font>
    <font>
      <sz val="11"/>
      <color rgb="FF20304F"/>
      <name val="Montserrat"/>
    </font>
    <font>
      <b/>
      <sz val="11"/>
      <color rgb="FF20304F"/>
      <name val="Montserrat"/>
    </font>
    <font>
      <sz val="11"/>
      <color rgb="FF62C3FF"/>
      <name val="Montserrat"/>
    </font>
    <font>
      <sz val="12"/>
      <name val="Montserrat"/>
    </font>
    <font>
      <sz val="12"/>
      <color rgb="FFFFFFFF"/>
      <name val="Montserrat"/>
    </font>
    <font>
      <i/>
      <sz val="12"/>
      <color rgb="FFFFFFFF"/>
      <name val="Montserrat"/>
    </font>
    <font>
      <sz val="12"/>
      <color rgb="FF000000"/>
      <name val="Montserrat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2281E0"/>
        <bgColor rgb="FF2281E0"/>
      </patternFill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/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/>
      <right/>
      <top/>
      <bottom style="medium">
        <color rgb="FF9CC2E5"/>
      </bottom>
      <diagonal/>
    </border>
    <border>
      <left/>
      <right/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 style="thin">
        <color rgb="FF20304F"/>
      </left>
      <right/>
      <top style="thin">
        <color rgb="FF20304F"/>
      </top>
      <bottom style="dotted">
        <color rgb="FF20304F"/>
      </bottom>
      <diagonal/>
    </border>
    <border>
      <left/>
      <right/>
      <top style="thin">
        <color rgb="FF20304F"/>
      </top>
      <bottom style="dotted">
        <color rgb="FF20304F"/>
      </bottom>
      <diagonal/>
    </border>
    <border>
      <left/>
      <right style="thin">
        <color rgb="FF20304F"/>
      </right>
      <top style="thin">
        <color rgb="FF20304F"/>
      </top>
      <bottom style="dotted">
        <color rgb="FF20304F"/>
      </bottom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 style="thin">
        <color rgb="FF20304F"/>
      </left>
      <right/>
      <top/>
      <bottom style="thin">
        <color rgb="FF20304F"/>
      </bottom>
      <diagonal/>
    </border>
    <border>
      <left style="dotted">
        <color rgb="FF20304F"/>
      </left>
      <right style="dotted">
        <color rgb="FF20304F"/>
      </right>
      <top/>
      <bottom style="thin">
        <color rgb="FF20304F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/>
      <top/>
      <bottom style="thin">
        <color rgb="FF20304F"/>
      </bottom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 style="thin">
        <color rgb="FF7F7F7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20304F"/>
      </left>
      <right/>
      <top style="thin">
        <color rgb="FF20304F"/>
      </top>
      <bottom/>
      <diagonal/>
    </border>
    <border>
      <left/>
      <right/>
      <top style="thin">
        <color rgb="FF20304F"/>
      </top>
      <bottom/>
      <diagonal/>
    </border>
    <border>
      <left/>
      <right style="thin">
        <color rgb="FF20304F"/>
      </right>
      <top style="thin">
        <color rgb="FF20304F"/>
      </top>
      <bottom/>
      <diagonal/>
    </border>
    <border>
      <left style="thin">
        <color rgb="FF20304F"/>
      </left>
      <right/>
      <top style="thin">
        <color rgb="FF20304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thin">
        <color rgb="FF20304F"/>
      </left>
      <right style="double">
        <color rgb="FF20304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thin">
        <color rgb="FF20304F"/>
      </right>
      <top style="thin">
        <color rgb="FF20304F"/>
      </top>
      <bottom style="dotted">
        <color rgb="FF62C3FF"/>
      </bottom>
      <diagonal/>
    </border>
    <border>
      <left style="thin">
        <color rgb="FF20304F"/>
      </left>
      <right/>
      <top style="dotted">
        <color rgb="FF62C3F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dotted">
        <color rgb="FF62C3FF"/>
      </top>
      <bottom style="dotted">
        <color rgb="FF62C3FF"/>
      </bottom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thin">
        <color rgb="FF20304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/>
      <top style="dotted">
        <color rgb="FF62C3FF"/>
      </top>
      <bottom/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thin">
        <color rgb="FF20304F"/>
      </bottom>
      <diagonal/>
    </border>
    <border>
      <left style="medium">
        <color rgb="FF20304F"/>
      </left>
      <right style="medium">
        <color rgb="FF20304F"/>
      </right>
      <top style="dotted">
        <color rgb="FF62C3FF"/>
      </top>
      <bottom style="medium">
        <color rgb="FF20304F"/>
      </bottom>
      <diagonal/>
    </border>
    <border>
      <left style="medium">
        <color rgb="FF20304F"/>
      </left>
      <right style="dotted">
        <color rgb="FF62C3FF"/>
      </right>
      <top style="dotted">
        <color rgb="FF62C3FF"/>
      </top>
      <bottom style="medium">
        <color rgb="FF20304F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medium">
        <color rgb="FF20304F"/>
      </bottom>
      <diagonal/>
    </border>
    <border>
      <left style="dotted">
        <color rgb="FF62C3FF"/>
      </left>
      <right style="thin">
        <color rgb="FF20304F"/>
      </right>
      <top style="dotted">
        <color rgb="FF62C3FF"/>
      </top>
      <bottom style="medium">
        <color rgb="FF20304F"/>
      </bottom>
      <diagonal/>
    </border>
    <border>
      <left/>
      <right/>
      <top style="dotted">
        <color rgb="FF62C3FF"/>
      </top>
      <bottom/>
      <diagonal/>
    </border>
  </borders>
  <cellStyleXfs count="1">
    <xf numFmtId="0" fontId="0" fillId="0" borderId="0"/>
  </cellStyleXfs>
  <cellXfs count="239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5" fillId="0" borderId="0" xfId="0" applyFont="1" applyAlignment="1">
      <alignment vertical="center"/>
    </xf>
    <xf numFmtId="0" fontId="4" fillId="0" borderId="4" xfId="0" applyFont="1" applyBorder="1" applyAlignment="1"/>
    <xf numFmtId="0" fontId="6" fillId="2" borderId="5" xfId="0" applyFont="1" applyFill="1" applyBorder="1" applyAlignment="1">
      <alignment vertical="center"/>
    </xf>
    <xf numFmtId="0" fontId="7" fillId="0" borderId="0" xfId="0" applyFont="1" applyAlignment="1"/>
    <xf numFmtId="0" fontId="8" fillId="3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/>
    <xf numFmtId="0" fontId="12" fillId="4" borderId="6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3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3" borderId="12" xfId="0" applyFont="1" applyFill="1" applyBorder="1"/>
    <xf numFmtId="0" fontId="10" fillId="3" borderId="13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14" xfId="0" applyFont="1" applyFill="1" applyBorder="1"/>
    <xf numFmtId="0" fontId="7" fillId="3" borderId="11" xfId="0" applyFont="1" applyFill="1" applyBorder="1" applyAlignment="1">
      <alignment horizontal="center"/>
    </xf>
    <xf numFmtId="0" fontId="11" fillId="0" borderId="0" xfId="0" applyFont="1"/>
    <xf numFmtId="0" fontId="7" fillId="0" borderId="16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/>
    </xf>
    <xf numFmtId="0" fontId="11" fillId="0" borderId="19" xfId="0" applyFont="1" applyBorder="1"/>
    <xf numFmtId="3" fontId="7" fillId="5" borderId="18" xfId="0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3" fontId="7" fillId="5" borderId="18" xfId="0" applyNumberFormat="1" applyFont="1" applyFill="1" applyBorder="1" applyAlignment="1">
      <alignment horizontal="center"/>
    </xf>
    <xf numFmtId="0" fontId="11" fillId="0" borderId="20" xfId="0" applyFont="1" applyBorder="1"/>
    <xf numFmtId="3" fontId="7" fillId="5" borderId="18" xfId="0" applyNumberFormat="1" applyFont="1" applyFill="1" applyBorder="1" applyAlignment="1">
      <alignment horizontal="center" wrapText="1"/>
    </xf>
    <xf numFmtId="0" fontId="15" fillId="5" borderId="0" xfId="0" applyFont="1" applyFill="1"/>
    <xf numFmtId="0" fontId="16" fillId="3" borderId="21" xfId="0" applyFont="1" applyFill="1" applyBorder="1"/>
    <xf numFmtId="0" fontId="7" fillId="0" borderId="18" xfId="0" applyFont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/>
    <xf numFmtId="0" fontId="16" fillId="3" borderId="22" xfId="0" applyFont="1" applyFill="1" applyBorder="1" applyAlignment="1">
      <alignment horizontal="right"/>
    </xf>
    <xf numFmtId="0" fontId="16" fillId="3" borderId="23" xfId="0" applyFont="1" applyFill="1" applyBorder="1" applyAlignment="1">
      <alignment horizontal="right"/>
    </xf>
    <xf numFmtId="0" fontId="17" fillId="4" borderId="24" xfId="0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17" fillId="4" borderId="2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wrapText="1"/>
    </xf>
    <xf numFmtId="0" fontId="19" fillId="0" borderId="27" xfId="0" applyFont="1" applyBorder="1"/>
    <xf numFmtId="0" fontId="20" fillId="0" borderId="28" xfId="0" applyFont="1" applyBorder="1"/>
    <xf numFmtId="0" fontId="7" fillId="0" borderId="29" xfId="0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wrapText="1"/>
    </xf>
    <xf numFmtId="3" fontId="7" fillId="0" borderId="30" xfId="0" applyNumberFormat="1" applyFont="1" applyBorder="1" applyAlignment="1">
      <alignment horizontal="center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17" fillId="4" borderId="7" xfId="0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wrapText="1"/>
    </xf>
    <xf numFmtId="3" fontId="11" fillId="0" borderId="11" xfId="0" applyNumberFormat="1" applyFont="1" applyBorder="1" applyAlignment="1">
      <alignment horizontal="center" wrapText="1"/>
    </xf>
    <xf numFmtId="3" fontId="7" fillId="0" borderId="32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 wrapText="1"/>
    </xf>
    <xf numFmtId="0" fontId="19" fillId="0" borderId="33" xfId="0" applyFont="1" applyBorder="1"/>
    <xf numFmtId="0" fontId="20" fillId="0" borderId="34" xfId="0" applyFont="1" applyBorder="1"/>
    <xf numFmtId="0" fontId="7" fillId="0" borderId="9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 wrapText="1"/>
    </xf>
    <xf numFmtId="3" fontId="22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/>
    </xf>
    <xf numFmtId="0" fontId="7" fillId="0" borderId="18" xfId="0" applyFont="1" applyBorder="1" applyAlignment="1"/>
    <xf numFmtId="0" fontId="7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/>
    <xf numFmtId="3" fontId="7" fillId="0" borderId="36" xfId="0" applyNumberFormat="1" applyFont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35" xfId="0" applyFont="1" applyBorder="1" applyAlignment="1"/>
    <xf numFmtId="0" fontId="7" fillId="0" borderId="9" xfId="0" applyFont="1" applyBorder="1" applyAlignment="1"/>
    <xf numFmtId="0" fontId="7" fillId="0" borderId="6" xfId="0" applyFont="1" applyBorder="1" applyAlignment="1"/>
    <xf numFmtId="1" fontId="10" fillId="3" borderId="35" xfId="0" applyNumberFormat="1" applyFont="1" applyFill="1" applyBorder="1" applyAlignment="1"/>
    <xf numFmtId="166" fontId="7" fillId="0" borderId="1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3" borderId="18" xfId="0" applyNumberFormat="1" applyFont="1" applyFill="1" applyBorder="1" applyAlignment="1">
      <alignment horizontal="center"/>
    </xf>
    <xf numFmtId="3" fontId="7" fillId="3" borderId="18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8" fontId="23" fillId="2" borderId="18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3" fontId="7" fillId="0" borderId="18" xfId="0" applyNumberFormat="1" applyFont="1" applyBorder="1" applyAlignment="1"/>
    <xf numFmtId="3" fontId="11" fillId="0" borderId="18" xfId="0" applyNumberFormat="1" applyFont="1" applyBorder="1" applyAlignment="1">
      <alignment horizontal="center" wrapText="1"/>
    </xf>
    <xf numFmtId="3" fontId="7" fillId="5" borderId="18" xfId="0" applyNumberFormat="1" applyFont="1" applyFill="1" applyBorder="1" applyAlignment="1">
      <alignment horizontal="center" wrapText="1"/>
    </xf>
    <xf numFmtId="3" fontId="7" fillId="5" borderId="18" xfId="0" applyNumberFormat="1" applyFont="1" applyFill="1" applyBorder="1" applyAlignment="1"/>
    <xf numFmtId="0" fontId="11" fillId="0" borderId="18" xfId="0" applyFont="1" applyBorder="1" applyAlignment="1">
      <alignment horizontal="center" wrapText="1"/>
    </xf>
    <xf numFmtId="0" fontId="7" fillId="5" borderId="18" xfId="0" applyFont="1" applyFill="1" applyBorder="1" applyAlignment="1"/>
    <xf numFmtId="0" fontId="20" fillId="0" borderId="34" xfId="0" applyFont="1" applyBorder="1" applyAlignment="1"/>
    <xf numFmtId="0" fontId="7" fillId="5" borderId="18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3" fontId="11" fillId="0" borderId="18" xfId="0" applyNumberFormat="1" applyFont="1" applyBorder="1" applyAlignment="1">
      <alignment horizontal="center" wrapText="1"/>
    </xf>
    <xf numFmtId="3" fontId="11" fillId="0" borderId="18" xfId="0" applyNumberFormat="1" applyFont="1" applyBorder="1" applyAlignment="1">
      <alignment horizontal="center" wrapText="1"/>
    </xf>
    <xf numFmtId="3" fontId="11" fillId="5" borderId="18" xfId="0" applyNumberFormat="1" applyFont="1" applyFill="1" applyBorder="1" applyAlignment="1">
      <alignment horizontal="center" wrapText="1"/>
    </xf>
    <xf numFmtId="3" fontId="11" fillId="5" borderId="18" xfId="0" applyNumberFormat="1" applyFont="1" applyFill="1" applyBorder="1" applyAlignment="1">
      <alignment horizontal="center" wrapText="1"/>
    </xf>
    <xf numFmtId="3" fontId="24" fillId="2" borderId="18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166" fontId="7" fillId="0" borderId="18" xfId="0" applyNumberFormat="1" applyFont="1" applyBorder="1" applyAlignment="1"/>
    <xf numFmtId="0" fontId="23" fillId="2" borderId="18" xfId="0" applyFont="1" applyFill="1" applyBorder="1" applyAlignment="1">
      <alignment horizontal="center"/>
    </xf>
    <xf numFmtId="8" fontId="7" fillId="0" borderId="18" xfId="0" applyNumberFormat="1" applyFont="1" applyBorder="1" applyAlignment="1">
      <alignment horizontal="center"/>
    </xf>
    <xf numFmtId="1" fontId="7" fillId="0" borderId="0" xfId="0" applyNumberFormat="1" applyFont="1" applyAlignment="1"/>
    <xf numFmtId="1" fontId="7" fillId="0" borderId="9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0" fontId="7" fillId="0" borderId="18" xfId="0" applyFont="1" applyBorder="1" applyAlignment="1"/>
    <xf numFmtId="0" fontId="7" fillId="0" borderId="9" xfId="0" applyFont="1" applyBorder="1" applyAlignment="1"/>
    <xf numFmtId="0" fontId="7" fillId="0" borderId="18" xfId="0" applyFont="1" applyBorder="1" applyAlignment="1">
      <alignment wrapText="1"/>
    </xf>
    <xf numFmtId="0" fontId="7" fillId="0" borderId="18" xfId="0" applyFont="1" applyBorder="1" applyAlignment="1"/>
    <xf numFmtId="0" fontId="7" fillId="5" borderId="18" xfId="0" applyFont="1" applyFill="1" applyBorder="1" applyAlignment="1"/>
    <xf numFmtId="164" fontId="7" fillId="0" borderId="18" xfId="0" applyNumberFormat="1" applyFont="1" applyBorder="1" applyAlignment="1"/>
    <xf numFmtId="0" fontId="7" fillId="0" borderId="18" xfId="0" applyFont="1" applyBorder="1" applyAlignment="1">
      <alignment horizontal="right"/>
    </xf>
    <xf numFmtId="9" fontId="7" fillId="5" borderId="1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18" xfId="0" applyFont="1" applyBorder="1"/>
    <xf numFmtId="1" fontId="7" fillId="0" borderId="18" xfId="0" applyNumberFormat="1" applyFont="1" applyBorder="1" applyAlignment="1"/>
    <xf numFmtId="166" fontId="7" fillId="0" borderId="6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/>
    <xf numFmtId="0" fontId="7" fillId="0" borderId="35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7" fillId="3" borderId="35" xfId="0" applyFont="1" applyFill="1" applyBorder="1" applyAlignment="1"/>
    <xf numFmtId="164" fontId="7" fillId="0" borderId="9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13" fillId="0" borderId="0" xfId="0" applyFont="1" applyAlignment="1"/>
    <xf numFmtId="164" fontId="7" fillId="0" borderId="6" xfId="0" applyNumberFormat="1" applyFont="1" applyBorder="1" applyAlignment="1">
      <alignment horizontal="center"/>
    </xf>
    <xf numFmtId="0" fontId="10" fillId="0" borderId="35" xfId="0" applyFont="1" applyBorder="1" applyAlignment="1"/>
    <xf numFmtId="3" fontId="7" fillId="5" borderId="18" xfId="0" applyNumberFormat="1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right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7" fontId="7" fillId="0" borderId="0" xfId="0" applyNumberFormat="1" applyFont="1" applyAlignment="1"/>
    <xf numFmtId="0" fontId="20" fillId="0" borderId="35" xfId="0" applyFont="1" applyBorder="1" applyAlignment="1"/>
    <xf numFmtId="166" fontId="20" fillId="0" borderId="35" xfId="0" applyNumberFormat="1" applyFont="1" applyBorder="1" applyAlignment="1"/>
    <xf numFmtId="3" fontId="7" fillId="0" borderId="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9" fontId="7" fillId="0" borderId="18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20" fillId="0" borderId="40" xfId="0" applyFont="1" applyBorder="1" applyAlignment="1"/>
    <xf numFmtId="164" fontId="7" fillId="0" borderId="37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7" fillId="0" borderId="0" xfId="0" applyFont="1" applyAlignment="1"/>
    <xf numFmtId="0" fontId="20" fillId="0" borderId="0" xfId="0" applyFont="1" applyAlignment="1"/>
    <xf numFmtId="16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/>
    <xf numFmtId="0" fontId="26" fillId="0" borderId="0" xfId="0" applyFont="1"/>
    <xf numFmtId="3" fontId="26" fillId="0" borderId="0" xfId="0" applyNumberFormat="1" applyFont="1"/>
    <xf numFmtId="8" fontId="26" fillId="0" borderId="0" xfId="0" applyNumberFormat="1" applyFont="1"/>
    <xf numFmtId="0" fontId="7" fillId="0" borderId="37" xfId="0" applyFont="1" applyBorder="1" applyAlignment="1"/>
    <xf numFmtId="0" fontId="7" fillId="0" borderId="38" xfId="0" applyFont="1" applyBorder="1" applyAlignment="1"/>
    <xf numFmtId="0" fontId="0" fillId="0" borderId="0" xfId="0" applyFont="1" applyAlignment="1">
      <alignment wrapText="1"/>
    </xf>
    <xf numFmtId="0" fontId="7" fillId="0" borderId="42" xfId="0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44" xfId="0" applyNumberFormat="1" applyFont="1" applyBorder="1" applyAlignment="1">
      <alignment horizontal="center"/>
    </xf>
    <xf numFmtId="0" fontId="21" fillId="4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8" fillId="0" borderId="5" xfId="0" applyFont="1" applyBorder="1"/>
    <xf numFmtId="0" fontId="7" fillId="0" borderId="5" xfId="0" applyFont="1" applyBorder="1" applyAlignment="1"/>
    <xf numFmtId="0" fontId="9" fillId="0" borderId="0" xfId="0" applyFont="1" applyFill="1" applyAlignment="1">
      <alignment vertical="center"/>
    </xf>
    <xf numFmtId="0" fontId="0" fillId="0" borderId="0" xfId="0" applyFont="1" applyFill="1" applyAlignment="1"/>
    <xf numFmtId="0" fontId="7" fillId="0" borderId="0" xfId="0" applyFont="1" applyFill="1" applyAlignment="1"/>
    <xf numFmtId="0" fontId="21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3" fontId="7" fillId="0" borderId="18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7" fillId="0" borderId="1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center" wrapText="1"/>
    </xf>
    <xf numFmtId="3" fontId="7" fillId="0" borderId="6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8" fontId="23" fillId="0" borderId="18" xfId="0" applyNumberFormat="1" applyFont="1" applyFill="1" applyBorder="1" applyAlignment="1">
      <alignment horizontal="center"/>
    </xf>
    <xf numFmtId="8" fontId="23" fillId="0" borderId="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3" fontId="11" fillId="0" borderId="18" xfId="0" applyNumberFormat="1" applyFont="1" applyFill="1" applyBorder="1" applyAlignment="1">
      <alignment horizontal="center" wrapText="1"/>
    </xf>
    <xf numFmtId="3" fontId="11" fillId="0" borderId="6" xfId="0" applyNumberFormat="1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8" fontId="7" fillId="0" borderId="18" xfId="0" applyNumberFormat="1" applyFont="1" applyFill="1" applyBorder="1" applyAlignment="1">
      <alignment horizontal="center"/>
    </xf>
    <xf numFmtId="8" fontId="7" fillId="0" borderId="6" xfId="0" applyNumberFormat="1" applyFont="1" applyFill="1" applyBorder="1" applyAlignment="1">
      <alignment horizontal="center"/>
    </xf>
    <xf numFmtId="0" fontId="7" fillId="0" borderId="18" xfId="0" applyFont="1" applyFill="1" applyBorder="1" applyAlignment="1"/>
    <xf numFmtId="0" fontId="7" fillId="0" borderId="6" xfId="0" applyFont="1" applyFill="1" applyBorder="1" applyAlignment="1"/>
    <xf numFmtId="0" fontId="7" fillId="0" borderId="38" xfId="0" applyFont="1" applyFill="1" applyBorder="1" applyAlignment="1"/>
    <xf numFmtId="0" fontId="7" fillId="0" borderId="39" xfId="0" applyFont="1" applyFill="1" applyBorder="1" applyAlignment="1"/>
    <xf numFmtId="0" fontId="4" fillId="0" borderId="5" xfId="0" applyFont="1" applyFill="1" applyBorder="1" applyAlignment="1"/>
    <xf numFmtId="0" fontId="0" fillId="0" borderId="5" xfId="0" applyFont="1" applyFill="1" applyBorder="1" applyAlignment="1"/>
    <xf numFmtId="0" fontId="7" fillId="0" borderId="5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11" fillId="3" borderId="31" xfId="0" applyFont="1" applyFill="1" applyBorder="1" applyAlignment="1"/>
    <xf numFmtId="0" fontId="17" fillId="4" borderId="35" xfId="0" applyFont="1" applyFill="1" applyBorder="1" applyAlignment="1">
      <alignment vertical="center"/>
    </xf>
    <xf numFmtId="0" fontId="20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8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Daily Free Value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32706563216934"/>
          <c:y val="0.14418540587831899"/>
          <c:w val="0.88550996645185087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Outputs!$E$8</c:f>
              <c:strCache>
                <c:ptCount val="1"/>
                <c:pt idx="0">
                  <c:v>Daily Free Value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Outputs!$B$9:$B$58</c:f>
              <c:strCache>
                <c:ptCount val="50"/>
                <c:pt idx="0">
                  <c:v>Hit It Rich</c:v>
                </c:pt>
                <c:pt idx="1">
                  <c:v>Big Fish Casino</c:v>
                </c:pt>
                <c:pt idx="2">
                  <c:v>Jackpot Magic Slots</c:v>
                </c:pt>
                <c:pt idx="3">
                  <c:v>Wonka Slots</c:v>
                </c:pt>
                <c:pt idx="4">
                  <c:v>Gold Fish HD</c:v>
                </c:pt>
                <c:pt idx="5">
                  <c:v>Black Diamond Slots</c:v>
                </c:pt>
                <c:pt idx="6">
                  <c:v>GSN Casino</c:v>
                </c:pt>
                <c:pt idx="7">
                  <c:v>DoubleU Casino</c:v>
                </c:pt>
                <c:pt idx="8">
                  <c:v>Infinity Slots</c:v>
                </c:pt>
                <c:pt idx="9">
                  <c:v>Viva Slots Las Vegas</c:v>
                </c:pt>
                <c:pt idx="10">
                  <c:v>Slots Era</c:v>
                </c:pt>
                <c:pt idx="11">
                  <c:v>Old Vegas</c:v>
                </c:pt>
                <c:pt idx="12">
                  <c:v>Cashman Casino</c:v>
                </c:pt>
                <c:pt idx="13">
                  <c:v>Slot Bonanza HD</c:v>
                </c:pt>
                <c:pt idx="14">
                  <c:v>DoubleDown</c:v>
                </c:pt>
                <c:pt idx="15">
                  <c:v>Scatter Slots</c:v>
                </c:pt>
                <c:pt idx="16">
                  <c:v>Pharaoh's Way</c:v>
                </c:pt>
                <c:pt idx="17">
                  <c:v>Huuuge Casino</c:v>
                </c:pt>
                <c:pt idx="18">
                  <c:v>Slots on Tour</c:v>
                </c:pt>
                <c:pt idx="19">
                  <c:v>Caesars Slots</c:v>
                </c:pt>
                <c:pt idx="20">
                  <c:v>Slotomania HD</c:v>
                </c:pt>
                <c:pt idx="21">
                  <c:v>Heart of Vegas</c:v>
                </c:pt>
                <c:pt idx="22">
                  <c:v>Spin to Win Slots</c:v>
                </c:pt>
                <c:pt idx="23">
                  <c:v>Hot Shot Casino</c:v>
                </c:pt>
                <c:pt idx="24">
                  <c:v>Ellen’s Road to Riches</c:v>
                </c:pt>
                <c:pt idx="25">
                  <c:v>myVEGAS</c:v>
                </c:pt>
                <c:pt idx="26">
                  <c:v>Jackpot Party HD</c:v>
                </c:pt>
                <c:pt idx="27">
                  <c:v>Monopoly Slots</c:v>
                </c:pt>
                <c:pt idx="28">
                  <c:v>88 Fortune Slots</c:v>
                </c:pt>
                <c:pt idx="29">
                  <c:v>POP! Slots</c:v>
                </c:pt>
                <c:pt idx="30">
                  <c:v>Wizard of Oz</c:v>
                </c:pt>
                <c:pt idx="31">
                  <c:v>Xtreme Slots</c:v>
                </c:pt>
                <c:pt idx="32">
                  <c:v>Quick Hit Slots</c:v>
                </c:pt>
                <c:pt idx="33">
                  <c:v>House of Fun</c:v>
                </c:pt>
                <c:pt idx="34">
                  <c:v>my KONAMI</c:v>
                </c:pt>
                <c:pt idx="35">
                  <c:v>Bingo Bash</c:v>
                </c:pt>
                <c:pt idx="36">
                  <c:v>Bingo Blitz</c:v>
                </c:pt>
                <c:pt idx="37">
                  <c:v>Bingo Party</c:v>
                </c:pt>
                <c:pt idx="38">
                  <c:v>Monopoly Bingo</c:v>
                </c:pt>
                <c:pt idx="39">
                  <c:v>Bingo Showdown</c:v>
                </c:pt>
                <c:pt idx="40">
                  <c:v>Bingo Pop</c:v>
                </c:pt>
                <c:pt idx="41">
                  <c:v>WSOP</c:v>
                </c:pt>
                <c:pt idx="42">
                  <c:v>Zynga - Texas Holdem</c:v>
                </c:pt>
                <c:pt idx="43">
                  <c:v>Poker Heat</c:v>
                </c:pt>
                <c:pt idx="44">
                  <c:v>Scatter HoldEm Poker</c:v>
                </c:pt>
                <c:pt idx="45">
                  <c:v>Fresh Deck</c:v>
                </c:pt>
                <c:pt idx="46">
                  <c:v>Pokerist</c:v>
                </c:pt>
                <c:pt idx="47">
                  <c:v>Texas Holdem</c:v>
                </c:pt>
                <c:pt idx="48">
                  <c:v>High 5 Casino</c:v>
                </c:pt>
                <c:pt idx="49">
                  <c:v>Jackpotjoy Slots</c:v>
                </c:pt>
              </c:strCache>
            </c:strRef>
          </c:cat>
          <c:val>
            <c:numRef>
              <c:f>Outputs!$E$9:$E$57</c:f>
              <c:numCache>
                <c:formatCode>"$"#,##0.00;</c:formatCode>
                <c:ptCount val="49"/>
                <c:pt idx="0">
                  <c:v>9.0421052631578949</c:v>
                </c:pt>
                <c:pt idx="1">
                  <c:v>5.8972727272727274</c:v>
                </c:pt>
                <c:pt idx="2">
                  <c:v>4.8174999999999999</c:v>
                </c:pt>
                <c:pt idx="3">
                  <c:v>4.4400000000000004</c:v>
                </c:pt>
                <c:pt idx="4">
                  <c:v>3.6291666666666669</c:v>
                </c:pt>
                <c:pt idx="5">
                  <c:v>3.112857</c:v>
                </c:pt>
                <c:pt idx="6">
                  <c:v>2.486842105263158</c:v>
                </c:pt>
                <c:pt idx="7">
                  <c:v>2.4613333333333332</c:v>
                </c:pt>
                <c:pt idx="8">
                  <c:v>2.1770833333333335</c:v>
                </c:pt>
                <c:pt idx="9">
                  <c:v>2</c:v>
                </c:pt>
                <c:pt idx="10">
                  <c:v>1.9612499999999999</c:v>
                </c:pt>
                <c:pt idx="11">
                  <c:v>1.85</c:v>
                </c:pt>
                <c:pt idx="12">
                  <c:v>1.802</c:v>
                </c:pt>
                <c:pt idx="13">
                  <c:v>1.446</c:v>
                </c:pt>
                <c:pt idx="14">
                  <c:v>1.4239999999999999</c:v>
                </c:pt>
                <c:pt idx="15">
                  <c:v>1.3779999999999999</c:v>
                </c:pt>
                <c:pt idx="16">
                  <c:v>1.3236714975845412</c:v>
                </c:pt>
                <c:pt idx="17">
                  <c:v>1.3211111111111111</c:v>
                </c:pt>
                <c:pt idx="18">
                  <c:v>0.97677146666666659</c:v>
                </c:pt>
                <c:pt idx="19">
                  <c:v>0.84325000000000006</c:v>
                </c:pt>
                <c:pt idx="20">
                  <c:v>0.83933333333333338</c:v>
                </c:pt>
                <c:pt idx="21">
                  <c:v>0.71799999999999997</c:v>
                </c:pt>
                <c:pt idx="22">
                  <c:v>0.71599999999999997</c:v>
                </c:pt>
                <c:pt idx="23">
                  <c:v>0.67031249999999998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0.60119999999999996</c:v>
                </c:pt>
                <c:pt idx="27">
                  <c:v>0.4861111111111111</c:v>
                </c:pt>
                <c:pt idx="28">
                  <c:v>0.46920634920634918</c:v>
                </c:pt>
                <c:pt idx="29">
                  <c:v>0.45833333333333331</c:v>
                </c:pt>
                <c:pt idx="30">
                  <c:v>0.41463636363636364</c:v>
                </c:pt>
                <c:pt idx="31">
                  <c:v>0.40432098765432101</c:v>
                </c:pt>
                <c:pt idx="32">
                  <c:v>0.29026000000000002</c:v>
                </c:pt>
                <c:pt idx="33">
                  <c:v>0.26500000000000001</c:v>
                </c:pt>
                <c:pt idx="34">
                  <c:v>0.20086916666666665</c:v>
                </c:pt>
                <c:pt idx="35">
                  <c:v>1.5656575757575759</c:v>
                </c:pt>
                <c:pt idx="36">
                  <c:v>3.81</c:v>
                </c:pt>
                <c:pt idx="37">
                  <c:v>2.2676923076923079</c:v>
                </c:pt>
                <c:pt idx="38">
                  <c:v>3.2382196969696975</c:v>
                </c:pt>
                <c:pt idx="39">
                  <c:v>2.2011487179487177</c:v>
                </c:pt>
                <c:pt idx="40">
                  <c:v>1.75</c:v>
                </c:pt>
                <c:pt idx="41">
                  <c:v>0.252</c:v>
                </c:pt>
                <c:pt idx="42">
                  <c:v>0.22184545454545454</c:v>
                </c:pt>
                <c:pt idx="43">
                  <c:v>0.627</c:v>
                </c:pt>
                <c:pt idx="44">
                  <c:v>1.4775333333333334</c:v>
                </c:pt>
                <c:pt idx="45">
                  <c:v>2.4299999999999999E-2</c:v>
                </c:pt>
                <c:pt idx="46">
                  <c:v>5.4000000000000003E-3</c:v>
                </c:pt>
                <c:pt idx="47">
                  <c:v>1.3050000000000001E-2</c:v>
                </c:pt>
                <c:pt idx="48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of Value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New User Balance: Default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60468521229869"/>
          <c:y val="0.14418540587831899"/>
          <c:w val="0.8371937146216899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Outputs!$F$10</c:f>
              <c:strCache>
                <c:ptCount val="1"/>
                <c:pt idx="0">
                  <c:v>1,599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Outputs!$B$9:$B$58</c:f>
              <c:strCache>
                <c:ptCount val="50"/>
                <c:pt idx="0">
                  <c:v>Hit It Rich</c:v>
                </c:pt>
                <c:pt idx="1">
                  <c:v>Big Fish Casino</c:v>
                </c:pt>
                <c:pt idx="2">
                  <c:v>Jackpot Magic Slots</c:v>
                </c:pt>
                <c:pt idx="3">
                  <c:v>Wonka Slots</c:v>
                </c:pt>
                <c:pt idx="4">
                  <c:v>Gold Fish HD</c:v>
                </c:pt>
                <c:pt idx="5">
                  <c:v>Black Diamond Slots</c:v>
                </c:pt>
                <c:pt idx="6">
                  <c:v>GSN Casino</c:v>
                </c:pt>
                <c:pt idx="7">
                  <c:v>DoubleU Casino</c:v>
                </c:pt>
                <c:pt idx="8">
                  <c:v>Infinity Slots</c:v>
                </c:pt>
                <c:pt idx="9">
                  <c:v>Viva Slots Las Vegas</c:v>
                </c:pt>
                <c:pt idx="10">
                  <c:v>Slots Era</c:v>
                </c:pt>
                <c:pt idx="11">
                  <c:v>Old Vegas</c:v>
                </c:pt>
                <c:pt idx="12">
                  <c:v>Cashman Casino</c:v>
                </c:pt>
                <c:pt idx="13">
                  <c:v>Slot Bonanza HD</c:v>
                </c:pt>
                <c:pt idx="14">
                  <c:v>DoubleDown</c:v>
                </c:pt>
                <c:pt idx="15">
                  <c:v>Scatter Slots</c:v>
                </c:pt>
                <c:pt idx="16">
                  <c:v>Pharaoh's Way</c:v>
                </c:pt>
                <c:pt idx="17">
                  <c:v>Huuuge Casino</c:v>
                </c:pt>
                <c:pt idx="18">
                  <c:v>Slots on Tour</c:v>
                </c:pt>
                <c:pt idx="19">
                  <c:v>Caesars Slots</c:v>
                </c:pt>
                <c:pt idx="20">
                  <c:v>Slotomania HD</c:v>
                </c:pt>
                <c:pt idx="21">
                  <c:v>Heart of Vegas</c:v>
                </c:pt>
                <c:pt idx="22">
                  <c:v>Spin to Win Slots</c:v>
                </c:pt>
                <c:pt idx="23">
                  <c:v>Hot Shot Casino</c:v>
                </c:pt>
                <c:pt idx="24">
                  <c:v>Ellen’s Road to Riches</c:v>
                </c:pt>
                <c:pt idx="25">
                  <c:v>myVEGAS</c:v>
                </c:pt>
                <c:pt idx="26">
                  <c:v>Jackpot Party HD</c:v>
                </c:pt>
                <c:pt idx="27">
                  <c:v>Monopoly Slots</c:v>
                </c:pt>
                <c:pt idx="28">
                  <c:v>88 Fortune Slots</c:v>
                </c:pt>
                <c:pt idx="29">
                  <c:v>POP! Slots</c:v>
                </c:pt>
                <c:pt idx="30">
                  <c:v>Wizard of Oz</c:v>
                </c:pt>
                <c:pt idx="31">
                  <c:v>Xtreme Slots</c:v>
                </c:pt>
                <c:pt idx="32">
                  <c:v>Quick Hit Slots</c:v>
                </c:pt>
                <c:pt idx="33">
                  <c:v>House of Fun</c:v>
                </c:pt>
                <c:pt idx="34">
                  <c:v>my KONAMI</c:v>
                </c:pt>
                <c:pt idx="35">
                  <c:v>Bingo Bash</c:v>
                </c:pt>
                <c:pt idx="36">
                  <c:v>Bingo Blitz</c:v>
                </c:pt>
                <c:pt idx="37">
                  <c:v>Bingo Party</c:v>
                </c:pt>
                <c:pt idx="38">
                  <c:v>Monopoly Bingo</c:v>
                </c:pt>
                <c:pt idx="39">
                  <c:v>Bingo Showdown</c:v>
                </c:pt>
                <c:pt idx="40">
                  <c:v>Bingo Pop</c:v>
                </c:pt>
                <c:pt idx="41">
                  <c:v>WSOP</c:v>
                </c:pt>
                <c:pt idx="42">
                  <c:v>Zynga - Texas Holdem</c:v>
                </c:pt>
                <c:pt idx="43">
                  <c:v>Poker Heat</c:v>
                </c:pt>
                <c:pt idx="44">
                  <c:v>Scatter HoldEm Poker</c:v>
                </c:pt>
                <c:pt idx="45">
                  <c:v>Fresh Deck</c:v>
                </c:pt>
                <c:pt idx="46">
                  <c:v>Pokerist</c:v>
                </c:pt>
                <c:pt idx="47">
                  <c:v>Texas Holdem</c:v>
                </c:pt>
                <c:pt idx="48">
                  <c:v>High 5 Casino</c:v>
                </c:pt>
                <c:pt idx="49">
                  <c:v>Jackpotjoy Slots</c:v>
                </c:pt>
              </c:strCache>
            </c:strRef>
          </c:cat>
          <c:val>
            <c:numRef>
              <c:f>Outputs!$F$11:$F$45</c:f>
              <c:numCache>
                <c:formatCode>#,##0</c:formatCode>
                <c:ptCount val="35"/>
                <c:pt idx="0">
                  <c:v>3999.0000000000009</c:v>
                </c:pt>
                <c:pt idx="1">
                  <c:v>499.00000000000011</c:v>
                </c:pt>
                <c:pt idx="2">
                  <c:v>379.95238095238102</c:v>
                </c:pt>
                <c:pt idx="3">
                  <c:v>2856.1428571428578</c:v>
                </c:pt>
                <c:pt idx="4">
                  <c:v>311.50000000000006</c:v>
                </c:pt>
                <c:pt idx="5">
                  <c:v>0</c:v>
                </c:pt>
                <c:pt idx="6">
                  <c:v>499.00000000000011</c:v>
                </c:pt>
                <c:pt idx="7">
                  <c:v>399.00000000000011</c:v>
                </c:pt>
                <c:pt idx="8">
                  <c:v>10484.000000000002</c:v>
                </c:pt>
                <c:pt idx="9">
                  <c:v>2999.0000000000005</c:v>
                </c:pt>
                <c:pt idx="10">
                  <c:v>0</c:v>
                </c:pt>
                <c:pt idx="11">
                  <c:v>32037.000000000007</c:v>
                </c:pt>
                <c:pt idx="12">
                  <c:v>999.00000000000023</c:v>
                </c:pt>
                <c:pt idx="13">
                  <c:v>10484.000000000002</c:v>
                </c:pt>
                <c:pt idx="14">
                  <c:v>199999.00000000006</c:v>
                </c:pt>
                <c:pt idx="15">
                  <c:v>1026.0000000000002</c:v>
                </c:pt>
                <c:pt idx="16">
                  <c:v>1663.666666666667</c:v>
                </c:pt>
                <c:pt idx="17">
                  <c:v>39999.000000000007</c:v>
                </c:pt>
                <c:pt idx="18">
                  <c:v>11110.111111111113</c:v>
                </c:pt>
                <c:pt idx="19">
                  <c:v>0</c:v>
                </c:pt>
                <c:pt idx="20">
                  <c:v>6665.6666666666679</c:v>
                </c:pt>
                <c:pt idx="21">
                  <c:v>874.00000000000023</c:v>
                </c:pt>
                <c:pt idx="22">
                  <c:v>3124.0000000000009</c:v>
                </c:pt>
                <c:pt idx="23">
                  <c:v>332.33333333333343</c:v>
                </c:pt>
                <c:pt idx="24">
                  <c:v>1249.0000000000002</c:v>
                </c:pt>
                <c:pt idx="25">
                  <c:v>399.00000000000011</c:v>
                </c:pt>
                <c:pt idx="26">
                  <c:v>443.14834554741293</c:v>
                </c:pt>
                <c:pt idx="27">
                  <c:v>499.00000000000011</c:v>
                </c:pt>
                <c:pt idx="28">
                  <c:v>899.00000000000023</c:v>
                </c:pt>
                <c:pt idx="29">
                  <c:v>1672.65</c:v>
                </c:pt>
                <c:pt idx="30">
                  <c:v>519.83333333333348</c:v>
                </c:pt>
                <c:pt idx="31">
                  <c:v>1110.1111111111113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of Value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New User Balance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32706563216934"/>
          <c:y val="0.14418540587831899"/>
          <c:w val="0.88550996645185087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Outputs!$B$8:$B$58</c:f>
              <c:strCache>
                <c:ptCount val="51"/>
                <c:pt idx="0">
                  <c:v>Game</c:v>
                </c:pt>
                <c:pt idx="1">
                  <c:v>Hit It Rich</c:v>
                </c:pt>
                <c:pt idx="2">
                  <c:v>Big Fish Casino</c:v>
                </c:pt>
                <c:pt idx="3">
                  <c:v>Jackpot Magic Slots</c:v>
                </c:pt>
                <c:pt idx="4">
                  <c:v>Wonka Slots</c:v>
                </c:pt>
                <c:pt idx="5">
                  <c:v>Gold Fish HD</c:v>
                </c:pt>
                <c:pt idx="6">
                  <c:v>Black Diamond Slots</c:v>
                </c:pt>
                <c:pt idx="7">
                  <c:v>GSN Casino</c:v>
                </c:pt>
                <c:pt idx="8">
                  <c:v>DoubleU Casino</c:v>
                </c:pt>
                <c:pt idx="9">
                  <c:v>Infinity Slots</c:v>
                </c:pt>
                <c:pt idx="10">
                  <c:v>Viva Slots Las Vegas</c:v>
                </c:pt>
                <c:pt idx="11">
                  <c:v>Slots Era</c:v>
                </c:pt>
                <c:pt idx="12">
                  <c:v>Old Vegas</c:v>
                </c:pt>
                <c:pt idx="13">
                  <c:v>Cashman Casino</c:v>
                </c:pt>
                <c:pt idx="14">
                  <c:v>Slot Bonanza HD</c:v>
                </c:pt>
                <c:pt idx="15">
                  <c:v>DoubleDown</c:v>
                </c:pt>
                <c:pt idx="16">
                  <c:v>Scatter Slots</c:v>
                </c:pt>
                <c:pt idx="17">
                  <c:v>Pharaoh's Way</c:v>
                </c:pt>
                <c:pt idx="18">
                  <c:v>Huuuge Casino</c:v>
                </c:pt>
                <c:pt idx="19">
                  <c:v>Slots on Tour</c:v>
                </c:pt>
                <c:pt idx="20">
                  <c:v>Caesars Slots</c:v>
                </c:pt>
                <c:pt idx="21">
                  <c:v>Slotomania HD</c:v>
                </c:pt>
                <c:pt idx="22">
                  <c:v>Heart of Vegas</c:v>
                </c:pt>
                <c:pt idx="23">
                  <c:v>Spin to Win Slots</c:v>
                </c:pt>
                <c:pt idx="24">
                  <c:v>Hot Shot Casino</c:v>
                </c:pt>
                <c:pt idx="25">
                  <c:v>Ellen’s Road to Riches</c:v>
                </c:pt>
                <c:pt idx="26">
                  <c:v>myVEGAS</c:v>
                </c:pt>
                <c:pt idx="27">
                  <c:v>Jackpot Party HD</c:v>
                </c:pt>
                <c:pt idx="28">
                  <c:v>Monopoly Slots</c:v>
                </c:pt>
                <c:pt idx="29">
                  <c:v>88 Fortune Slots</c:v>
                </c:pt>
                <c:pt idx="30">
                  <c:v>POP! Slots</c:v>
                </c:pt>
                <c:pt idx="31">
                  <c:v>Wizard of Oz</c:v>
                </c:pt>
                <c:pt idx="32">
                  <c:v>Xtreme Slots</c:v>
                </c:pt>
                <c:pt idx="33">
                  <c:v>Quick Hit Slots</c:v>
                </c:pt>
                <c:pt idx="34">
                  <c:v>House of Fun</c:v>
                </c:pt>
                <c:pt idx="35">
                  <c:v>my KONAMI</c:v>
                </c:pt>
                <c:pt idx="36">
                  <c:v>Bingo Bash</c:v>
                </c:pt>
                <c:pt idx="37">
                  <c:v>Bingo Blitz</c:v>
                </c:pt>
                <c:pt idx="38">
                  <c:v>Bingo Party</c:v>
                </c:pt>
                <c:pt idx="39">
                  <c:v>Monopoly Bingo</c:v>
                </c:pt>
                <c:pt idx="40">
                  <c:v>Bingo Showdown</c:v>
                </c:pt>
                <c:pt idx="41">
                  <c:v>Bingo Pop</c:v>
                </c:pt>
                <c:pt idx="42">
                  <c:v>WSOP</c:v>
                </c:pt>
                <c:pt idx="43">
                  <c:v>Zynga - Texas Holdem</c:v>
                </c:pt>
                <c:pt idx="44">
                  <c:v>Poker Heat</c:v>
                </c:pt>
                <c:pt idx="45">
                  <c:v>Scatter HoldEm Poker</c:v>
                </c:pt>
                <c:pt idx="46">
                  <c:v>Fresh Deck</c:v>
                </c:pt>
                <c:pt idx="47">
                  <c:v>Pokerist</c:v>
                </c:pt>
                <c:pt idx="48">
                  <c:v>Texas Holdem</c:v>
                </c:pt>
                <c:pt idx="49">
                  <c:v>High 5 Casino</c:v>
                </c:pt>
                <c:pt idx="50">
                  <c:v>Jackpotjoy Slots</c:v>
                </c:pt>
              </c:strCache>
            </c:strRef>
          </c:cat>
          <c:val>
            <c:numRef>
              <c:f>Outputs!$D$8:$D$57</c:f>
              <c:numCache>
                <c:formatCode>"$"#,##0.00;</c:formatCode>
                <c:ptCount val="50"/>
                <c:pt idx="0" formatCode="General">
                  <c:v>0</c:v>
                </c:pt>
                <c:pt idx="1">
                  <c:v>16</c:v>
                </c:pt>
                <c:pt idx="2">
                  <c:v>9.0909090909090917</c:v>
                </c:pt>
                <c:pt idx="3">
                  <c:v>5</c:v>
                </c:pt>
                <c:pt idx="4">
                  <c:v>1.5</c:v>
                </c:pt>
                <c:pt idx="5">
                  <c:v>1.6666666666666667</c:v>
                </c:pt>
                <c:pt idx="6">
                  <c:v>6</c:v>
                </c:pt>
                <c:pt idx="7">
                  <c:v>1.0964912280701755</c:v>
                </c:pt>
                <c:pt idx="8">
                  <c:v>3.3333333333333335</c:v>
                </c:pt>
                <c:pt idx="9">
                  <c:v>1.6666666666666667</c:v>
                </c:pt>
                <c:pt idx="10">
                  <c:v>1.3333333333333333</c:v>
                </c:pt>
                <c:pt idx="11">
                  <c:v>17.475000000000001</c:v>
                </c:pt>
                <c:pt idx="12">
                  <c:v>7.5</c:v>
                </c:pt>
                <c:pt idx="13">
                  <c:v>5</c:v>
                </c:pt>
                <c:pt idx="14">
                  <c:v>16.018999999999998</c:v>
                </c:pt>
                <c:pt idx="15">
                  <c:v>8</c:v>
                </c:pt>
                <c:pt idx="16">
                  <c:v>17.475000000000001</c:v>
                </c:pt>
                <c:pt idx="17">
                  <c:v>4.8309178743961354</c:v>
                </c:pt>
                <c:pt idx="18" formatCode="&quot;$&quot;#,##0.00">
                  <c:v>5.7055555555555557</c:v>
                </c:pt>
                <c:pt idx="19">
                  <c:v>6.658666666666667</c:v>
                </c:pt>
                <c:pt idx="20">
                  <c:v>1</c:v>
                </c:pt>
                <c:pt idx="21">
                  <c:v>3.3333333333333335</c:v>
                </c:pt>
                <c:pt idx="22">
                  <c:v>20</c:v>
                </c:pt>
                <c:pt idx="23">
                  <c:v>0.4</c:v>
                </c:pt>
                <c:pt idx="24">
                  <c:v>4.375</c:v>
                </c:pt>
                <c:pt idx="25">
                  <c:v>3.4722222222222223</c:v>
                </c:pt>
                <c:pt idx="26">
                  <c:v>0.95238095238095233</c:v>
                </c:pt>
                <c:pt idx="27">
                  <c:v>3</c:v>
                </c:pt>
                <c:pt idx="28">
                  <c:v>2.2222222222222223</c:v>
                </c:pt>
                <c:pt idx="29">
                  <c:v>1.2698412698412698</c:v>
                </c:pt>
                <c:pt idx="30">
                  <c:v>0.33333333333333331</c:v>
                </c:pt>
                <c:pt idx="31">
                  <c:v>0.40909090909090912</c:v>
                </c:pt>
                <c:pt idx="32">
                  <c:v>1.5496759259259258</c:v>
                </c:pt>
                <c:pt idx="33">
                  <c:v>1.25</c:v>
                </c:pt>
                <c:pt idx="34">
                  <c:v>0.25</c:v>
                </c:pt>
                <c:pt idx="35">
                  <c:v>0</c:v>
                </c:pt>
                <c:pt idx="36">
                  <c:v>5.9776515151515168</c:v>
                </c:pt>
                <c:pt idx="37">
                  <c:v>32.523250000000004</c:v>
                </c:pt>
                <c:pt idx="38">
                  <c:v>16.515384615384615</c:v>
                </c:pt>
                <c:pt idx="39">
                  <c:v>5.8985423197492164</c:v>
                </c:pt>
                <c:pt idx="40">
                  <c:v>3.8151794871794871</c:v>
                </c:pt>
                <c:pt idx="41">
                  <c:v>25.965</c:v>
                </c:pt>
                <c:pt idx="42">
                  <c:v>0.2</c:v>
                </c:pt>
                <c:pt idx="43">
                  <c:v>0.34908725812340269</c:v>
                </c:pt>
                <c:pt idx="44">
                  <c:v>0.75</c:v>
                </c:pt>
                <c:pt idx="45">
                  <c:v>5.3233333333333333</c:v>
                </c:pt>
                <c:pt idx="46">
                  <c:v>0.11156666666666666</c:v>
                </c:pt>
                <c:pt idx="47">
                  <c:v>0.2545</c:v>
                </c:pt>
                <c:pt idx="48">
                  <c:v>0.02</c:v>
                </c:pt>
                <c:pt idx="49">
                  <c:v>0.34722222222222221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of Value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New User Balance: Default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14641288433382"/>
          <c:y val="0.14620567883560007"/>
          <c:w val="0.83865784346502803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Outputs!$G$10</c:f>
              <c:strCache>
                <c:ptCount val="1"/>
                <c:pt idx="0">
                  <c:v>1,599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Outputs!$B$9:$B$58</c:f>
              <c:strCache>
                <c:ptCount val="50"/>
                <c:pt idx="0">
                  <c:v>Hit It Rich</c:v>
                </c:pt>
                <c:pt idx="1">
                  <c:v>Big Fish Casino</c:v>
                </c:pt>
                <c:pt idx="2">
                  <c:v>Jackpot Magic Slots</c:v>
                </c:pt>
                <c:pt idx="3">
                  <c:v>Wonka Slots</c:v>
                </c:pt>
                <c:pt idx="4">
                  <c:v>Gold Fish HD</c:v>
                </c:pt>
                <c:pt idx="5">
                  <c:v>Black Diamond Slots</c:v>
                </c:pt>
                <c:pt idx="6">
                  <c:v>GSN Casino</c:v>
                </c:pt>
                <c:pt idx="7">
                  <c:v>DoubleU Casino</c:v>
                </c:pt>
                <c:pt idx="8">
                  <c:v>Infinity Slots</c:v>
                </c:pt>
                <c:pt idx="9">
                  <c:v>Viva Slots Las Vegas</c:v>
                </c:pt>
                <c:pt idx="10">
                  <c:v>Slots Era</c:v>
                </c:pt>
                <c:pt idx="11">
                  <c:v>Old Vegas</c:v>
                </c:pt>
                <c:pt idx="12">
                  <c:v>Cashman Casino</c:v>
                </c:pt>
                <c:pt idx="13">
                  <c:v>Slot Bonanza HD</c:v>
                </c:pt>
                <c:pt idx="14">
                  <c:v>DoubleDown</c:v>
                </c:pt>
                <c:pt idx="15">
                  <c:v>Scatter Slots</c:v>
                </c:pt>
                <c:pt idx="16">
                  <c:v>Pharaoh's Way</c:v>
                </c:pt>
                <c:pt idx="17">
                  <c:v>Huuuge Casino</c:v>
                </c:pt>
                <c:pt idx="18">
                  <c:v>Slots on Tour</c:v>
                </c:pt>
                <c:pt idx="19">
                  <c:v>Caesars Slots</c:v>
                </c:pt>
                <c:pt idx="20">
                  <c:v>Slotomania HD</c:v>
                </c:pt>
                <c:pt idx="21">
                  <c:v>Heart of Vegas</c:v>
                </c:pt>
                <c:pt idx="22">
                  <c:v>Spin to Win Slots</c:v>
                </c:pt>
                <c:pt idx="23">
                  <c:v>Hot Shot Casino</c:v>
                </c:pt>
                <c:pt idx="24">
                  <c:v>Ellen’s Road to Riches</c:v>
                </c:pt>
                <c:pt idx="25">
                  <c:v>myVEGAS</c:v>
                </c:pt>
                <c:pt idx="26">
                  <c:v>Jackpot Party HD</c:v>
                </c:pt>
                <c:pt idx="27">
                  <c:v>Monopoly Slots</c:v>
                </c:pt>
                <c:pt idx="28">
                  <c:v>88 Fortune Slots</c:v>
                </c:pt>
                <c:pt idx="29">
                  <c:v>POP! Slots</c:v>
                </c:pt>
                <c:pt idx="30">
                  <c:v>Wizard of Oz</c:v>
                </c:pt>
                <c:pt idx="31">
                  <c:v>Xtreme Slots</c:v>
                </c:pt>
                <c:pt idx="32">
                  <c:v>Quick Hit Slots</c:v>
                </c:pt>
                <c:pt idx="33">
                  <c:v>House of Fun</c:v>
                </c:pt>
                <c:pt idx="34">
                  <c:v>my KONAMI</c:v>
                </c:pt>
                <c:pt idx="35">
                  <c:v>Bingo Bash</c:v>
                </c:pt>
                <c:pt idx="36">
                  <c:v>Bingo Blitz</c:v>
                </c:pt>
                <c:pt idx="37">
                  <c:v>Bingo Party</c:v>
                </c:pt>
                <c:pt idx="38">
                  <c:v>Monopoly Bingo</c:v>
                </c:pt>
                <c:pt idx="39">
                  <c:v>Bingo Showdown</c:v>
                </c:pt>
                <c:pt idx="40">
                  <c:v>Bingo Pop</c:v>
                </c:pt>
                <c:pt idx="41">
                  <c:v>WSOP</c:v>
                </c:pt>
                <c:pt idx="42">
                  <c:v>Zynga - Texas Holdem</c:v>
                </c:pt>
                <c:pt idx="43">
                  <c:v>Poker Heat</c:v>
                </c:pt>
                <c:pt idx="44">
                  <c:v>Scatter HoldEm Poker</c:v>
                </c:pt>
                <c:pt idx="45">
                  <c:v>Fresh Deck</c:v>
                </c:pt>
                <c:pt idx="46">
                  <c:v>Pokerist</c:v>
                </c:pt>
                <c:pt idx="47">
                  <c:v>Texas Holdem</c:v>
                </c:pt>
                <c:pt idx="48">
                  <c:v>High 5 Casino</c:v>
                </c:pt>
                <c:pt idx="49">
                  <c:v>Jackpotjoy Slots</c:v>
                </c:pt>
              </c:strCache>
            </c:strRef>
          </c:cat>
          <c:val>
            <c:numRef>
              <c:f>Outputs!$G$11:$G$45</c:f>
              <c:numCache>
                <c:formatCode>#,##0</c:formatCode>
                <c:ptCount val="35"/>
                <c:pt idx="0">
                  <c:v>3999.0000000000009</c:v>
                </c:pt>
                <c:pt idx="1">
                  <c:v>1499.0000000000002</c:v>
                </c:pt>
                <c:pt idx="2">
                  <c:v>713.28571428571445</c:v>
                </c:pt>
                <c:pt idx="3">
                  <c:v>2856.1428571428578</c:v>
                </c:pt>
                <c:pt idx="4">
                  <c:v>3124.0000000000009</c:v>
                </c:pt>
                <c:pt idx="5">
                  <c:v>1665.666666666667</c:v>
                </c:pt>
                <c:pt idx="6">
                  <c:v>499.00000000000011</c:v>
                </c:pt>
                <c:pt idx="7">
                  <c:v>399.00000000000011</c:v>
                </c:pt>
                <c:pt idx="8">
                  <c:v>10484.000000000002</c:v>
                </c:pt>
                <c:pt idx="9">
                  <c:v>2999.0000000000005</c:v>
                </c:pt>
                <c:pt idx="10">
                  <c:v>1999.0000000000005</c:v>
                </c:pt>
                <c:pt idx="11">
                  <c:v>32037.000000000007</c:v>
                </c:pt>
                <c:pt idx="12">
                  <c:v>999.00000000000023</c:v>
                </c:pt>
                <c:pt idx="13">
                  <c:v>10484.000000000002</c:v>
                </c:pt>
                <c:pt idx="14">
                  <c:v>399999.00000000012</c:v>
                </c:pt>
                <c:pt idx="15">
                  <c:v>102699.00000000003</c:v>
                </c:pt>
                <c:pt idx="16">
                  <c:v>1663.666666666667</c:v>
                </c:pt>
                <c:pt idx="17">
                  <c:v>39999.000000000007</c:v>
                </c:pt>
                <c:pt idx="18">
                  <c:v>111110.11111111114</c:v>
                </c:pt>
                <c:pt idx="19">
                  <c:v>3999.0000000000009</c:v>
                </c:pt>
                <c:pt idx="20">
                  <c:v>66665.666666666686</c:v>
                </c:pt>
                <c:pt idx="21">
                  <c:v>3499.0000000000009</c:v>
                </c:pt>
                <c:pt idx="22">
                  <c:v>3124.0000000000009</c:v>
                </c:pt>
                <c:pt idx="23">
                  <c:v>332.33333333333343</c:v>
                </c:pt>
                <c:pt idx="24">
                  <c:v>1249.0000000000002</c:v>
                </c:pt>
                <c:pt idx="25">
                  <c:v>3999.0000000000009</c:v>
                </c:pt>
                <c:pt idx="26">
                  <c:v>1331.4450366422388</c:v>
                </c:pt>
                <c:pt idx="27">
                  <c:v>499.00000000000011</c:v>
                </c:pt>
                <c:pt idx="28">
                  <c:v>4499.0000000000009</c:v>
                </c:pt>
                <c:pt idx="29">
                  <c:v>1672.65</c:v>
                </c:pt>
                <c:pt idx="30">
                  <c:v>1542.2098765432102</c:v>
                </c:pt>
                <c:pt idx="31">
                  <c:v>1110.1111111111113</c:v>
                </c:pt>
                <c:pt idx="32">
                  <c:v>0</c:v>
                </c:pt>
                <c:pt idx="33">
                  <c:v>895.64772727272771</c:v>
                </c:pt>
                <c:pt idx="34">
                  <c:v>6503.6500000000015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of Value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Currency Conversion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1566617862372"/>
          <c:y val="0.12600365863357987"/>
          <c:w val="0.82884333821376288"/>
          <c:h val="0.5631246321482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Outputs!$H$10</c:f>
              <c:strCache>
                <c:ptCount val="1"/>
                <c:pt idx="0">
                  <c:v>11,000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Outputs!$B$9:$B$58</c:f>
              <c:strCache>
                <c:ptCount val="50"/>
                <c:pt idx="0">
                  <c:v>Hit It Rich</c:v>
                </c:pt>
                <c:pt idx="1">
                  <c:v>Big Fish Casino</c:v>
                </c:pt>
                <c:pt idx="2">
                  <c:v>Jackpot Magic Slots</c:v>
                </c:pt>
                <c:pt idx="3">
                  <c:v>Wonka Slots</c:v>
                </c:pt>
                <c:pt idx="4">
                  <c:v>Gold Fish HD</c:v>
                </c:pt>
                <c:pt idx="5">
                  <c:v>Black Diamond Slots</c:v>
                </c:pt>
                <c:pt idx="6">
                  <c:v>GSN Casino</c:v>
                </c:pt>
                <c:pt idx="7">
                  <c:v>DoubleU Casino</c:v>
                </c:pt>
                <c:pt idx="8">
                  <c:v>Infinity Slots</c:v>
                </c:pt>
                <c:pt idx="9">
                  <c:v>Viva Slots Las Vegas</c:v>
                </c:pt>
                <c:pt idx="10">
                  <c:v>Slots Era</c:v>
                </c:pt>
                <c:pt idx="11">
                  <c:v>Old Vegas</c:v>
                </c:pt>
                <c:pt idx="12">
                  <c:v>Cashman Casino</c:v>
                </c:pt>
                <c:pt idx="13">
                  <c:v>Slot Bonanza HD</c:v>
                </c:pt>
                <c:pt idx="14">
                  <c:v>DoubleDown</c:v>
                </c:pt>
                <c:pt idx="15">
                  <c:v>Scatter Slots</c:v>
                </c:pt>
                <c:pt idx="16">
                  <c:v>Pharaoh's Way</c:v>
                </c:pt>
                <c:pt idx="17">
                  <c:v>Huuuge Casino</c:v>
                </c:pt>
                <c:pt idx="18">
                  <c:v>Slots on Tour</c:v>
                </c:pt>
                <c:pt idx="19">
                  <c:v>Caesars Slots</c:v>
                </c:pt>
                <c:pt idx="20">
                  <c:v>Slotomania HD</c:v>
                </c:pt>
                <c:pt idx="21">
                  <c:v>Heart of Vegas</c:v>
                </c:pt>
                <c:pt idx="22">
                  <c:v>Spin to Win Slots</c:v>
                </c:pt>
                <c:pt idx="23">
                  <c:v>Hot Shot Casino</c:v>
                </c:pt>
                <c:pt idx="24">
                  <c:v>Ellen’s Road to Riches</c:v>
                </c:pt>
                <c:pt idx="25">
                  <c:v>myVEGAS</c:v>
                </c:pt>
                <c:pt idx="26">
                  <c:v>Jackpot Party HD</c:v>
                </c:pt>
                <c:pt idx="27">
                  <c:v>Monopoly Slots</c:v>
                </c:pt>
                <c:pt idx="28">
                  <c:v>88 Fortune Slots</c:v>
                </c:pt>
                <c:pt idx="29">
                  <c:v>POP! Slots</c:v>
                </c:pt>
                <c:pt idx="30">
                  <c:v>Wizard of Oz</c:v>
                </c:pt>
                <c:pt idx="31">
                  <c:v>Xtreme Slots</c:v>
                </c:pt>
                <c:pt idx="32">
                  <c:v>Quick Hit Slots</c:v>
                </c:pt>
                <c:pt idx="33">
                  <c:v>House of Fun</c:v>
                </c:pt>
                <c:pt idx="34">
                  <c:v>my KONAMI</c:v>
                </c:pt>
                <c:pt idx="35">
                  <c:v>Bingo Bash</c:v>
                </c:pt>
                <c:pt idx="36">
                  <c:v>Bingo Blitz</c:v>
                </c:pt>
                <c:pt idx="37">
                  <c:v>Bingo Party</c:v>
                </c:pt>
                <c:pt idx="38">
                  <c:v>Monopoly Bingo</c:v>
                </c:pt>
                <c:pt idx="39">
                  <c:v>Bingo Showdown</c:v>
                </c:pt>
                <c:pt idx="40">
                  <c:v>Bingo Pop</c:v>
                </c:pt>
                <c:pt idx="41">
                  <c:v>WSOP</c:v>
                </c:pt>
                <c:pt idx="42">
                  <c:v>Zynga - Texas Holdem</c:v>
                </c:pt>
                <c:pt idx="43">
                  <c:v>Poker Heat</c:v>
                </c:pt>
                <c:pt idx="44">
                  <c:v>Scatter HoldEm Poker</c:v>
                </c:pt>
                <c:pt idx="45">
                  <c:v>Fresh Deck</c:v>
                </c:pt>
                <c:pt idx="46">
                  <c:v>Pokerist</c:v>
                </c:pt>
                <c:pt idx="47">
                  <c:v>Texas Holdem</c:v>
                </c:pt>
                <c:pt idx="48">
                  <c:v>High 5 Casino</c:v>
                </c:pt>
                <c:pt idx="49">
                  <c:v>Jackpotjoy Slots</c:v>
                </c:pt>
              </c:strCache>
            </c:strRef>
          </c:cat>
          <c:val>
            <c:numRef>
              <c:f>Outputs!$H$11:$H$45</c:f>
              <c:numCache>
                <c:formatCode>#,##0</c:formatCode>
                <c:ptCount val="35"/>
                <c:pt idx="0">
                  <c:v>200000</c:v>
                </c:pt>
                <c:pt idx="1">
                  <c:v>1200000</c:v>
                </c:pt>
                <c:pt idx="2">
                  <c:v>600000</c:v>
                </c:pt>
                <c:pt idx="3">
                  <c:v>1000000</c:v>
                </c:pt>
                <c:pt idx="4">
                  <c:v>11400</c:v>
                </c:pt>
                <c:pt idx="5">
                  <c:v>300000</c:v>
                </c:pt>
                <c:pt idx="6">
                  <c:v>1800000</c:v>
                </c:pt>
                <c:pt idx="7">
                  <c:v>1500</c:v>
                </c:pt>
                <c:pt idx="8">
                  <c:v>2400000</c:v>
                </c:pt>
                <c:pt idx="9">
                  <c:v>2000</c:v>
                </c:pt>
                <c:pt idx="10">
                  <c:v>400000</c:v>
                </c:pt>
                <c:pt idx="11">
                  <c:v>5000</c:v>
                </c:pt>
                <c:pt idx="12">
                  <c:v>125000</c:v>
                </c:pt>
                <c:pt idx="13">
                  <c:v>2400000</c:v>
                </c:pt>
                <c:pt idx="14">
                  <c:v>8280</c:v>
                </c:pt>
                <c:pt idx="15">
                  <c:v>1800000</c:v>
                </c:pt>
                <c:pt idx="16">
                  <c:v>1500000</c:v>
                </c:pt>
                <c:pt idx="17">
                  <c:v>40000</c:v>
                </c:pt>
                <c:pt idx="18">
                  <c:v>3000</c:v>
                </c:pt>
                <c:pt idx="19">
                  <c:v>100000</c:v>
                </c:pt>
                <c:pt idx="20">
                  <c:v>500000</c:v>
                </c:pt>
                <c:pt idx="21">
                  <c:v>320000</c:v>
                </c:pt>
                <c:pt idx="22">
                  <c:v>1440000</c:v>
                </c:pt>
                <c:pt idx="23">
                  <c:v>52500</c:v>
                </c:pt>
                <c:pt idx="24">
                  <c:v>2000000</c:v>
                </c:pt>
                <c:pt idx="25">
                  <c:v>180000</c:v>
                </c:pt>
                <c:pt idx="26">
                  <c:v>1575000</c:v>
                </c:pt>
                <c:pt idx="27">
                  <c:v>90000</c:v>
                </c:pt>
                <c:pt idx="28">
                  <c:v>11000000</c:v>
                </c:pt>
                <c:pt idx="29">
                  <c:v>3240</c:v>
                </c:pt>
                <c:pt idx="30">
                  <c:v>1000000</c:v>
                </c:pt>
                <c:pt idx="31">
                  <c:v>4000</c:v>
                </c:pt>
                <c:pt idx="32">
                  <c:v>240000</c:v>
                </c:pt>
                <c:pt idx="33">
                  <c:v>15</c:v>
                </c:pt>
                <c:pt idx="3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of Currency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6953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2409825</xdr:colOff>
      <xdr:row>0</xdr:row>
      <xdr:rowOff>0</xdr:rowOff>
    </xdr:from>
    <xdr:ext cx="714375" cy="4286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0"/>
          <a:ext cx="7143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0</xdr:rowOff>
    </xdr:from>
    <xdr:ext cx="666750" cy="4000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56"/>
  <sheetViews>
    <sheetView tabSelected="1" workbookViewId="0">
      <pane ySplit="8" topLeftCell="A9" activePane="bottomLeft" state="frozen"/>
      <selection pane="bottomLeft" activeCell="B5" sqref="B5"/>
    </sheetView>
  </sheetViews>
  <sheetFormatPr baseColWidth="10" defaultColWidth="11.1640625" defaultRowHeight="15" customHeight="1"/>
  <cols>
    <col min="1" max="1" width="14.6640625" customWidth="1"/>
    <col min="2" max="2" width="36.33203125" customWidth="1"/>
    <col min="3" max="3" width="12.83203125" customWidth="1"/>
    <col min="4" max="4" width="15.1640625" customWidth="1"/>
    <col min="5" max="8" width="12.83203125" customWidth="1"/>
    <col min="9" max="9" width="13.83203125" customWidth="1"/>
    <col min="10" max="14" width="12.83203125" customWidth="1"/>
    <col min="15" max="26" width="11" customWidth="1"/>
  </cols>
  <sheetData>
    <row r="1" spans="1:26" ht="31.5" customHeight="1">
      <c r="A1" s="11"/>
      <c r="B1" s="21" t="s">
        <v>76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4"/>
    </row>
    <row r="2" spans="1:26" ht="15.75" customHeight="1">
      <c r="A2" s="25" t="s">
        <v>77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>
      <c r="A3" s="28"/>
      <c r="B3" s="29"/>
      <c r="C3" s="30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1"/>
    </row>
    <row r="4" spans="1:26" ht="15.75" customHeight="1">
      <c r="A4" s="28"/>
      <c r="B4" s="32" t="s">
        <v>79</v>
      </c>
      <c r="C4" s="33" t="s">
        <v>80</v>
      </c>
      <c r="D4" s="33" t="s">
        <v>81</v>
      </c>
      <c r="E4" s="34"/>
      <c r="F4" s="35"/>
      <c r="G4" s="36"/>
      <c r="H4" s="3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1"/>
    </row>
    <row r="5" spans="1:26" ht="15.75" customHeight="1">
      <c r="A5" s="28"/>
      <c r="B5" s="39" t="s">
        <v>86</v>
      </c>
      <c r="C5" s="41">
        <v>3</v>
      </c>
      <c r="D5" s="43" t="s">
        <v>87</v>
      </c>
      <c r="E5" s="45"/>
      <c r="F5" s="43"/>
      <c r="G5" s="47"/>
      <c r="H5" s="3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1"/>
    </row>
    <row r="6" spans="1:26" ht="15.75" customHeight="1">
      <c r="A6" s="28"/>
      <c r="B6" s="28"/>
      <c r="C6" s="30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/>
    </row>
    <row r="7" spans="1:26" ht="15.75" hidden="1" customHeight="1">
      <c r="A7" s="49"/>
      <c r="B7" s="50" t="s">
        <v>89</v>
      </c>
      <c r="C7" s="52"/>
      <c r="D7" s="52">
        <v>2</v>
      </c>
      <c r="E7" s="52">
        <v>17</v>
      </c>
      <c r="F7" s="53">
        <v>24</v>
      </c>
      <c r="G7" s="53">
        <v>25</v>
      </c>
      <c r="H7" s="53">
        <v>19</v>
      </c>
      <c r="I7" s="54">
        <v>30</v>
      </c>
      <c r="J7" s="54">
        <v>31</v>
      </c>
      <c r="K7" s="54">
        <v>27</v>
      </c>
      <c r="L7" s="54">
        <v>28</v>
      </c>
      <c r="M7" s="54">
        <v>25</v>
      </c>
      <c r="N7" s="55">
        <v>26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s="193" customFormat="1" ht="42">
      <c r="A8" s="56" t="s">
        <v>90</v>
      </c>
      <c r="B8" s="58" t="s">
        <v>91</v>
      </c>
      <c r="C8" s="58" t="s">
        <v>92</v>
      </c>
      <c r="D8" s="58" t="s">
        <v>93</v>
      </c>
      <c r="E8" s="58" t="s">
        <v>94</v>
      </c>
      <c r="F8" s="58" t="s">
        <v>95</v>
      </c>
      <c r="G8" s="58" t="s">
        <v>96</v>
      </c>
      <c r="H8" s="58" t="s">
        <v>97</v>
      </c>
      <c r="I8" s="58" t="str">
        <f>Inputs!B60</f>
        <v>Bet/Chips (Default bet)</v>
      </c>
      <c r="J8" s="58" t="str">
        <f>Inputs!B61</f>
        <v>Bet/Chips (Minimum Bet)</v>
      </c>
      <c r="K8" s="58" t="s">
        <v>98</v>
      </c>
      <c r="L8" s="58" t="s">
        <v>99</v>
      </c>
      <c r="M8" s="58" t="s">
        <v>100</v>
      </c>
      <c r="N8" s="62" t="s">
        <v>101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64">
        <v>11</v>
      </c>
      <c r="B9" s="65" t="s">
        <v>12</v>
      </c>
      <c r="C9" s="66" t="s">
        <v>103</v>
      </c>
      <c r="D9" s="67">
        <f>HLOOKUP($B9,Inputs!$B$31:$ZU$68,D$7,FALSE)</f>
        <v>16</v>
      </c>
      <c r="E9" s="67">
        <f>HLOOKUP($B9,Inputs!$B$31:$ZU$68,E$7,FALSE)</f>
        <v>9.0421052631578949</v>
      </c>
      <c r="F9" s="69">
        <f>HLOOKUP($B9,Inputs!$B$31:$ZU$68,F$7,FALSE)</f>
        <v>443.44444444444451</v>
      </c>
      <c r="G9" s="69">
        <f>HLOOKUP($B9,Inputs!$B$31:$ZU$68,G$7,FALSE)</f>
        <v>443.44444444444451</v>
      </c>
      <c r="H9" s="69">
        <f>HLOOKUP($B9,Inputs!$B$31:$ZU$68,H$7,FALSE)</f>
        <v>95000</v>
      </c>
      <c r="I9" s="69">
        <f>HLOOKUP($B9,Inputs!$B$31:$ZU$68,I$7,FALSE)</f>
        <v>44.444444444444443</v>
      </c>
      <c r="J9" s="69">
        <f>HLOOKUP($B9,Inputs!$B$31:$ZU$68,J$7,FALSE)</f>
        <v>44.444444444444443</v>
      </c>
      <c r="K9" s="69">
        <f>HLOOKUP($B9,Inputs!$B$31:$ZU$68,K$7,FALSE)</f>
        <v>55.555555555555507</v>
      </c>
      <c r="L9" s="69">
        <f>HLOOKUP($B9,Inputs!$B$31:$ZU$68,L$7,FALSE)</f>
        <v>55.555555555555507</v>
      </c>
      <c r="M9" s="69">
        <f>HLOOKUP($B9,Inputs!$B$4:$ZW$29,M$7,FALSE)</f>
        <v>34200</v>
      </c>
      <c r="N9" s="75">
        <f>HLOOKUP($B9,Inputs!$B$4:$ZW$29,N$7,FALSE)</f>
        <v>34200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1"/>
    </row>
    <row r="10" spans="1:26" ht="15.75" customHeight="1">
      <c r="A10" s="77">
        <v>3</v>
      </c>
      <c r="B10" s="78" t="s">
        <v>5</v>
      </c>
      <c r="C10" s="79" t="s">
        <v>103</v>
      </c>
      <c r="D10" s="82">
        <f>HLOOKUP($B10,Inputs!$B$31:$ZU$68,D$7,FALSE)</f>
        <v>9.0909090909090917</v>
      </c>
      <c r="E10" s="82">
        <f>HLOOKUP($B10,Inputs!$B$31:$ZU$68,E$7,FALSE)</f>
        <v>5.8972727272727274</v>
      </c>
      <c r="F10" s="42">
        <f>HLOOKUP($B10,Inputs!$B$31:$ZU$68,F$7,FALSE)</f>
        <v>1599.0000000000005</v>
      </c>
      <c r="G10" s="42">
        <f>HLOOKUP($B10,Inputs!$B$31:$ZU$68,G$7,FALSE)</f>
        <v>1599.0000000000005</v>
      </c>
      <c r="H10" s="42">
        <f>HLOOKUP($B10,Inputs!$B$31:$ZU$68,H$7,FALSE)</f>
        <v>11000</v>
      </c>
      <c r="I10" s="42">
        <f>HLOOKUP($B10,Inputs!$B$31:$ZU$68,I$7,FALSE)</f>
        <v>160</v>
      </c>
      <c r="J10" s="42">
        <f>HLOOKUP($B10,Inputs!$B$31:$ZU$68,J$7,FALSE)</f>
        <v>160</v>
      </c>
      <c r="K10" s="42">
        <f>HLOOKUP($B10,Inputs!$B$31:$ZU$68,K$7,FALSE)</f>
        <v>351.99999999999972</v>
      </c>
      <c r="L10" s="42">
        <f>HLOOKUP($B10,Inputs!$B$31:$ZU$68,L$7,FALSE)</f>
        <v>351.99999999999972</v>
      </c>
      <c r="M10" s="42">
        <f>HLOOKUP($B10,Inputs!$B$4:$ZW$29,M$7,FALSE)</f>
        <v>625</v>
      </c>
      <c r="N10" s="91">
        <f>HLOOKUP($B10,Inputs!$B$4:$ZW$29,N$7,FALSE)</f>
        <v>625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1"/>
    </row>
    <row r="11" spans="1:26" ht="15.75" customHeight="1">
      <c r="A11" s="77">
        <v>20</v>
      </c>
      <c r="B11" s="78" t="s">
        <v>22</v>
      </c>
      <c r="C11" s="79" t="s">
        <v>103</v>
      </c>
      <c r="D11" s="82">
        <f>HLOOKUP($B11,Inputs!$B$31:$ZU$68,D$7,FALSE)</f>
        <v>5</v>
      </c>
      <c r="E11" s="82">
        <f>HLOOKUP($B11,Inputs!$B$31:$ZU$68,E$7,FALSE)</f>
        <v>4.8174999999999999</v>
      </c>
      <c r="F11" s="42">
        <f>HLOOKUP($B11,Inputs!$B$31:$ZU$68,F$7,FALSE)</f>
        <v>3999.0000000000009</v>
      </c>
      <c r="G11" s="42">
        <f>HLOOKUP($B11,Inputs!$B$31:$ZU$68,G$7,FALSE)</f>
        <v>3999.0000000000009</v>
      </c>
      <c r="H11" s="42">
        <f>HLOOKUP($B11,Inputs!$B$31:$ZU$68,H$7,FALSE)</f>
        <v>200000</v>
      </c>
      <c r="I11" s="42">
        <f>HLOOKUP($B11,Inputs!$B$31:$ZU$68,I$7,FALSE)</f>
        <v>400</v>
      </c>
      <c r="J11" s="42">
        <f>HLOOKUP($B11,Inputs!$B$31:$ZU$68,J$7,FALSE)</f>
        <v>400</v>
      </c>
      <c r="K11" s="42">
        <f>HLOOKUP($B11,Inputs!$B$31:$ZU$68,K$7,FALSE)</f>
        <v>1599.9999999999986</v>
      </c>
      <c r="L11" s="42">
        <f>HLOOKUP($B11,Inputs!$B$31:$ZU$68,L$7,FALSE)</f>
        <v>1599.9999999999986</v>
      </c>
      <c r="M11" s="42">
        <f>HLOOKUP($B11,Inputs!$B$4:$ZW$29,M$7,FALSE)</f>
        <v>2500</v>
      </c>
      <c r="N11" s="91">
        <f>HLOOKUP($B11,Inputs!$B$4:$ZW$29,N$7,FALSE)</f>
        <v>2500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1"/>
    </row>
    <row r="12" spans="1:26" ht="15.75" customHeight="1">
      <c r="A12" s="77">
        <v>16</v>
      </c>
      <c r="B12" s="78" t="s">
        <v>17</v>
      </c>
      <c r="C12" s="79" t="s">
        <v>103</v>
      </c>
      <c r="D12" s="82">
        <f>HLOOKUP($B12,Inputs!$B$31:$ZU$68,D$7,FALSE)</f>
        <v>1.5</v>
      </c>
      <c r="E12" s="82">
        <f>HLOOKUP($B12,Inputs!$B$31:$ZU$68,E$7,FALSE)</f>
        <v>4.4400000000000004</v>
      </c>
      <c r="F12" s="42">
        <f>HLOOKUP($B12,Inputs!$B$31:$ZU$68,F$7,FALSE)</f>
        <v>499.00000000000011</v>
      </c>
      <c r="G12" s="42">
        <f>HLOOKUP($B12,Inputs!$B$31:$ZU$68,G$7,FALSE)</f>
        <v>1499.0000000000002</v>
      </c>
      <c r="H12" s="42">
        <f>HLOOKUP($B12,Inputs!$B$31:$ZU$68,H$7,FALSE)</f>
        <v>1200000</v>
      </c>
      <c r="I12" s="42">
        <f>HLOOKUP($B12,Inputs!$B$31:$ZU$68,I$7,FALSE)</f>
        <v>50</v>
      </c>
      <c r="J12" s="42">
        <f>HLOOKUP($B12,Inputs!$B$31:$ZU$68,J$7,FALSE)</f>
        <v>150</v>
      </c>
      <c r="K12" s="42">
        <f>HLOOKUP($B12,Inputs!$B$31:$ZU$68,K$7,FALSE)</f>
        <v>666.66666666666617</v>
      </c>
      <c r="L12" s="42">
        <f>HLOOKUP($B12,Inputs!$B$31:$ZU$68,L$7,FALSE)</f>
        <v>1999.9999999999982</v>
      </c>
      <c r="M12" s="42">
        <f>HLOOKUP($B12,Inputs!$B$4:$ZW$29,M$7,FALSE)</f>
        <v>36000</v>
      </c>
      <c r="N12" s="91">
        <f>HLOOKUP($B12,Inputs!$B$4:$ZW$29,N$7,FALSE)</f>
        <v>12000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1"/>
    </row>
    <row r="13" spans="1:26" ht="15.75" customHeight="1">
      <c r="A13" s="77">
        <v>13</v>
      </c>
      <c r="B13" s="78" t="s">
        <v>14</v>
      </c>
      <c r="C13" s="79" t="s">
        <v>103</v>
      </c>
      <c r="D13" s="82">
        <f>HLOOKUP($B13,Inputs!$B$31:$ZU$68,D$7,FALSE)</f>
        <v>1.6666666666666667</v>
      </c>
      <c r="E13" s="82">
        <f>HLOOKUP($B13,Inputs!$B$31:$ZU$68,E$7,FALSE)</f>
        <v>3.6291666666666669</v>
      </c>
      <c r="F13" s="42">
        <f>HLOOKUP($B13,Inputs!$B$31:$ZU$68,F$7,FALSE)</f>
        <v>379.95238095238102</v>
      </c>
      <c r="G13" s="42">
        <f>HLOOKUP($B13,Inputs!$B$31:$ZU$68,G$7,FALSE)</f>
        <v>713.28571428571445</v>
      </c>
      <c r="H13" s="42">
        <f>HLOOKUP($B13,Inputs!$B$31:$ZU$68,H$7,FALSE)</f>
        <v>600000</v>
      </c>
      <c r="I13" s="42">
        <f>HLOOKUP($B13,Inputs!$B$31:$ZU$68,I$7,FALSE)</f>
        <v>38.095238095238095</v>
      </c>
      <c r="J13" s="42">
        <f>HLOOKUP($B13,Inputs!$B$31:$ZU$68,J$7,FALSE)</f>
        <v>71.428571428571431</v>
      </c>
      <c r="K13" s="42">
        <f>HLOOKUP($B13,Inputs!$B$31:$ZU$68,K$7,FALSE)</f>
        <v>457.14285714285677</v>
      </c>
      <c r="L13" s="42">
        <f>HLOOKUP($B13,Inputs!$B$31:$ZU$68,L$7,FALSE)</f>
        <v>857.14285714285631</v>
      </c>
      <c r="M13" s="42">
        <f>HLOOKUP($B13,Inputs!$B$4:$ZW$29,M$7,FALSE)</f>
        <v>26250</v>
      </c>
      <c r="N13" s="91">
        <f>HLOOKUP($B13,Inputs!$B$4:$ZW$29,N$7,FALSE)</f>
        <v>14000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1"/>
    </row>
    <row r="14" spans="1:26" ht="15.75" customHeight="1">
      <c r="A14" s="77">
        <v>18</v>
      </c>
      <c r="B14" s="78" t="s">
        <v>19</v>
      </c>
      <c r="C14" s="79" t="s">
        <v>103</v>
      </c>
      <c r="D14" s="82">
        <f>HLOOKUP($B14,Inputs!$B$31:$ZU$68,D$7,FALSE)</f>
        <v>6</v>
      </c>
      <c r="E14" s="82">
        <f>HLOOKUP($B14,Inputs!$B$31:$ZU$68,E$7,FALSE)</f>
        <v>3.112857</v>
      </c>
      <c r="F14" s="42">
        <f>HLOOKUP($B14,Inputs!$B$31:$ZU$68,F$7,FALSE)</f>
        <v>2856.1428571428578</v>
      </c>
      <c r="G14" s="42">
        <f>HLOOKUP($B14,Inputs!$B$31:$ZU$68,G$7,FALSE)</f>
        <v>2856.1428571428578</v>
      </c>
      <c r="H14" s="42">
        <f>HLOOKUP($B14,Inputs!$B$31:$ZU$68,H$7,FALSE)</f>
        <v>1000000</v>
      </c>
      <c r="I14" s="42">
        <f>HLOOKUP($B14,Inputs!$B$31:$ZU$68,I$7,FALSE)</f>
        <v>285.71428571428572</v>
      </c>
      <c r="J14" s="42">
        <f>HLOOKUP($B14,Inputs!$B$31:$ZU$68,J$7,FALSE)</f>
        <v>285.71428571428572</v>
      </c>
      <c r="K14" s="42">
        <f>HLOOKUP($B14,Inputs!$B$31:$ZU$68,K$7,FALSE)</f>
        <v>952.38095238095161</v>
      </c>
      <c r="L14" s="42">
        <f>HLOOKUP($B14,Inputs!$B$31:$ZU$68,L$7,FALSE)</f>
        <v>952.38095238095161</v>
      </c>
      <c r="M14" s="42">
        <f>HLOOKUP($B14,Inputs!$B$4:$ZW$29,M$7,FALSE)</f>
        <v>21000</v>
      </c>
      <c r="N14" s="91">
        <f>HLOOKUP($B14,Inputs!$B$4:$ZW$29,N$7,FALSE)</f>
        <v>21000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1"/>
    </row>
    <row r="15" spans="1:26" ht="15.75" customHeight="1">
      <c r="A15" s="77">
        <v>4</v>
      </c>
      <c r="B15" s="78" t="s">
        <v>6</v>
      </c>
      <c r="C15" s="79" t="s">
        <v>103</v>
      </c>
      <c r="D15" s="82">
        <f>HLOOKUP($B15,Inputs!$B$31:$ZU$68,D$7,FALSE)</f>
        <v>1.0964912280701755</v>
      </c>
      <c r="E15" s="82">
        <f>HLOOKUP($B15,Inputs!$B$31:$ZU$68,E$7,FALSE)</f>
        <v>2.486842105263158</v>
      </c>
      <c r="F15" s="42">
        <f>HLOOKUP($B15,Inputs!$B$31:$ZU$68,F$7,FALSE)</f>
        <v>311.50000000000006</v>
      </c>
      <c r="G15" s="42">
        <f>HLOOKUP($B15,Inputs!$B$31:$ZU$68,G$7,FALSE)</f>
        <v>3124.0000000000009</v>
      </c>
      <c r="H15" s="42">
        <f>HLOOKUP($B15,Inputs!$B$31:$ZU$68,H$7,FALSE)</f>
        <v>11400</v>
      </c>
      <c r="I15" s="42">
        <f>HLOOKUP($B15,Inputs!$B$31:$ZU$68,I$7,FALSE)</f>
        <v>31.25</v>
      </c>
      <c r="J15" s="42">
        <f>HLOOKUP($B15,Inputs!$B$31:$ZU$68,J$7,FALSE)</f>
        <v>312.5</v>
      </c>
      <c r="K15" s="42">
        <f>HLOOKUP($B15,Inputs!$B$31:$ZU$68,K$7,FALSE)</f>
        <v>569.99999999999955</v>
      </c>
      <c r="L15" s="42">
        <f>HLOOKUP($B15,Inputs!$B$31:$ZU$68,L$7,FALSE)</f>
        <v>5699.9999999999945</v>
      </c>
      <c r="M15" s="42">
        <f>HLOOKUP($B15,Inputs!$B$4:$ZW$29,M$7,FALSE)</f>
        <v>400</v>
      </c>
      <c r="N15" s="91">
        <f>HLOOKUP($B15,Inputs!$B$4:$ZW$29,N$7,FALSE)</f>
        <v>40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1"/>
    </row>
    <row r="16" spans="1:26" ht="15.75" customHeight="1">
      <c r="A16" s="77">
        <v>9</v>
      </c>
      <c r="B16" s="78" t="s">
        <v>10</v>
      </c>
      <c r="C16" s="79" t="s">
        <v>103</v>
      </c>
      <c r="D16" s="82">
        <f>HLOOKUP($B16,Inputs!$B$31:$ZU$68,D$7,FALSE)</f>
        <v>3.3333333333333335</v>
      </c>
      <c r="E16" s="82">
        <f>HLOOKUP($B16,Inputs!$B$31:$ZU$68,E$7,FALSE)</f>
        <v>2.4613333333333332</v>
      </c>
      <c r="F16" s="42" t="str">
        <f>HLOOKUP($B16,Inputs!$B$31:$ZU$68,F$7,FALSE)</f>
        <v>Choose Bet</v>
      </c>
      <c r="G16" s="42">
        <f>HLOOKUP($B16,Inputs!$B$31:$ZU$68,G$7,FALSE)</f>
        <v>1665.666666666667</v>
      </c>
      <c r="H16" s="42">
        <f>HLOOKUP($B16,Inputs!$B$31:$ZU$68,H$7,FALSE)</f>
        <v>300000</v>
      </c>
      <c r="I16" s="42" t="str">
        <f>HLOOKUP($B16,Inputs!$B$31:$ZU$68,I$7,FALSE)</f>
        <v>Choose Bet</v>
      </c>
      <c r="J16" s="42">
        <f>HLOOKUP($B16,Inputs!$B$31:$ZU$68,J$7,FALSE)</f>
        <v>166.66666666666666</v>
      </c>
      <c r="K16" s="42" t="str">
        <f>HLOOKUP($B16,Inputs!$B$31:$ZU$68,K$7,FALSE)</f>
        <v>N/A</v>
      </c>
      <c r="L16" s="42">
        <f>HLOOKUP($B16,Inputs!$B$31:$ZU$68,L$7,FALSE)</f>
        <v>999.99999999999909</v>
      </c>
      <c r="M16" s="42" t="str">
        <f>HLOOKUP($B16,Inputs!$B$4:$ZW$29,M$7,FALSE)</f>
        <v>Choose Bet</v>
      </c>
      <c r="N16" s="91">
        <f>HLOOKUP($B16,Inputs!$B$4:$ZW$29,N$7,FALSE)</f>
        <v>6000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1"/>
    </row>
    <row r="17" spans="1:26" ht="15.75" customHeight="1">
      <c r="A17" s="77">
        <v>24</v>
      </c>
      <c r="B17" s="78" t="s">
        <v>26</v>
      </c>
      <c r="C17" s="79" t="s">
        <v>103</v>
      </c>
      <c r="D17" s="82">
        <f>HLOOKUP($B17,Inputs!$B$31:$ZU$68,D$7,FALSE)</f>
        <v>1.6666666666666667</v>
      </c>
      <c r="E17" s="82">
        <f>HLOOKUP($B17,Inputs!$B$31:$ZU$68,E$7,FALSE)</f>
        <v>2.1770833333333335</v>
      </c>
      <c r="F17" s="42">
        <f>HLOOKUP($B17,Inputs!$B$31:$ZU$68,F$7,FALSE)</f>
        <v>499.00000000000011</v>
      </c>
      <c r="G17" s="42">
        <f>HLOOKUP($B17,Inputs!$B$31:$ZU$68,G$7,FALSE)</f>
        <v>499.00000000000011</v>
      </c>
      <c r="H17" s="42">
        <f>HLOOKUP($B17,Inputs!$B$31:$ZU$68,H$7,FALSE)</f>
        <v>1800000</v>
      </c>
      <c r="I17" s="42">
        <f>HLOOKUP($B17,Inputs!$B$31:$ZU$68,I$7,FALSE)</f>
        <v>50</v>
      </c>
      <c r="J17" s="42">
        <f>HLOOKUP($B17,Inputs!$B$31:$ZU$68,J$7,FALSE)</f>
        <v>50</v>
      </c>
      <c r="K17" s="42">
        <f>HLOOKUP($B17,Inputs!$B$31:$ZU$68,K$7,FALSE)</f>
        <v>599.99999999999943</v>
      </c>
      <c r="L17" s="42">
        <f>HLOOKUP($B17,Inputs!$B$31:$ZU$68,L$7,FALSE)</f>
        <v>599.99999999999943</v>
      </c>
      <c r="M17" s="42">
        <f>HLOOKUP($B17,Inputs!$B$4:$ZW$29,M$7,FALSE)</f>
        <v>60000</v>
      </c>
      <c r="N17" s="91">
        <f>HLOOKUP($B17,Inputs!$B$4:$ZW$29,N$7,FALSE)</f>
        <v>60000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1"/>
    </row>
    <row r="18" spans="1:26" ht="15.75" customHeight="1">
      <c r="A18" s="77">
        <v>23</v>
      </c>
      <c r="B18" s="78" t="s">
        <v>25</v>
      </c>
      <c r="C18" s="147" t="s">
        <v>103</v>
      </c>
      <c r="D18" s="82">
        <f>HLOOKUP($B18,Inputs!$B$31:$ZU$68,D$7,FALSE)</f>
        <v>1.3333333333333333</v>
      </c>
      <c r="E18" s="82">
        <f>HLOOKUP($B18,Inputs!$B$31:$ZU$68,E$7,FALSE)</f>
        <v>2</v>
      </c>
      <c r="F18" s="174">
        <f>HLOOKUP($B18,Inputs!$B$31:$ZU$68,F$7,FALSE)</f>
        <v>399.00000000000011</v>
      </c>
      <c r="G18" s="174">
        <f>HLOOKUP($B18,Inputs!$B$31:$ZU$68,G$7,FALSE)</f>
        <v>399.00000000000011</v>
      </c>
      <c r="H18" s="174">
        <f>HLOOKUP($B18,Inputs!$B$31:$ZU$68,H$7,FALSE)</f>
        <v>1500</v>
      </c>
      <c r="I18" s="174">
        <f>HLOOKUP($B18,Inputs!$B$31:$ZU$68,I$7,FALSE)</f>
        <v>40</v>
      </c>
      <c r="J18" s="174">
        <f>HLOOKUP($B18,Inputs!$B$31:$ZU$68,J$7,FALSE)</f>
        <v>40</v>
      </c>
      <c r="K18" s="174">
        <f>HLOOKUP($B18,Inputs!$B$31:$ZU$68,K$7,FALSE)</f>
        <v>599.99999999999943</v>
      </c>
      <c r="L18" s="174">
        <f>HLOOKUP($B18,Inputs!$B$31:$ZU$68,L$7,FALSE)</f>
        <v>599.99999999999943</v>
      </c>
      <c r="M18" s="174">
        <f>HLOOKUP($B18,Inputs!$B$4:$ZW$29,M$7,FALSE)</f>
        <v>50</v>
      </c>
      <c r="N18" s="91">
        <f>HLOOKUP($B18,Inputs!$B$4:$ZW$29,N$7,FALSE)</f>
        <v>50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1"/>
    </row>
    <row r="19" spans="1:26" ht="15.75" customHeight="1">
      <c r="A19" s="77">
        <v>31</v>
      </c>
      <c r="B19" s="78" t="s">
        <v>33</v>
      </c>
      <c r="C19" s="79" t="s">
        <v>103</v>
      </c>
      <c r="D19" s="82">
        <f>HLOOKUP($B19,Inputs!$B$31:$ZU$68,D$7,FALSE)</f>
        <v>17.475000000000001</v>
      </c>
      <c r="E19" s="82">
        <f>HLOOKUP($B19,Inputs!$B$31:$ZU$68,E$7,FALSE)</f>
        <v>1.9612499999999999</v>
      </c>
      <c r="F19" s="42">
        <f>HLOOKUP($B19,Inputs!$B$31:$ZU$68,F$7,FALSE)</f>
        <v>10484.000000000002</v>
      </c>
      <c r="G19" s="42">
        <f>HLOOKUP($B19,Inputs!$B$31:$ZU$68,G$7,FALSE)</f>
        <v>10484.000000000002</v>
      </c>
      <c r="H19" s="42">
        <f>HLOOKUP($B19,Inputs!$B$31:$ZU$68,H$7,FALSE)</f>
        <v>2400000</v>
      </c>
      <c r="I19" s="42">
        <f>HLOOKUP($B19,Inputs!$B$31:$ZU$68,I$7,FALSE)</f>
        <v>300</v>
      </c>
      <c r="J19" s="42">
        <f>HLOOKUP($B19,Inputs!$B$31:$ZU$68,J$7,FALSE)</f>
        <v>300</v>
      </c>
      <c r="K19" s="42">
        <f>HLOOKUP($B19,Inputs!$B$31:$ZU$68,K$7,FALSE)</f>
        <v>1199.9999999999989</v>
      </c>
      <c r="L19" s="42">
        <f>HLOOKUP($B19,Inputs!$B$31:$ZU$68,L$7,FALSE)</f>
        <v>1199.9999999999989</v>
      </c>
      <c r="M19" s="42">
        <f>HLOOKUP($B19,Inputs!$B$4:$ZW$29,M$7,FALSE)</f>
        <v>40000</v>
      </c>
      <c r="N19" s="91">
        <f>HLOOKUP($B19,Inputs!$B$4:$ZW$29,N$7,FALSE)</f>
        <v>40000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1"/>
    </row>
    <row r="20" spans="1:26" ht="15.75" customHeight="1">
      <c r="A20" s="77">
        <v>33</v>
      </c>
      <c r="B20" s="78" t="s">
        <v>35</v>
      </c>
      <c r="C20" s="79" t="s">
        <v>103</v>
      </c>
      <c r="D20" s="82">
        <f>HLOOKUP($B20,Inputs!$B$31:$ZU$68,D$7,FALSE)</f>
        <v>7.5</v>
      </c>
      <c r="E20" s="82">
        <f>HLOOKUP($B20,Inputs!$B$31:$ZU$68,E$7,FALSE)</f>
        <v>1.85</v>
      </c>
      <c r="F20" s="42">
        <f>HLOOKUP($B20,Inputs!$B$31:$ZU$68,F$7,FALSE)</f>
        <v>2999.0000000000005</v>
      </c>
      <c r="G20" s="42">
        <f>HLOOKUP($B20,Inputs!$B$31:$ZU$68,G$7,FALSE)</f>
        <v>2999.0000000000005</v>
      </c>
      <c r="H20" s="42">
        <f>HLOOKUP($B20,Inputs!$B$31:$ZU$68,H$7,FALSE)</f>
        <v>2000</v>
      </c>
      <c r="I20" s="42">
        <f>HLOOKUP($B20,Inputs!$B$31:$ZU$68,I$7,FALSE)</f>
        <v>300</v>
      </c>
      <c r="J20" s="42">
        <f>HLOOKUP($B20,Inputs!$B$31:$ZU$68,J$7,FALSE)</f>
        <v>300</v>
      </c>
      <c r="K20" s="42">
        <f>HLOOKUP($B20,Inputs!$B$31:$ZU$68,K$7,FALSE)</f>
        <v>799.99999999999932</v>
      </c>
      <c r="L20" s="42">
        <f>HLOOKUP($B20,Inputs!$B$31:$ZU$68,L$7,FALSE)</f>
        <v>799.99999999999932</v>
      </c>
      <c r="M20" s="42">
        <f>HLOOKUP($B20,Inputs!$B$4:$ZW$29,M$7,FALSE)</f>
        <v>50</v>
      </c>
      <c r="N20" s="91">
        <f>HLOOKUP($B20,Inputs!$B$4:$ZW$29,N$7,FALSE)</f>
        <v>50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1"/>
    </row>
    <row r="21" spans="1:26" ht="15.75" customHeight="1">
      <c r="A21" s="77">
        <v>35</v>
      </c>
      <c r="B21" s="78" t="s">
        <v>37</v>
      </c>
      <c r="C21" s="79" t="s">
        <v>103</v>
      </c>
      <c r="D21" s="82">
        <f>HLOOKUP($B21,Inputs!$B$31:$ZU$68,D$7,FALSE)</f>
        <v>5</v>
      </c>
      <c r="E21" s="82">
        <f>HLOOKUP($B21,Inputs!$B$31:$ZU$68,E$7,FALSE)</f>
        <v>1.802</v>
      </c>
      <c r="F21" s="42" t="str">
        <f>HLOOKUP($B21,Inputs!$B$31:$ZU$68,F$7,FALSE)</f>
        <v>Choose Bet</v>
      </c>
      <c r="G21" s="42">
        <f>HLOOKUP($B21,Inputs!$B$31:$ZU$68,G$7,FALSE)</f>
        <v>1999.0000000000005</v>
      </c>
      <c r="H21" s="42">
        <f>HLOOKUP($B21,Inputs!$B$31:$ZU$68,H$7,FALSE)</f>
        <v>400000</v>
      </c>
      <c r="I21" s="42" t="str">
        <f>HLOOKUP($B21,Inputs!$B$31:$ZU$68,I$7,FALSE)</f>
        <v>Choose Bet</v>
      </c>
      <c r="J21" s="42">
        <f>HLOOKUP($B21,Inputs!$B$31:$ZU$68,J$7,FALSE)</f>
        <v>200</v>
      </c>
      <c r="K21" s="42" t="str">
        <f>HLOOKUP($B21,Inputs!$B$31:$ZU$68,K$7,FALSE)</f>
        <v>N/A</v>
      </c>
      <c r="L21" s="42">
        <f>HLOOKUP($B21,Inputs!$B$31:$ZU$68,L$7,FALSE)</f>
        <v>799.99999999999932</v>
      </c>
      <c r="M21" s="42" t="str">
        <f>HLOOKUP($B21,Inputs!$B$4:$ZW$29,M$7,FALSE)</f>
        <v>Choose Bet</v>
      </c>
      <c r="N21" s="91">
        <f>HLOOKUP($B21,Inputs!$B$4:$ZW$29,N$7,FALSE)</f>
        <v>10000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1"/>
    </row>
    <row r="22" spans="1:26" ht="15.75" customHeight="1">
      <c r="A22" s="77">
        <v>30</v>
      </c>
      <c r="B22" s="78" t="s">
        <v>32</v>
      </c>
      <c r="C22" s="79" t="s">
        <v>103</v>
      </c>
      <c r="D22" s="82">
        <f>HLOOKUP($B22,Inputs!$B$31:$ZU$68,D$7,FALSE)</f>
        <v>16.018999999999998</v>
      </c>
      <c r="E22" s="82">
        <f>HLOOKUP($B22,Inputs!$B$31:$ZU$68,E$7,FALSE)</f>
        <v>1.446</v>
      </c>
      <c r="F22" s="42">
        <f>HLOOKUP($B22,Inputs!$B$31:$ZU$68,F$7,FALSE)</f>
        <v>32037.000000000007</v>
      </c>
      <c r="G22" s="42">
        <f>HLOOKUP($B22,Inputs!$B$31:$ZU$68,G$7,FALSE)</f>
        <v>32037.000000000007</v>
      </c>
      <c r="H22" s="42">
        <f>HLOOKUP($B22,Inputs!$B$31:$ZU$68,H$7,FALSE)</f>
        <v>5000</v>
      </c>
      <c r="I22" s="42">
        <f>HLOOKUP($B22,Inputs!$B$31:$ZU$68,I$7,FALSE)</f>
        <v>6</v>
      </c>
      <c r="J22" s="42">
        <f>HLOOKUP($B22,Inputs!$B$31:$ZU$68,J$7,FALSE)</f>
        <v>6</v>
      </c>
      <c r="K22" s="42">
        <f>HLOOKUP($B22,Inputs!$B$31:$ZU$68,K$7,FALSE)</f>
        <v>3999.9999999999964</v>
      </c>
      <c r="L22" s="42">
        <f>HLOOKUP($B22,Inputs!$B$31:$ZU$68,L$7,FALSE)</f>
        <v>3999.9999999999964</v>
      </c>
      <c r="M22" s="42">
        <f>HLOOKUP($B22,Inputs!$B$4:$ZW$29,M$7,FALSE)</f>
        <v>25</v>
      </c>
      <c r="N22" s="91">
        <f>HLOOKUP($B22,Inputs!$B$4:$ZW$29,N$7,FALSE)</f>
        <v>25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1"/>
    </row>
    <row r="23" spans="1:26" ht="15.75" customHeight="1">
      <c r="A23" s="77">
        <v>2</v>
      </c>
      <c r="B23" s="78" t="s">
        <v>4</v>
      </c>
      <c r="C23" s="79" t="s">
        <v>103</v>
      </c>
      <c r="D23" s="82">
        <f>HLOOKUP($B23,Inputs!$B$31:$ZU$68,D$7,FALSE)</f>
        <v>8</v>
      </c>
      <c r="E23" s="82">
        <f>HLOOKUP($B23,Inputs!$B$31:$ZU$68,E$7,FALSE)</f>
        <v>1.4239999999999999</v>
      </c>
      <c r="F23" s="42">
        <f>HLOOKUP($B23,Inputs!$B$31:$ZU$68,F$7,FALSE)</f>
        <v>999.00000000000023</v>
      </c>
      <c r="G23" s="42">
        <f>HLOOKUP($B23,Inputs!$B$31:$ZU$68,G$7,FALSE)</f>
        <v>999.00000000000023</v>
      </c>
      <c r="H23" s="42">
        <f>HLOOKUP($B23,Inputs!$B$31:$ZU$68,H$7,FALSE)</f>
        <v>125000</v>
      </c>
      <c r="I23" s="42">
        <f>HLOOKUP($B23,Inputs!$B$31:$ZU$68,I$7,FALSE)</f>
        <v>100</v>
      </c>
      <c r="J23" s="42">
        <f>HLOOKUP($B23,Inputs!$B$31:$ZU$68,J$7,FALSE)</f>
        <v>100</v>
      </c>
      <c r="K23" s="42">
        <f>HLOOKUP($B23,Inputs!$B$31:$ZU$68,K$7,FALSE)</f>
        <v>249.99999999999977</v>
      </c>
      <c r="L23" s="42">
        <f>HLOOKUP($B23,Inputs!$B$31:$ZU$68,L$7,FALSE)</f>
        <v>249.99999999999977</v>
      </c>
      <c r="M23" s="42">
        <f>HLOOKUP($B23,Inputs!$B$4:$ZW$29,M$7,FALSE)</f>
        <v>10000</v>
      </c>
      <c r="N23" s="91">
        <f>HLOOKUP($B23,Inputs!$B$4:$ZW$29,N$7,FALSE)</f>
        <v>10000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1"/>
    </row>
    <row r="24" spans="1:26" ht="15.75" customHeight="1">
      <c r="A24" s="77">
        <v>22</v>
      </c>
      <c r="B24" s="78" t="s">
        <v>24</v>
      </c>
      <c r="C24" s="79" t="s">
        <v>103</v>
      </c>
      <c r="D24" s="82">
        <f>HLOOKUP($B24,Inputs!$B$31:$ZU$68,D$7,FALSE)</f>
        <v>17.475000000000001</v>
      </c>
      <c r="E24" s="82">
        <f>HLOOKUP($B24,Inputs!$B$31:$ZU$68,E$7,FALSE)</f>
        <v>1.3779999999999999</v>
      </c>
      <c r="F24" s="42">
        <f>HLOOKUP($B24,Inputs!$B$31:$ZU$68,F$7,FALSE)</f>
        <v>10484.000000000002</v>
      </c>
      <c r="G24" s="42">
        <f>HLOOKUP($B24,Inputs!$B$31:$ZU$68,G$7,FALSE)</f>
        <v>10484.000000000002</v>
      </c>
      <c r="H24" s="42">
        <f>HLOOKUP($B24,Inputs!$B$31:$ZU$68,H$7,FALSE)</f>
        <v>2400000</v>
      </c>
      <c r="I24" s="42">
        <f>HLOOKUP($B24,Inputs!$B$31:$ZU$68,I$7,FALSE)</f>
        <v>300</v>
      </c>
      <c r="J24" s="42">
        <f>HLOOKUP($B24,Inputs!$B$31:$ZU$68,J$7,FALSE)</f>
        <v>300</v>
      </c>
      <c r="K24" s="42">
        <f>HLOOKUP($B24,Inputs!$B$31:$ZU$68,K$7,FALSE)</f>
        <v>1199.9999999999989</v>
      </c>
      <c r="L24" s="42">
        <f>HLOOKUP($B24,Inputs!$B$31:$ZU$68,L$7,FALSE)</f>
        <v>1199.9999999999989</v>
      </c>
      <c r="M24" s="42">
        <f>HLOOKUP($B24,Inputs!$B$4:$ZW$29,M$7,FALSE)</f>
        <v>40000</v>
      </c>
      <c r="N24" s="91">
        <f>HLOOKUP($B24,Inputs!$B$4:$ZW$29,N$7,FALSE)</f>
        <v>40000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1"/>
    </row>
    <row r="25" spans="1:26" ht="15.75" customHeight="1">
      <c r="A25" s="77">
        <v>29</v>
      </c>
      <c r="B25" s="78" t="s">
        <v>31</v>
      </c>
      <c r="C25" s="79" t="s">
        <v>103</v>
      </c>
      <c r="D25" s="82">
        <f>HLOOKUP($B25,Inputs!$B$31:$ZU$68,D$7,FALSE)</f>
        <v>4.8309178743961354</v>
      </c>
      <c r="E25" s="82">
        <f>HLOOKUP($B25,Inputs!$B$31:$ZU$68,E$7,FALSE)</f>
        <v>1.3236714975845412</v>
      </c>
      <c r="F25" s="42">
        <f>HLOOKUP($B25,Inputs!$B$31:$ZU$68,F$7,FALSE)</f>
        <v>199999.00000000006</v>
      </c>
      <c r="G25" s="42">
        <f>HLOOKUP($B25,Inputs!$B$31:$ZU$68,G$7,FALSE)</f>
        <v>399999.00000000012</v>
      </c>
      <c r="H25" s="42">
        <f>HLOOKUP($B25,Inputs!$B$31:$ZU$68,H$7,FALSE)</f>
        <v>8280</v>
      </c>
      <c r="I25" s="42">
        <f>HLOOKUP($B25,Inputs!$B$31:$ZU$68,I$7,FALSE)</f>
        <v>20000</v>
      </c>
      <c r="J25" s="42">
        <f>HLOOKUP($B25,Inputs!$B$31:$ZU$68,J$7,FALSE)</f>
        <v>40000</v>
      </c>
      <c r="K25" s="42">
        <f>HLOOKUP($B25,Inputs!$B$31:$ZU$68,K$7,FALSE)</f>
        <v>82799.999999999927</v>
      </c>
      <c r="L25" s="42">
        <f>HLOOKUP($B25,Inputs!$B$31:$ZU$68,L$7,FALSE)</f>
        <v>165599.99999999985</v>
      </c>
      <c r="M25" s="42">
        <f>HLOOKUP($B25,Inputs!$B$4:$ZW$29,M$7,FALSE)</f>
        <v>2</v>
      </c>
      <c r="N25" s="91">
        <f>HLOOKUP($B25,Inputs!$B$4:$ZW$29,N$7,FALSE)</f>
        <v>1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1"/>
    </row>
    <row r="26" spans="1:26" ht="15.75" customHeight="1">
      <c r="A26" s="77">
        <v>1</v>
      </c>
      <c r="B26" s="78" t="s">
        <v>3</v>
      </c>
      <c r="C26" s="79" t="s">
        <v>103</v>
      </c>
      <c r="D26" s="159">
        <f>HLOOKUP($B26,Inputs!$B$31:$ZU$68,D$7,FALSE)</f>
        <v>5.7055555555555557</v>
      </c>
      <c r="E26" s="82">
        <f>HLOOKUP($B26,Inputs!$B$31:$ZU$68,E$7,FALSE)</f>
        <v>1.3211111111111111</v>
      </c>
      <c r="F26" s="42">
        <f>HLOOKUP($B26,Inputs!$B$31:$ZU$68,F$7,FALSE)</f>
        <v>1026.0000000000002</v>
      </c>
      <c r="G26" s="42">
        <f>HLOOKUP($B26,Inputs!$B$31:$ZU$68,G$7,FALSE)</f>
        <v>102699.00000000003</v>
      </c>
      <c r="H26" s="42">
        <f>HLOOKUP($B26,Inputs!$B$31:$ZU$68,H$7,FALSE)</f>
        <v>1800000</v>
      </c>
      <c r="I26" s="42">
        <f>HLOOKUP($B26,Inputs!$B$31:$ZU$68,I$7,FALSE)</f>
        <v>100</v>
      </c>
      <c r="J26" s="42">
        <f>HLOOKUP($B26,Inputs!$B$31:$ZU$68,J$7,FALSE)</f>
        <v>10000</v>
      </c>
      <c r="K26" s="42">
        <f>HLOOKUP($B26,Inputs!$B$31:$ZU$68,K$7,FALSE)</f>
        <v>359.99999999999966</v>
      </c>
      <c r="L26" s="42">
        <f>HLOOKUP($B26,Inputs!$B$31:$ZU$68,L$7,FALSE)</f>
        <v>35999.999999999971</v>
      </c>
      <c r="M26" s="42">
        <f>HLOOKUP($B26,Inputs!$B$4:$ZW$29,M$7,FALSE)</f>
        <v>100000</v>
      </c>
      <c r="N26" s="91">
        <f>HLOOKUP($B26,Inputs!$B$4:$ZW$29,N$7,FALSE)</f>
        <v>1000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1"/>
    </row>
    <row r="27" spans="1:26" ht="15.75" customHeight="1">
      <c r="A27" s="77">
        <v>50</v>
      </c>
      <c r="B27" s="155" t="s">
        <v>52</v>
      </c>
      <c r="C27" s="79" t="s">
        <v>103</v>
      </c>
      <c r="D27" s="82">
        <f>HLOOKUP($B27,Inputs!$B$31:$ZU$68,D$7,FALSE)</f>
        <v>6.658666666666667</v>
      </c>
      <c r="E27" s="82">
        <f>HLOOKUP($B27,Inputs!$B$31:$ZU$68,E$7,FALSE)</f>
        <v>0.97677146666666659</v>
      </c>
      <c r="F27" s="42">
        <f>HLOOKUP($B27,Inputs!$B$31:$ZU$68,F$7,FALSE)</f>
        <v>1663.666666666667</v>
      </c>
      <c r="G27" s="42">
        <f>HLOOKUP($B27,Inputs!$B$31:$ZU$68,G$7,FALSE)</f>
        <v>1663.666666666667</v>
      </c>
      <c r="H27" s="42">
        <f>HLOOKUP($B27,Inputs!$B$31:$ZU$68,H$7,FALSE)</f>
        <v>1500000</v>
      </c>
      <c r="I27" s="42">
        <f>HLOOKUP($B27,Inputs!$B$31:$ZU$68,I$7,FALSE)</f>
        <v>66.666666666666671</v>
      </c>
      <c r="J27" s="42">
        <f>HLOOKUP($B27,Inputs!$B$31:$ZU$68,J$7,FALSE)</f>
        <v>66.666666666666671</v>
      </c>
      <c r="K27" s="42">
        <f>HLOOKUP($B27,Inputs!$B$31:$ZU$68,K$7,FALSE)</f>
        <v>499.99999999999955</v>
      </c>
      <c r="L27" s="42">
        <f>HLOOKUP($B27,Inputs!$B$31:$ZU$68,L$7,FALSE)</f>
        <v>499.99999999999955</v>
      </c>
      <c r="M27" s="42">
        <f>HLOOKUP($B27,Inputs!$B$4:$ZW$29,M$7,FALSE)</f>
        <v>60000</v>
      </c>
      <c r="N27" s="91">
        <f>HLOOKUP($B27,Inputs!$B$4:$ZW$29,N$7,FALSE)</f>
        <v>60000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1"/>
    </row>
    <row r="28" spans="1:26" ht="15.75" customHeight="1">
      <c r="A28" s="77">
        <v>15</v>
      </c>
      <c r="B28" s="78" t="s">
        <v>16</v>
      </c>
      <c r="C28" s="147" t="s">
        <v>103</v>
      </c>
      <c r="D28" s="82">
        <f>HLOOKUP($B28,Inputs!$B$31:$ZU$68,D$7,FALSE)</f>
        <v>1</v>
      </c>
      <c r="E28" s="82">
        <f>HLOOKUP($B28,Inputs!$B$31:$ZU$68,E$7,FALSE)</f>
        <v>0.84325000000000006</v>
      </c>
      <c r="F28" s="174">
        <f>HLOOKUP($B28,Inputs!$B$31:$ZU$68,F$7,FALSE)</f>
        <v>39999.000000000007</v>
      </c>
      <c r="G28" s="174">
        <f>HLOOKUP($B28,Inputs!$B$31:$ZU$68,G$7,FALSE)</f>
        <v>39999.000000000007</v>
      </c>
      <c r="H28" s="174">
        <f>HLOOKUP($B28,Inputs!$B$31:$ZU$68,H$7,FALSE)</f>
        <v>40000</v>
      </c>
      <c r="I28" s="174">
        <f>HLOOKUP($B28,Inputs!$B$31:$ZU$68,I$7,FALSE)</f>
        <v>4000</v>
      </c>
      <c r="J28" s="174">
        <f>HLOOKUP($B28,Inputs!$B$31:$ZU$68,J$7,FALSE)</f>
        <v>4000</v>
      </c>
      <c r="K28" s="174">
        <f>HLOOKUP($B28,Inputs!$B$31:$ZU$68,K$7,FALSE)</f>
        <v>79999.999999999927</v>
      </c>
      <c r="L28" s="174">
        <f>HLOOKUP($B28,Inputs!$B$31:$ZU$68,L$7,FALSE)</f>
        <v>79999.999999999927</v>
      </c>
      <c r="M28" s="174">
        <f>HLOOKUP($B28,Inputs!$B$4:$ZW$29,M$7,FALSE)</f>
        <v>10</v>
      </c>
      <c r="N28" s="91">
        <f>HLOOKUP($B28,Inputs!$B$4:$ZW$29,N$7,FALSE)</f>
        <v>10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1"/>
    </row>
    <row r="29" spans="1:26" ht="15.75" customHeight="1">
      <c r="A29" s="77">
        <v>12</v>
      </c>
      <c r="B29" s="78" t="s">
        <v>13</v>
      </c>
      <c r="C29" s="79" t="s">
        <v>103</v>
      </c>
      <c r="D29" s="82">
        <f>HLOOKUP($B29,Inputs!$B$31:$ZU$68,D$7,FALSE)</f>
        <v>3.3333333333333335</v>
      </c>
      <c r="E29" s="82">
        <f>HLOOKUP($B29,Inputs!$B$31:$ZU$68,E$7,FALSE)</f>
        <v>0.83933333333333338</v>
      </c>
      <c r="F29" s="42">
        <f>HLOOKUP($B29,Inputs!$B$31:$ZU$68,F$7,FALSE)</f>
        <v>11110.111111111113</v>
      </c>
      <c r="G29" s="42">
        <f>HLOOKUP($B29,Inputs!$B$31:$ZU$68,G$7,FALSE)</f>
        <v>111110.11111111114</v>
      </c>
      <c r="H29" s="42">
        <f>HLOOKUP($B29,Inputs!$B$31:$ZU$68,H$7,FALSE)</f>
        <v>3000</v>
      </c>
      <c r="I29" s="42">
        <f>HLOOKUP($B29,Inputs!$B$31:$ZU$68,I$7,FALSE)</f>
        <v>1111.1111111111111</v>
      </c>
      <c r="J29" s="42">
        <f>HLOOKUP($B29,Inputs!$B$31:$ZU$68,J$7,FALSE)</f>
        <v>11111.111111111111</v>
      </c>
      <c r="K29" s="42">
        <f>HLOOKUP($B29,Inputs!$B$31:$ZU$68,K$7,FALSE)</f>
        <v>6666.6666666666606</v>
      </c>
      <c r="L29" s="42">
        <f>HLOOKUP($B29,Inputs!$B$31:$ZU$68,L$7,FALSE)</f>
        <v>66666.666666666599</v>
      </c>
      <c r="M29" s="42">
        <f>HLOOKUP($B29,Inputs!$B$4:$ZW$29,M$7,FALSE)</f>
        <v>9</v>
      </c>
      <c r="N29" s="91">
        <f>HLOOKUP($B29,Inputs!$B$4:$ZW$29,N$7,FALSE)</f>
        <v>0.9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1"/>
    </row>
    <row r="30" spans="1:26" ht="15.75" customHeight="1">
      <c r="A30" s="77">
        <v>6</v>
      </c>
      <c r="B30" s="78" t="s">
        <v>7</v>
      </c>
      <c r="C30" s="79" t="s">
        <v>103</v>
      </c>
      <c r="D30" s="82">
        <f>HLOOKUP($B30,Inputs!$B$31:$ZU$68,D$7,FALSE)</f>
        <v>20</v>
      </c>
      <c r="E30" s="82">
        <f>HLOOKUP($B30,Inputs!$B$31:$ZU$68,E$7,FALSE)</f>
        <v>0.71799999999999997</v>
      </c>
      <c r="F30" s="42" t="str">
        <f>HLOOKUP($B30,Inputs!$B$31:$ZU$68,F$7,FALSE)</f>
        <v>Choose Bet</v>
      </c>
      <c r="G30" s="42">
        <f>HLOOKUP($B30,Inputs!$B$31:$ZU$68,G$7,FALSE)</f>
        <v>3999.0000000000009</v>
      </c>
      <c r="H30" s="42">
        <f>HLOOKUP($B30,Inputs!$B$31:$ZU$68,H$7,FALSE)</f>
        <v>100000</v>
      </c>
      <c r="I30" s="42" t="str">
        <f>HLOOKUP($B30,Inputs!$B$31:$ZU$68,I$7,FALSE)</f>
        <v>Choose Bet</v>
      </c>
      <c r="J30" s="42">
        <f>HLOOKUP($B30,Inputs!$B$31:$ZU$68,J$7,FALSE)</f>
        <v>400</v>
      </c>
      <c r="K30" s="42" t="str">
        <f>HLOOKUP($B30,Inputs!$B$31:$ZU$68,K$7,FALSE)</f>
        <v>N/A</v>
      </c>
      <c r="L30" s="42">
        <f>HLOOKUP($B30,Inputs!$B$31:$ZU$68,L$7,FALSE)</f>
        <v>399.99999999999966</v>
      </c>
      <c r="M30" s="42" t="str">
        <f>HLOOKUP($B30,Inputs!$B$4:$ZW$29,M$7,FALSE)</f>
        <v>Choose Bet</v>
      </c>
      <c r="N30" s="91">
        <f>HLOOKUP($B30,Inputs!$B$4:$ZW$29,N$7,FALSE)</f>
        <v>5000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1"/>
    </row>
    <row r="31" spans="1:26" ht="15.75" customHeight="1">
      <c r="A31" s="77">
        <v>36</v>
      </c>
      <c r="B31" s="78" t="s">
        <v>38</v>
      </c>
      <c r="C31" s="79" t="s">
        <v>103</v>
      </c>
      <c r="D31" s="82">
        <f>HLOOKUP($B31,Inputs!$B$31:$ZU$68,D$7,FALSE)</f>
        <v>0.4</v>
      </c>
      <c r="E31" s="82">
        <f>HLOOKUP($B31,Inputs!$B$31:$ZU$68,E$7,FALSE)</f>
        <v>0.71599999999999997</v>
      </c>
      <c r="F31" s="42">
        <f>HLOOKUP($B31,Inputs!$B$31:$ZU$68,F$7,FALSE)</f>
        <v>6665.6666666666679</v>
      </c>
      <c r="G31" s="42">
        <f>HLOOKUP($B31,Inputs!$B$31:$ZU$68,G$7,FALSE)</f>
        <v>66665.666666666686</v>
      </c>
      <c r="H31" s="42">
        <f>HLOOKUP($B31,Inputs!$B$31:$ZU$68,H$7,FALSE)</f>
        <v>500000</v>
      </c>
      <c r="I31" s="42">
        <f>HLOOKUP($B31,Inputs!$B$31:$ZU$68,I$7,FALSE)</f>
        <v>666.66666666666663</v>
      </c>
      <c r="J31" s="42">
        <f>HLOOKUP($B31,Inputs!$B$31:$ZU$68,J$7,FALSE)</f>
        <v>6666.666666666667</v>
      </c>
      <c r="K31" s="42">
        <f>HLOOKUP($B31,Inputs!$B$31:$ZU$68,K$7,FALSE)</f>
        <v>33333.333333333307</v>
      </c>
      <c r="L31" s="42">
        <f>HLOOKUP($B31,Inputs!$B$31:$ZU$68,L$7,FALSE)</f>
        <v>333333.33333333308</v>
      </c>
      <c r="M31" s="42">
        <f>HLOOKUP($B31,Inputs!$B$4:$ZW$29,M$7,FALSE)</f>
        <v>300</v>
      </c>
      <c r="N31" s="91">
        <f>HLOOKUP($B31,Inputs!$B$4:$ZW$29,N$7,FALSE)</f>
        <v>30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1"/>
    </row>
    <row r="32" spans="1:26" ht="15.75" customHeight="1">
      <c r="A32" s="77">
        <v>27</v>
      </c>
      <c r="B32" s="78" t="s">
        <v>29</v>
      </c>
      <c r="C32" s="79" t="s">
        <v>103</v>
      </c>
      <c r="D32" s="82">
        <f>HLOOKUP($B32,Inputs!$B$31:$ZU$68,D$7,FALSE)</f>
        <v>4.375</v>
      </c>
      <c r="E32" s="82">
        <f>HLOOKUP($B32,Inputs!$B$31:$ZU$68,E$7,FALSE)</f>
        <v>0.67031249999999998</v>
      </c>
      <c r="F32" s="42">
        <f>HLOOKUP($B32,Inputs!$B$31:$ZU$68,F$7,FALSE)</f>
        <v>874.00000000000023</v>
      </c>
      <c r="G32" s="42">
        <f>HLOOKUP($B32,Inputs!$B$31:$ZU$68,G$7,FALSE)</f>
        <v>3499.0000000000009</v>
      </c>
      <c r="H32" s="42">
        <f>HLOOKUP($B32,Inputs!$B$31:$ZU$68,H$7,FALSE)</f>
        <v>320000</v>
      </c>
      <c r="I32" s="42">
        <f>HLOOKUP($B32,Inputs!$B$31:$ZU$68,I$7,FALSE)</f>
        <v>87.5</v>
      </c>
      <c r="J32" s="42">
        <f>HLOOKUP($B32,Inputs!$B$31:$ZU$68,J$7,FALSE)</f>
        <v>350</v>
      </c>
      <c r="K32" s="42">
        <f>HLOOKUP($B32,Inputs!$B$31:$ZU$68,K$7,FALSE)</f>
        <v>399.99999999999966</v>
      </c>
      <c r="L32" s="42">
        <f>HLOOKUP($B32,Inputs!$B$31:$ZU$68,L$7,FALSE)</f>
        <v>1599.9999999999986</v>
      </c>
      <c r="M32" s="42">
        <f>HLOOKUP($B32,Inputs!$B$4:$ZW$29,M$7,FALSE)</f>
        <v>16000</v>
      </c>
      <c r="N32" s="91">
        <f>HLOOKUP($B32,Inputs!$B$4:$ZW$29,N$7,FALSE)</f>
        <v>4000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1"/>
    </row>
    <row r="33" spans="1:26" ht="15.75" customHeight="1">
      <c r="A33" s="77">
        <v>19</v>
      </c>
      <c r="B33" s="78" t="s">
        <v>20</v>
      </c>
      <c r="C33" s="79" t="s">
        <v>103</v>
      </c>
      <c r="D33" s="82">
        <f>HLOOKUP($B33,Inputs!$B$31:$ZU$68,D$7,FALSE)</f>
        <v>3.4722222222222223</v>
      </c>
      <c r="E33" s="82">
        <f>HLOOKUP($B33,Inputs!$B$31:$ZU$68,E$7,FALSE)</f>
        <v>0.66666666666666663</v>
      </c>
      <c r="F33" s="42">
        <f>HLOOKUP($B33,Inputs!$B$31:$ZU$68,F$7,FALSE)</f>
        <v>3124.0000000000009</v>
      </c>
      <c r="G33" s="42">
        <f>HLOOKUP($B33,Inputs!$B$31:$ZU$68,G$7,FALSE)</f>
        <v>3124.0000000000009</v>
      </c>
      <c r="H33" s="42">
        <f>HLOOKUP($B33,Inputs!$B$31:$ZU$68,H$7,FALSE)</f>
        <v>1440000</v>
      </c>
      <c r="I33" s="42">
        <f>HLOOKUP($B33,Inputs!$B$31:$ZU$68,I$7,FALSE)</f>
        <v>312.5</v>
      </c>
      <c r="J33" s="42">
        <f>HLOOKUP($B33,Inputs!$B$31:$ZU$68,J$7,FALSE)</f>
        <v>312.5</v>
      </c>
      <c r="K33" s="42">
        <f>HLOOKUP($B33,Inputs!$B$31:$ZU$68,K$7,FALSE)</f>
        <v>1799.9999999999984</v>
      </c>
      <c r="L33" s="42">
        <f>HLOOKUP($B33,Inputs!$B$31:$ZU$68,L$7,FALSE)</f>
        <v>1799.9999999999984</v>
      </c>
      <c r="M33" s="42">
        <f>HLOOKUP($B33,Inputs!$B$4:$ZW$29,M$7,FALSE)</f>
        <v>16000</v>
      </c>
      <c r="N33" s="91">
        <f>HLOOKUP($B33,Inputs!$B$4:$ZW$29,N$7,FALSE)</f>
        <v>16000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1"/>
    </row>
    <row r="34" spans="1:26" ht="15.75" customHeight="1">
      <c r="A34" s="77">
        <v>21</v>
      </c>
      <c r="B34" s="78" t="s">
        <v>23</v>
      </c>
      <c r="C34" s="79" t="s">
        <v>103</v>
      </c>
      <c r="D34" s="82">
        <f>HLOOKUP($B34,Inputs!$B$31:$ZU$68,D$7,FALSE)</f>
        <v>0.95238095238095233</v>
      </c>
      <c r="E34" s="82">
        <f>HLOOKUP($B34,Inputs!$B$31:$ZU$68,E$7,FALSE)</f>
        <v>0.66666666666666663</v>
      </c>
      <c r="F34" s="42">
        <f>HLOOKUP($B34,Inputs!$B$31:$ZU$68,F$7,FALSE)</f>
        <v>332.33333333333343</v>
      </c>
      <c r="G34" s="42">
        <f>HLOOKUP($B34,Inputs!$B$31:$ZU$68,G$7,FALSE)</f>
        <v>332.33333333333343</v>
      </c>
      <c r="H34" s="42">
        <f>HLOOKUP($B34,Inputs!$B$31:$ZU$68,H$7,FALSE)</f>
        <v>52500</v>
      </c>
      <c r="I34" s="42">
        <f>HLOOKUP($B34,Inputs!$B$31:$ZU$68,I$7,FALSE)</f>
        <v>33.333333333333336</v>
      </c>
      <c r="J34" s="42">
        <f>HLOOKUP($B34,Inputs!$B$31:$ZU$68,J$7,FALSE)</f>
        <v>33.333333333333336</v>
      </c>
      <c r="K34" s="42">
        <f>HLOOKUP($B34,Inputs!$B$31:$ZU$68,K$7,FALSE)</f>
        <v>699.99999999999943</v>
      </c>
      <c r="L34" s="42">
        <f>HLOOKUP($B34,Inputs!$B$31:$ZU$68,L$7,FALSE)</f>
        <v>699.99999999999943</v>
      </c>
      <c r="M34" s="42">
        <f>HLOOKUP($B34,Inputs!$B$4:$ZW$29,M$7,FALSE)</f>
        <v>1500</v>
      </c>
      <c r="N34" s="91">
        <f>HLOOKUP($B34,Inputs!$B$4:$ZW$29,N$7,FALSE)</f>
        <v>1500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1"/>
    </row>
    <row r="35" spans="1:26" ht="15.75" customHeight="1">
      <c r="A35" s="77">
        <v>8</v>
      </c>
      <c r="B35" s="78" t="s">
        <v>9</v>
      </c>
      <c r="C35" s="79" t="s">
        <v>103</v>
      </c>
      <c r="D35" s="82">
        <f>HLOOKUP($B35,Inputs!$B$31:$ZU$68,D$7,FALSE)</f>
        <v>3</v>
      </c>
      <c r="E35" s="82">
        <f>HLOOKUP($B35,Inputs!$B$31:$ZU$68,E$7,FALSE)</f>
        <v>0.60119999999999996</v>
      </c>
      <c r="F35" s="42">
        <f>HLOOKUP($B35,Inputs!$B$31:$ZU$68,F$7,FALSE)</f>
        <v>1249.0000000000002</v>
      </c>
      <c r="G35" s="42">
        <f>HLOOKUP($B35,Inputs!$B$31:$ZU$68,G$7,FALSE)</f>
        <v>1249.0000000000002</v>
      </c>
      <c r="H35" s="42">
        <f>HLOOKUP($B35,Inputs!$B$31:$ZU$68,H$7,FALSE)</f>
        <v>2000000</v>
      </c>
      <c r="I35" s="42">
        <f>HLOOKUP($B35,Inputs!$B$31:$ZU$68,I$7,FALSE)</f>
        <v>125</v>
      </c>
      <c r="J35" s="42">
        <f>HLOOKUP($B35,Inputs!$B$31:$ZU$68,J$7,FALSE)</f>
        <v>125</v>
      </c>
      <c r="K35" s="42">
        <f>HLOOKUP($B35,Inputs!$B$31:$ZU$68,K$7,FALSE)</f>
        <v>833.33333333333258</v>
      </c>
      <c r="L35" s="42">
        <f>HLOOKUP($B35,Inputs!$B$31:$ZU$68,L$7,FALSE)</f>
        <v>833.33333333333258</v>
      </c>
      <c r="M35" s="42">
        <f>HLOOKUP($B35,Inputs!$B$4:$ZW$29,M$7,FALSE)</f>
        <v>48000</v>
      </c>
      <c r="N35" s="91">
        <f>HLOOKUP($B35,Inputs!$B$4:$ZW$29,N$7,FALSE)</f>
        <v>48000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1"/>
    </row>
    <row r="36" spans="1:26" ht="15.75" customHeight="1">
      <c r="A36" s="77">
        <v>52</v>
      </c>
      <c r="B36" s="155" t="s">
        <v>53</v>
      </c>
      <c r="C36" s="147" t="s">
        <v>103</v>
      </c>
      <c r="D36" s="82">
        <f>HLOOKUP($B36,Inputs!$B$31:$ZU$68,D$7,FALSE)</f>
        <v>2.2222222222222223</v>
      </c>
      <c r="E36" s="82">
        <f>HLOOKUP($B36,Inputs!$B$31:$ZU$68,E$7,FALSE)</f>
        <v>0.4861111111111111</v>
      </c>
      <c r="F36" s="42">
        <f>HLOOKUP($B36,Inputs!$B$31:$ZU$68,F$7,FALSE)</f>
        <v>399.00000000000011</v>
      </c>
      <c r="G36" s="42">
        <f>HLOOKUP($B36,Inputs!$B$31:$ZU$68,G$7,FALSE)</f>
        <v>3999.0000000000009</v>
      </c>
      <c r="H36" s="42">
        <f>HLOOKUP($B36,Inputs!$B$31:$ZU$68,H$7,FALSE)</f>
        <v>180000</v>
      </c>
      <c r="I36" s="42">
        <f>HLOOKUP($B36,Inputs!$B$31:$ZU$68,I$7,FALSE)</f>
        <v>40</v>
      </c>
      <c r="J36" s="42">
        <f>HLOOKUP($B36,Inputs!$B$31:$ZU$68,J$7,FALSE)</f>
        <v>400</v>
      </c>
      <c r="K36" s="42">
        <f>HLOOKUP($B36,Inputs!$B$31:$ZU$68,K$7,FALSE)</f>
        <v>359.99999999999966</v>
      </c>
      <c r="L36" s="42">
        <f>HLOOKUP($B36,Inputs!$B$31:$ZU$68,L$7,FALSE)</f>
        <v>3599.9999999999968</v>
      </c>
      <c r="M36" s="42">
        <f>HLOOKUP($B36,Inputs!$B$4:$ZW$29,M$7,FALSE)</f>
        <v>10000</v>
      </c>
      <c r="N36" s="91">
        <f>HLOOKUP($B36,Inputs!$B$4:$ZW$29,N$7,FALSE)</f>
        <v>1000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1"/>
    </row>
    <row r="37" spans="1:26" ht="15.75" customHeight="1">
      <c r="A37" s="77">
        <v>34</v>
      </c>
      <c r="B37" s="78" t="s">
        <v>36</v>
      </c>
      <c r="C37" s="79" t="s">
        <v>103</v>
      </c>
      <c r="D37" s="82">
        <f>HLOOKUP($B37,Inputs!$B$31:$ZU$68,D$7,FALSE)</f>
        <v>1.2698412698412698</v>
      </c>
      <c r="E37" s="82">
        <f>HLOOKUP($B37,Inputs!$B$31:$ZU$68,E$7,FALSE)</f>
        <v>0.46920634920634918</v>
      </c>
      <c r="F37" s="42">
        <f>HLOOKUP($B37,Inputs!$B$31:$ZU$68,F$7,FALSE)</f>
        <v>443.14834554741293</v>
      </c>
      <c r="G37" s="42">
        <f>HLOOKUP($B37,Inputs!$B$31:$ZU$68,G$7,FALSE)</f>
        <v>1331.4450366422388</v>
      </c>
      <c r="H37" s="42">
        <f>HLOOKUP($B37,Inputs!$B$31:$ZU$68,H$7,FALSE)</f>
        <v>1575000</v>
      </c>
      <c r="I37" s="42">
        <f>HLOOKUP($B37,Inputs!$B$31:$ZU$68,I$7,FALSE)</f>
        <v>44.414834554741283</v>
      </c>
      <c r="J37" s="42">
        <f>HLOOKUP($B37,Inputs!$B$31:$ZU$68,J$7,FALSE)</f>
        <v>133.24450366422386</v>
      </c>
      <c r="K37" s="42">
        <f>HLOOKUP($B37,Inputs!$B$31:$ZU$68,K$7,FALSE)</f>
        <v>699.5336442371746</v>
      </c>
      <c r="L37" s="42">
        <f>HLOOKUP($B37,Inputs!$B$31:$ZU$68,L$7,FALSE)</f>
        <v>2098.6009327115239</v>
      </c>
      <c r="M37" s="42">
        <f>HLOOKUP($B37,Inputs!$B$4:$ZW$29,M$7,FALSE)</f>
        <v>45030</v>
      </c>
      <c r="N37" s="91">
        <f>HLOOKUP($B37,Inputs!$B$4:$ZW$29,N$7,FALSE)</f>
        <v>15010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1"/>
    </row>
    <row r="38" spans="1:26" ht="15.75" customHeight="1">
      <c r="A38" s="77">
        <v>25</v>
      </c>
      <c r="B38" s="78" t="s">
        <v>27</v>
      </c>
      <c r="C38" s="79" t="s">
        <v>103</v>
      </c>
      <c r="D38" s="82">
        <f>HLOOKUP($B38,Inputs!$B$31:$ZU$68,D$7,FALSE)</f>
        <v>0.33333333333333331</v>
      </c>
      <c r="E38" s="82">
        <f>HLOOKUP($B38,Inputs!$B$31:$ZU$68,E$7,FALSE)</f>
        <v>0.45833333333333331</v>
      </c>
      <c r="F38" s="42">
        <f>HLOOKUP($B38,Inputs!$B$31:$ZU$68,F$7,FALSE)</f>
        <v>499.00000000000011</v>
      </c>
      <c r="G38" s="42">
        <f>HLOOKUP($B38,Inputs!$B$31:$ZU$68,G$7,FALSE)</f>
        <v>499.00000000000011</v>
      </c>
      <c r="H38" s="42">
        <f>HLOOKUP($B38,Inputs!$B$31:$ZU$68,H$7,FALSE)</f>
        <v>90000</v>
      </c>
      <c r="I38" s="42">
        <f>HLOOKUP($B38,Inputs!$B$31:$ZU$68,I$7,FALSE)</f>
        <v>50</v>
      </c>
      <c r="J38" s="42">
        <f>HLOOKUP($B38,Inputs!$B$31:$ZU$68,J$7,FALSE)</f>
        <v>50</v>
      </c>
      <c r="K38" s="42">
        <f>HLOOKUP($B38,Inputs!$B$31:$ZU$68,K$7,FALSE)</f>
        <v>2999.9999999999973</v>
      </c>
      <c r="L38" s="42">
        <f>HLOOKUP($B38,Inputs!$B$31:$ZU$68,L$7,FALSE)</f>
        <v>2999.9999999999973</v>
      </c>
      <c r="M38" s="42">
        <f>HLOOKUP($B38,Inputs!$B$4:$ZW$29,M$7,FALSE)</f>
        <v>600</v>
      </c>
      <c r="N38" s="91">
        <f>HLOOKUP($B38,Inputs!$B$4:$ZW$29,N$7,FALSE)</f>
        <v>600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1"/>
    </row>
    <row r="39" spans="1:26" ht="15.75" customHeight="1">
      <c r="A39" s="77">
        <v>10</v>
      </c>
      <c r="B39" s="78" t="s">
        <v>11</v>
      </c>
      <c r="C39" s="79" t="s">
        <v>103</v>
      </c>
      <c r="D39" s="82">
        <f>HLOOKUP($B39,Inputs!$B$31:$ZU$68,D$7,FALSE)</f>
        <v>0.40909090909090912</v>
      </c>
      <c r="E39" s="82">
        <f>HLOOKUP($B39,Inputs!$B$31:$ZU$68,E$7,FALSE)</f>
        <v>0.41463636363636364</v>
      </c>
      <c r="F39" s="42">
        <f>HLOOKUP($B39,Inputs!$B$31:$ZU$68,F$7,FALSE)</f>
        <v>899.00000000000023</v>
      </c>
      <c r="G39" s="42">
        <f>HLOOKUP($B39,Inputs!$B$31:$ZU$68,G$7,FALSE)</f>
        <v>4499.0000000000009</v>
      </c>
      <c r="H39" s="42">
        <f>HLOOKUP($B39,Inputs!$B$31:$ZU$68,H$7,FALSE)</f>
        <v>11000000</v>
      </c>
      <c r="I39" s="42">
        <f>HLOOKUP($B39,Inputs!$B$31:$ZU$68,I$7,FALSE)</f>
        <v>90</v>
      </c>
      <c r="J39" s="42">
        <f>HLOOKUP($B39,Inputs!$B$31:$ZU$68,J$7,FALSE)</f>
        <v>450</v>
      </c>
      <c r="K39" s="42">
        <f>HLOOKUP($B39,Inputs!$B$31:$ZU$68,K$7,FALSE)</f>
        <v>4399.9999999999964</v>
      </c>
      <c r="L39" s="42">
        <f>HLOOKUP($B39,Inputs!$B$31:$ZU$68,L$7,FALSE)</f>
        <v>21999.999999999982</v>
      </c>
      <c r="M39" s="42">
        <f>HLOOKUP($B39,Inputs!$B$4:$ZW$29,M$7,FALSE)</f>
        <v>50000</v>
      </c>
      <c r="N39" s="91">
        <f>HLOOKUP($B39,Inputs!$B$4:$ZW$29,N$7,FALSE)</f>
        <v>10000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1"/>
    </row>
    <row r="40" spans="1:26" ht="15.75" customHeight="1">
      <c r="A40" s="77">
        <v>32</v>
      </c>
      <c r="B40" s="78" t="s">
        <v>34</v>
      </c>
      <c r="C40" s="79" t="s">
        <v>103</v>
      </c>
      <c r="D40" s="82">
        <f>HLOOKUP($B40,Inputs!$B$31:$ZU$68,D$7,FALSE)</f>
        <v>1.5496759259259258</v>
      </c>
      <c r="E40" s="82">
        <f>HLOOKUP($B40,Inputs!$B$31:$ZU$68,E$7,FALSE)</f>
        <v>0.40432098765432101</v>
      </c>
      <c r="F40" s="42">
        <f>HLOOKUP($B40,Inputs!$B$31:$ZU$68,F$7,FALSE)</f>
        <v>1672.65</v>
      </c>
      <c r="G40" s="42">
        <f>HLOOKUP($B40,Inputs!$B$31:$ZU$68,G$7,FALSE)</f>
        <v>1672.65</v>
      </c>
      <c r="H40" s="42">
        <f>HLOOKUP($B40,Inputs!$B$31:$ZU$68,H$7,FALSE)</f>
        <v>3240</v>
      </c>
      <c r="I40" s="42">
        <f>HLOOKUP($B40,Inputs!$B$31:$ZU$68,I$7,FALSE)</f>
        <v>100</v>
      </c>
      <c r="J40" s="42">
        <f>HLOOKUP($B40,Inputs!$B$31:$ZU$68,J$7,FALSE)</f>
        <v>100</v>
      </c>
      <c r="K40" s="42">
        <f>HLOOKUP($B40,Inputs!$B$31:$ZU$68,K$7,FALSE)</f>
        <v>2159.9999999999982</v>
      </c>
      <c r="L40" s="42">
        <f>HLOOKUP($B40,Inputs!$B$31:$ZU$68,L$7,FALSE)</f>
        <v>2159.9999999999982</v>
      </c>
      <c r="M40" s="42">
        <f>HLOOKUP($B40,Inputs!$B$4:$ZW$29,M$7,FALSE)</f>
        <v>30</v>
      </c>
      <c r="N40" s="91">
        <f>HLOOKUP($B40,Inputs!$B$4:$ZW$29,N$7,FALSE)</f>
        <v>30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1"/>
    </row>
    <row r="41" spans="1:26" ht="15.75" customHeight="1">
      <c r="A41" s="77">
        <v>14</v>
      </c>
      <c r="B41" s="78" t="s">
        <v>15</v>
      </c>
      <c r="C41" s="79" t="s">
        <v>103</v>
      </c>
      <c r="D41" s="82">
        <f>HLOOKUP($B41,Inputs!$B$31:$ZU$68,D$7,FALSE)</f>
        <v>1.25</v>
      </c>
      <c r="E41" s="82">
        <f>HLOOKUP($B41,Inputs!$B$31:$ZU$68,E$7,FALSE)</f>
        <v>0.29026000000000002</v>
      </c>
      <c r="F41" s="42">
        <f>HLOOKUP($B41,Inputs!$B$31:$ZU$68,F$7,FALSE)</f>
        <v>519.83333333333348</v>
      </c>
      <c r="G41" s="42">
        <f>HLOOKUP($B41,Inputs!$B$31:$ZU$68,G$7,FALSE)</f>
        <v>1542.2098765432102</v>
      </c>
      <c r="H41" s="42">
        <f>HLOOKUP($B41,Inputs!$B$31:$ZU$68,H$7,FALSE)</f>
        <v>1000000</v>
      </c>
      <c r="I41" s="42">
        <f>HLOOKUP($B41,Inputs!$B$31:$ZU$68,I$7,FALSE)</f>
        <v>52.083333333333336</v>
      </c>
      <c r="J41" s="42">
        <f>HLOOKUP($B41,Inputs!$B$31:$ZU$68,J$7,FALSE)</f>
        <v>154.32098765432099</v>
      </c>
      <c r="K41" s="42">
        <f>HLOOKUP($B41,Inputs!$B$31:$ZU$68,K$7,FALSE)</f>
        <v>833.33333333333258</v>
      </c>
      <c r="L41" s="42">
        <f>HLOOKUP($B41,Inputs!$B$31:$ZU$68,L$7,FALSE)</f>
        <v>2469.1358024691335</v>
      </c>
      <c r="M41" s="42">
        <f>HLOOKUP($B41,Inputs!$B$4:$ZW$29,M$7,FALSE)</f>
        <v>24000</v>
      </c>
      <c r="N41" s="91">
        <f>HLOOKUP($B41,Inputs!$B$4:$ZW$29,N$7,FALSE)</f>
        <v>8100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1"/>
    </row>
    <row r="42" spans="1:26" ht="15.75" customHeight="1">
      <c r="A42" s="77">
        <v>7</v>
      </c>
      <c r="B42" s="78" t="s">
        <v>8</v>
      </c>
      <c r="C42" s="79" t="s">
        <v>103</v>
      </c>
      <c r="D42" s="82">
        <f>HLOOKUP($B42,Inputs!$B$31:$ZU$68,D$7,FALSE)</f>
        <v>0.25</v>
      </c>
      <c r="E42" s="82">
        <f>HLOOKUP($B42,Inputs!$B$31:$ZU$68,E$7,FALSE)</f>
        <v>0.26500000000000001</v>
      </c>
      <c r="F42" s="42">
        <f>HLOOKUP($B42,Inputs!$B$31:$ZU$68,F$7,FALSE)</f>
        <v>1110.1111111111113</v>
      </c>
      <c r="G42" s="42">
        <f>HLOOKUP($B42,Inputs!$B$31:$ZU$68,G$7,FALSE)</f>
        <v>1110.1111111111113</v>
      </c>
      <c r="H42" s="42">
        <f>HLOOKUP($B42,Inputs!$B$31:$ZU$68,H$7,FALSE)</f>
        <v>4000</v>
      </c>
      <c r="I42" s="42">
        <f>HLOOKUP($B42,Inputs!$B$31:$ZU$68,I$7,FALSE)</f>
        <v>111.11111111111111</v>
      </c>
      <c r="J42" s="42">
        <f>HLOOKUP($B42,Inputs!$B$31:$ZU$68,J$7,FALSE)</f>
        <v>111.11111111111111</v>
      </c>
      <c r="K42" s="42">
        <f>HLOOKUP($B42,Inputs!$B$31:$ZU$68,K$7,FALSE)</f>
        <v>8888.8888888888814</v>
      </c>
      <c r="L42" s="42">
        <f>HLOOKUP($B42,Inputs!$B$31:$ZU$68,L$7,FALSE)</f>
        <v>8888.8888888888814</v>
      </c>
      <c r="M42" s="42">
        <f>HLOOKUP($B42,Inputs!$B$4:$ZW$29,M$7,FALSE)</f>
        <v>9</v>
      </c>
      <c r="N42" s="91">
        <f>HLOOKUP($B42,Inputs!$B$4:$ZW$29,N$7,FALSE)</f>
        <v>9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1"/>
    </row>
    <row r="43" spans="1:26" ht="15.75" customHeight="1">
      <c r="A43" s="77">
        <v>17</v>
      </c>
      <c r="B43" s="121" t="s">
        <v>18</v>
      </c>
      <c r="C43" s="79" t="s">
        <v>103</v>
      </c>
      <c r="D43" s="82" t="e">
        <f>HLOOKUP($B43,Inputs!$B$31:$ZU$68,D$7,FALSE)</f>
        <v>#REF!</v>
      </c>
      <c r="E43" s="82">
        <f>HLOOKUP($B43,Inputs!$B$31:$ZU$68,E$7,FALSE)</f>
        <v>0.20086916666666665</v>
      </c>
      <c r="F43" s="42" t="str">
        <f>HLOOKUP($B43,Inputs!$B$31:$ZU$68,F$7,FALSE)</f>
        <v/>
      </c>
      <c r="G43" s="42" t="str">
        <f>HLOOKUP($B43,Inputs!$B$31:$ZU$68,G$7,FALSE)</f>
        <v/>
      </c>
      <c r="H43" s="42">
        <f>HLOOKUP($B43,Inputs!$B$31:$ZU$68,H$7,FALSE)</f>
        <v>240000</v>
      </c>
      <c r="I43" s="42">
        <f>HLOOKUP($B43,Inputs!$B$31:$ZU$68,I$7,FALSE)</f>
        <v>16.666666666666668</v>
      </c>
      <c r="J43" s="42">
        <f>HLOOKUP($B43,Inputs!$B$31:$ZU$68,J$7,FALSE)</f>
        <v>16.666666666666668</v>
      </c>
      <c r="K43" s="42">
        <f>HLOOKUP($B43,Inputs!$B$31:$ZU$68,K$7,FALSE)</f>
        <v>799.99999999999932</v>
      </c>
      <c r="L43" s="42">
        <f>HLOOKUP($B43,Inputs!$B$31:$ZU$68,L$7,FALSE)</f>
        <v>799.99999999999932</v>
      </c>
      <c r="M43" s="42">
        <f>HLOOKUP($B43,Inputs!$B$4:$ZW$29,M$7,FALSE)</f>
        <v>6000</v>
      </c>
      <c r="N43" s="91">
        <f>HLOOKUP($B43,Inputs!$B$4:$ZW$29,N$7,FALSE)</f>
        <v>6000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1"/>
    </row>
    <row r="44" spans="1:26" ht="15.75" customHeight="1">
      <c r="A44" s="77">
        <v>37</v>
      </c>
      <c r="B44" s="78" t="s">
        <v>39</v>
      </c>
      <c r="C44" s="79" t="s">
        <v>326</v>
      </c>
      <c r="D44" s="82">
        <f>HLOOKUP($B44,Inputs!$B$31:$ZU$68,D$7,FALSE)</f>
        <v>5.9776515151515168</v>
      </c>
      <c r="E44" s="82">
        <f>HLOOKUP($B44,Inputs!$B$31:$ZU$68,E$7,FALSE)</f>
        <v>1.5656575757575759</v>
      </c>
      <c r="F44" s="42" t="str">
        <f>HLOOKUP($B44,Inputs!$B$31:$ZU$68,F$7,FALSE)</f>
        <v>Choose Bet</v>
      </c>
      <c r="G44" s="42">
        <f>HLOOKUP($B44,Inputs!$B$31:$ZU$68,G$7,FALSE)</f>
        <v>895.64772727272771</v>
      </c>
      <c r="H44" s="42">
        <f>HLOOKUP($B44,Inputs!$B$31:$ZU$68,H$7,FALSE)</f>
        <v>15</v>
      </c>
      <c r="I44" s="42" t="str">
        <f>HLOOKUP($B44,Inputs!$B$31:$ZU$68,I$7,FALSE)</f>
        <v>Choose Bet</v>
      </c>
      <c r="J44" s="42">
        <f>HLOOKUP($B44,Inputs!$B$31:$ZU$68,J$7,FALSE)</f>
        <v>30</v>
      </c>
      <c r="K44" s="42" t="str">
        <f>HLOOKUP($B44,Inputs!$B$31:$ZU$68,K$7,FALSE)</f>
        <v>N/A</v>
      </c>
      <c r="L44" s="42">
        <f>HLOOKUP($B44,Inputs!$B$31:$ZU$68,L$7,FALSE)</f>
        <v>299.99999999999972</v>
      </c>
      <c r="M44" s="42" t="str">
        <f>HLOOKUP($B44,Inputs!$B$4:$ZW$29,M$7,FALSE)</f>
        <v>Choose Bet</v>
      </c>
      <c r="N44" s="91">
        <f>HLOOKUP($B44,Inputs!$B$4:$ZW$29,N$7,FALSE)</f>
        <v>1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1"/>
    </row>
    <row r="45" spans="1:26" ht="15.75" customHeight="1">
      <c r="A45" s="77">
        <v>38</v>
      </c>
      <c r="B45" s="78" t="s">
        <v>40</v>
      </c>
      <c r="C45" s="79" t="s">
        <v>326</v>
      </c>
      <c r="D45" s="82">
        <f>HLOOKUP($B45,Inputs!$B$31:$ZU$68,D$7,FALSE)</f>
        <v>32.523250000000004</v>
      </c>
      <c r="E45" s="82">
        <f>HLOOKUP($B45,Inputs!$B$31:$ZU$68,E$7,FALSE)</f>
        <v>3.81</v>
      </c>
      <c r="F45" s="42" t="str">
        <f>HLOOKUP($B45,Inputs!$B$31:$ZU$68,F$7,FALSE)</f>
        <v>Choose Bet</v>
      </c>
      <c r="G45" s="42">
        <f>HLOOKUP($B45,Inputs!$B$31:$ZU$68,G$7,FALSE)</f>
        <v>6503.6500000000015</v>
      </c>
      <c r="H45" s="42">
        <f>HLOOKUP($B45,Inputs!$B$31:$ZU$68,H$7,FALSE)</f>
        <v>20</v>
      </c>
      <c r="I45" s="42" t="str">
        <f>HLOOKUP($B45,Inputs!$B$31:$ZU$68,I$7,FALSE)</f>
        <v>Choose Bet</v>
      </c>
      <c r="J45" s="42">
        <f>HLOOKUP($B45,Inputs!$B$31:$ZU$68,J$7,FALSE)</f>
        <v>50</v>
      </c>
      <c r="K45" s="42" t="str">
        <f>HLOOKUP($B45,Inputs!$B$31:$ZU$68,K$7,FALSE)</f>
        <v>N/A</v>
      </c>
      <c r="L45" s="42">
        <f>HLOOKUP($B45,Inputs!$B$31:$ZU$68,L$7,FALSE)</f>
        <v>399.99999999999966</v>
      </c>
      <c r="M45" s="42" t="str">
        <f>HLOOKUP($B45,Inputs!$B$4:$ZW$29,M$7,FALSE)</f>
        <v>Choose Bet</v>
      </c>
      <c r="N45" s="91">
        <f>HLOOKUP($B45,Inputs!$B$4:$ZW$29,N$7,FALSE)</f>
        <v>1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31"/>
    </row>
    <row r="46" spans="1:26" ht="15.75" customHeight="1">
      <c r="A46" s="77">
        <v>39</v>
      </c>
      <c r="B46" s="78" t="s">
        <v>41</v>
      </c>
      <c r="C46" s="79" t="s">
        <v>326</v>
      </c>
      <c r="D46" s="82">
        <f>HLOOKUP($B46,Inputs!$B$31:$ZU$68,D$7,FALSE)</f>
        <v>16.515384615384615</v>
      </c>
      <c r="E46" s="82">
        <f>HLOOKUP($B46,Inputs!$B$31:$ZU$68,E$7,FALSE)</f>
        <v>2.2676923076923079</v>
      </c>
      <c r="F46" s="42" t="str">
        <f>HLOOKUP($B46,Inputs!$B$31:$ZU$68,F$7,FALSE)</f>
        <v>Choose Bet</v>
      </c>
      <c r="G46" s="42">
        <f>HLOOKUP($B46,Inputs!$B$31:$ZU$68,G$7,FALSE)</f>
        <v>1650.5384615384617</v>
      </c>
      <c r="H46" s="42">
        <f>HLOOKUP($B46,Inputs!$B$31:$ZU$68,H$7,FALSE)</f>
        <v>100</v>
      </c>
      <c r="I46" s="42" t="str">
        <f>HLOOKUP($B46,Inputs!$B$31:$ZU$68,I$7,FALSE)</f>
        <v>Choose Bet</v>
      </c>
      <c r="J46" s="42">
        <f>HLOOKUP($B46,Inputs!$B$31:$ZU$68,J$7,FALSE)</f>
        <v>50</v>
      </c>
      <c r="K46" s="42" t="str">
        <f>HLOOKUP($B46,Inputs!$B$31:$ZU$68,K$7,FALSE)</f>
        <v>N/A</v>
      </c>
      <c r="L46" s="42">
        <f>HLOOKUP($B46,Inputs!$B$31:$ZU$68,L$7,FALSE)</f>
        <v>199.99999999999983</v>
      </c>
      <c r="M46" s="42" t="str">
        <f>HLOOKUP($B46,Inputs!$B$4:$ZW$29,M$7,FALSE)</f>
        <v>Choose Bet</v>
      </c>
      <c r="N46" s="91">
        <f>HLOOKUP($B46,Inputs!$B$4:$ZW$29,N$7,FALSE)</f>
        <v>10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1"/>
    </row>
    <row r="47" spans="1:26" ht="15.75" customHeight="1">
      <c r="A47" s="77">
        <v>40</v>
      </c>
      <c r="B47" s="78" t="s">
        <v>42</v>
      </c>
      <c r="C47" s="79" t="s">
        <v>326</v>
      </c>
      <c r="D47" s="82">
        <f>HLOOKUP($B47,Inputs!$B$31:$ZU$68,D$7,FALSE)</f>
        <v>5.8985423197492164</v>
      </c>
      <c r="E47" s="82">
        <f>HLOOKUP($B47,Inputs!$B$31:$ZU$68,E$7,FALSE)</f>
        <v>3.2382196969696975</v>
      </c>
      <c r="F47" s="42" t="str">
        <f>HLOOKUP($B47,Inputs!$B$31:$ZU$68,F$7,FALSE)</f>
        <v>Choose Bet</v>
      </c>
      <c r="G47" s="42">
        <f>HLOOKUP($B47,Inputs!$B$31:$ZU$68,G$7,FALSE)</f>
        <v>388.30379310344836</v>
      </c>
      <c r="H47" s="42">
        <f>HLOOKUP($B47,Inputs!$B$31:$ZU$68,H$7,FALSE)</f>
        <v>6.6</v>
      </c>
      <c r="I47" s="42" t="str">
        <f>HLOOKUP($B47,Inputs!$B$31:$ZU$68,I$7,FALSE)</f>
        <v>Choose Bet</v>
      </c>
      <c r="J47" s="42">
        <f>HLOOKUP($B47,Inputs!$B$31:$ZU$68,J$7,FALSE)</f>
        <v>30</v>
      </c>
      <c r="K47" s="42" t="str">
        <f>HLOOKUP($B47,Inputs!$B$31:$ZU$68,K$7,FALSE)</f>
        <v>N/A</v>
      </c>
      <c r="L47" s="42">
        <f>HLOOKUP($B47,Inputs!$B$31:$ZU$68,L$7,FALSE)</f>
        <v>131.99999999999989</v>
      </c>
      <c r="M47" s="42" t="str">
        <f>HLOOKUP($B47,Inputs!$B$4:$ZW$29,M$7,FALSE)</f>
        <v>Choose Bet</v>
      </c>
      <c r="N47" s="91">
        <f>HLOOKUP($B47,Inputs!$B$4:$ZW$29,N$7,FALSE)</f>
        <v>1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1"/>
    </row>
    <row r="48" spans="1:26" ht="15.75" customHeight="1">
      <c r="A48" s="77">
        <v>41</v>
      </c>
      <c r="B48" s="78" t="s">
        <v>43</v>
      </c>
      <c r="C48" s="79" t="s">
        <v>326</v>
      </c>
      <c r="D48" s="82">
        <f>HLOOKUP($B48,Inputs!$B$31:$ZU$68,D$7,FALSE)</f>
        <v>3.8151794871794871</v>
      </c>
      <c r="E48" s="82">
        <f>HLOOKUP($B48,Inputs!$B$31:$ZU$68,E$7,FALSE)</f>
        <v>2.2011487179487177</v>
      </c>
      <c r="F48" s="42" t="str">
        <f>HLOOKUP($B48,Inputs!$B$31:$ZU$68,F$7,FALSE)</f>
        <v>Choose Bet</v>
      </c>
      <c r="G48" s="42">
        <f>HLOOKUP($B48,Inputs!$B$31:$ZU$68,G$7,FALSE)</f>
        <v>395.77866666666677</v>
      </c>
      <c r="H48" s="42">
        <f>HLOOKUP($B48,Inputs!$B$31:$ZU$68,H$7,FALSE)</f>
        <v>10.4</v>
      </c>
      <c r="I48" s="42" t="str">
        <f>HLOOKUP($B48,Inputs!$B$31:$ZU$68,I$7,FALSE)</f>
        <v>Choose Bet</v>
      </c>
      <c r="J48" s="42">
        <f>HLOOKUP($B48,Inputs!$B$31:$ZU$68,J$7,FALSE)</f>
        <v>12</v>
      </c>
      <c r="K48" s="42" t="str">
        <f>HLOOKUP($B48,Inputs!$B$31:$ZU$68,K$7,FALSE)</f>
        <v>N/A</v>
      </c>
      <c r="L48" s="42">
        <f>HLOOKUP($B48,Inputs!$B$31:$ZU$68,L$7,FALSE)</f>
        <v>207.99999999999983</v>
      </c>
      <c r="M48" s="42" t="str">
        <f>HLOOKUP($B48,Inputs!$B$4:$ZW$29,M$7,FALSE)</f>
        <v>Choose Bet</v>
      </c>
      <c r="N48" s="91">
        <f>HLOOKUP($B48,Inputs!$B$4:$ZW$29,N$7,FALSE)</f>
        <v>1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1"/>
    </row>
    <row r="49" spans="1:26" ht="15.75" customHeight="1">
      <c r="A49" s="77">
        <v>42</v>
      </c>
      <c r="B49" s="78" t="s">
        <v>44</v>
      </c>
      <c r="C49" s="79" t="s">
        <v>326</v>
      </c>
      <c r="D49" s="82">
        <f>HLOOKUP($B49,Inputs!$B$31:$ZU$68,D$7,FALSE)</f>
        <v>25.965</v>
      </c>
      <c r="E49" s="82">
        <f>HLOOKUP($B49,Inputs!$B$31:$ZU$68,E$7,FALSE)</f>
        <v>1.75</v>
      </c>
      <c r="F49" s="42" t="str">
        <f>HLOOKUP($B49,Inputs!$B$31:$ZU$68,F$7,FALSE)</f>
        <v>Choose Bet</v>
      </c>
      <c r="G49" s="42">
        <f>HLOOKUP($B49,Inputs!$B$31:$ZU$68,G$7,FALSE)</f>
        <v>2076.2000000000003</v>
      </c>
      <c r="H49" s="42">
        <f>HLOOKUP($B49,Inputs!$B$31:$ZU$68,H$7,FALSE)</f>
        <v>8</v>
      </c>
      <c r="I49" s="42" t="str">
        <f>HLOOKUP($B49,Inputs!$B$31:$ZU$68,I$7,FALSE)</f>
        <v>Choose Bet</v>
      </c>
      <c r="J49" s="42">
        <f>HLOOKUP($B49,Inputs!$B$31:$ZU$68,J$7,FALSE)</f>
        <v>68</v>
      </c>
      <c r="K49" s="42" t="str">
        <f>HLOOKUP($B49,Inputs!$B$31:$ZU$68,K$7,FALSE)</f>
        <v>N/A</v>
      </c>
      <c r="L49" s="42">
        <f>HLOOKUP($B49,Inputs!$B$31:$ZU$68,L$7,FALSE)</f>
        <v>159.99999999999986</v>
      </c>
      <c r="M49" s="42" t="str">
        <f>HLOOKUP($B49,Inputs!$B$4:$ZW$29,M$7,FALSE)</f>
        <v>Choose Bet</v>
      </c>
      <c r="N49" s="91">
        <f>HLOOKUP($B49,Inputs!$B$4:$ZW$29,N$7,FALSE)</f>
        <v>1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31"/>
    </row>
    <row r="50" spans="1:26" ht="15.75" customHeight="1">
      <c r="A50" s="77">
        <v>43</v>
      </c>
      <c r="B50" s="78" t="s">
        <v>45</v>
      </c>
      <c r="C50" s="79" t="s">
        <v>329</v>
      </c>
      <c r="D50" s="82">
        <f>HLOOKUP($B50,Inputs!$B$31:$ZU$68,D$7,FALSE)</f>
        <v>0.2</v>
      </c>
      <c r="E50" s="82">
        <f>HLOOKUP($B50,Inputs!$B$31:$ZU$68,E$7,FALSE)</f>
        <v>0.252</v>
      </c>
      <c r="F50" s="42">
        <f>HLOOKUP($B50,Inputs!$B$31:$ZU$68,F$7,FALSE)</f>
        <v>49.000000000000014</v>
      </c>
      <c r="G50" s="42">
        <f>HLOOKUP($B50,Inputs!$B$31:$ZU$68,G$7,FALSE)</f>
        <v>2499.0000000000005</v>
      </c>
      <c r="H50" s="42">
        <f>HLOOKUP($B50,Inputs!$B$31:$ZU$68,H$7,FALSE)</f>
        <v>1250000</v>
      </c>
      <c r="I50" s="42">
        <f>HLOOKUP($B50,Inputs!$B$31:$ZU$68,I$7,FALSE)</f>
        <v>5</v>
      </c>
      <c r="J50" s="42">
        <f>HLOOKUP($B50,Inputs!$B$31:$ZU$68,J$7,FALSE)</f>
        <v>250</v>
      </c>
      <c r="K50" s="42">
        <f>HLOOKUP($B50,Inputs!$B$31:$ZU$68,K$7,FALSE)</f>
        <v>499.99999999999955</v>
      </c>
      <c r="L50" s="42">
        <f>HLOOKUP($B50,Inputs!$B$31:$ZU$68,L$7,FALSE)</f>
        <v>24999.999999999978</v>
      </c>
      <c r="M50" s="42">
        <f>HLOOKUP($B50,Inputs!$B$4:$ZW$29,M$7,FALSE)</f>
        <v>50000</v>
      </c>
      <c r="N50" s="91">
        <f>HLOOKUP($B50,Inputs!$B$4:$ZW$29,N$7,FALSE)</f>
        <v>1000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1"/>
    </row>
    <row r="51" spans="1:26" ht="15.75" customHeight="1">
      <c r="A51" s="77">
        <v>44</v>
      </c>
      <c r="B51" s="78" t="s">
        <v>46</v>
      </c>
      <c r="C51" s="79" t="s">
        <v>329</v>
      </c>
      <c r="D51" s="82">
        <f>HLOOKUP($B51,Inputs!$B$31:$ZU$68,D$7,FALSE)</f>
        <v>0.34908725812340269</v>
      </c>
      <c r="E51" s="82">
        <f>HLOOKUP($B51,Inputs!$B$31:$ZU$68,E$7,FALSE)</f>
        <v>0.22184545454545454</v>
      </c>
      <c r="F51" s="42">
        <f>HLOOKUP($B51,Inputs!$B$31:$ZU$68,F$7,FALSE)</f>
        <v>11518.879518072292</v>
      </c>
      <c r="G51" s="42">
        <f>HLOOKUP($B51,Inputs!$B$31:$ZU$68,G$7,FALSE)</f>
        <v>230396.59036144582</v>
      </c>
      <c r="H51" s="42">
        <f>HLOOKUP($B51,Inputs!$B$31:$ZU$68,H$7,FALSE)</f>
        <v>1650000</v>
      </c>
      <c r="I51" s="42">
        <f>HLOOKUP($B51,Inputs!$B$31:$ZU$68,I$7,FALSE)</f>
        <v>160</v>
      </c>
      <c r="J51" s="42">
        <f>HLOOKUP($B51,Inputs!$B$31:$ZU$68,J$7,FALSE)</f>
        <v>3200</v>
      </c>
      <c r="K51" s="42">
        <f>HLOOKUP($B51,Inputs!$B$31:$ZU$68,K$7,FALSE)</f>
        <v>65999.999999999942</v>
      </c>
      <c r="L51" s="42">
        <f>HLOOKUP($B51,Inputs!$B$31:$ZU$68,L$7,FALSE)</f>
        <v>1319999.9999999988</v>
      </c>
      <c r="M51" s="42">
        <f>HLOOKUP($B51,Inputs!$B$4:$ZW$29,M$7,FALSE)</f>
        <v>500</v>
      </c>
      <c r="N51" s="91">
        <f>HLOOKUP($B51,Inputs!$B$4:$ZW$29,N$7,FALSE)</f>
        <v>25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1"/>
    </row>
    <row r="52" spans="1:26" ht="15.75" customHeight="1">
      <c r="A52" s="77">
        <v>45</v>
      </c>
      <c r="B52" s="78" t="s">
        <v>47</v>
      </c>
      <c r="C52" s="79" t="s">
        <v>329</v>
      </c>
      <c r="D52" s="82">
        <f>HLOOKUP($B52,Inputs!$B$31:$ZU$68,D$7,FALSE)</f>
        <v>0.75</v>
      </c>
      <c r="E52" s="82">
        <f>HLOOKUP($B52,Inputs!$B$31:$ZU$68,E$7,FALSE)</f>
        <v>0.627</v>
      </c>
      <c r="F52" s="42">
        <f>HLOOKUP($B52,Inputs!$B$31:$ZU$68,F$7,FALSE)</f>
        <v>749.00000000000011</v>
      </c>
      <c r="G52" s="42">
        <f>HLOOKUP($B52,Inputs!$B$31:$ZU$68,G$7,FALSE)</f>
        <v>1499.0000000000002</v>
      </c>
      <c r="H52" s="42">
        <f>HLOOKUP($B52,Inputs!$B$31:$ZU$68,H$7,FALSE)</f>
        <v>20000</v>
      </c>
      <c r="I52" s="42">
        <f>HLOOKUP($B52,Inputs!$B$31:$ZU$68,I$7,FALSE)</f>
        <v>75</v>
      </c>
      <c r="J52" s="42">
        <f>HLOOKUP($B52,Inputs!$B$31:$ZU$68,J$7,FALSE)</f>
        <v>150</v>
      </c>
      <c r="K52" s="42">
        <f>HLOOKUP($B52,Inputs!$B$31:$ZU$68,K$7,FALSE)</f>
        <v>1999.9999999999982</v>
      </c>
      <c r="L52" s="42">
        <f>HLOOKUP($B52,Inputs!$B$31:$ZU$68,L$7,FALSE)</f>
        <v>3999.9999999999964</v>
      </c>
      <c r="M52" s="42">
        <f>HLOOKUP($B52,Inputs!$B$4:$ZW$29,M$7,FALSE)</f>
        <v>200</v>
      </c>
      <c r="N52" s="91">
        <f>HLOOKUP($B52,Inputs!$B$4:$ZW$29,N$7,FALSE)</f>
        <v>100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1"/>
    </row>
    <row r="53" spans="1:26" ht="15.75" customHeight="1">
      <c r="A53" s="77">
        <v>46</v>
      </c>
      <c r="B53" s="78" t="s">
        <v>48</v>
      </c>
      <c r="C53" s="79" t="s">
        <v>329</v>
      </c>
      <c r="D53" s="82">
        <f>HLOOKUP($B53,Inputs!$B$31:$ZU$68,D$7,FALSE)</f>
        <v>5.3233333333333333</v>
      </c>
      <c r="E53" s="82">
        <f>HLOOKUP($B53,Inputs!$B$31:$ZU$68,E$7,FALSE)</f>
        <v>1.4775333333333334</v>
      </c>
      <c r="F53" s="42">
        <f>HLOOKUP($B53,Inputs!$B$31:$ZU$68,F$7,FALSE)</f>
        <v>318.40000000000009</v>
      </c>
      <c r="G53" s="42">
        <f>HLOOKUP($B53,Inputs!$B$31:$ZU$68,G$7,FALSE)</f>
        <v>6387.0000000000009</v>
      </c>
      <c r="H53" s="42">
        <f>HLOOKUP($B53,Inputs!$B$31:$ZU$68,H$7,FALSE)</f>
        <v>3000000</v>
      </c>
      <c r="I53" s="42">
        <f>HLOOKUP($B53,Inputs!$B$31:$ZU$68,I$7,FALSE)</f>
        <v>2</v>
      </c>
      <c r="J53" s="42">
        <f>HLOOKUP($B53,Inputs!$B$31:$ZU$68,J$7,FALSE)</f>
        <v>40</v>
      </c>
      <c r="K53" s="42">
        <f>HLOOKUP($B53,Inputs!$B$31:$ZU$68,K$7,FALSE)</f>
        <v>119.99999999999989</v>
      </c>
      <c r="L53" s="42">
        <f>HLOOKUP($B53,Inputs!$B$31:$ZU$68,L$7,FALSE)</f>
        <v>2399.9999999999977</v>
      </c>
      <c r="M53" s="42">
        <f>HLOOKUP($B53,Inputs!$B$4:$ZW$29,M$7,FALSE)</f>
        <v>500000</v>
      </c>
      <c r="N53" s="91">
        <f>HLOOKUP($B53,Inputs!$B$4:$ZW$29,N$7,FALSE)</f>
        <v>25000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31"/>
    </row>
    <row r="54" spans="1:26" ht="15.75" customHeight="1">
      <c r="A54" s="77">
        <v>47</v>
      </c>
      <c r="B54" s="78" t="s">
        <v>49</v>
      </c>
      <c r="C54" s="79" t="s">
        <v>329</v>
      </c>
      <c r="D54" s="82">
        <f>HLOOKUP($B54,Inputs!$B$31:$ZU$68,D$7,FALSE)</f>
        <v>0.11156666666666666</v>
      </c>
      <c r="E54" s="82">
        <f>HLOOKUP($B54,Inputs!$B$31:$ZU$68,E$7,FALSE)</f>
        <v>2.4299999999999999E-2</v>
      </c>
      <c r="F54" s="42">
        <f>HLOOKUP($B54,Inputs!$B$31:$ZU$68,F$7,FALSE)</f>
        <v>33469.000000000007</v>
      </c>
      <c r="G54" s="42">
        <f>HLOOKUP($B54,Inputs!$B$31:$ZU$68,G$7,FALSE)</f>
        <v>669399.00000000012</v>
      </c>
      <c r="H54" s="42">
        <f>HLOOKUP($B54,Inputs!$B$31:$ZU$68,H$7,FALSE)</f>
        <v>3000000</v>
      </c>
      <c r="I54" s="42">
        <f>HLOOKUP($B54,Inputs!$B$31:$ZU$68,I$7,FALSE)</f>
        <v>350</v>
      </c>
      <c r="J54" s="42">
        <f>HLOOKUP($B54,Inputs!$B$31:$ZU$68,J$7,FALSE)</f>
        <v>7000</v>
      </c>
      <c r="K54" s="42">
        <f>HLOOKUP($B54,Inputs!$B$31:$ZU$68,K$7,FALSE)</f>
        <v>599999.99999999942</v>
      </c>
      <c r="L54" s="42">
        <f>HLOOKUP($B54,Inputs!$B$31:$ZU$68,L$7,FALSE)</f>
        <v>11999999.999999989</v>
      </c>
      <c r="M54" s="42">
        <f>HLOOKUP($B54,Inputs!$B$4:$ZW$29,M$7,FALSE)</f>
        <v>100</v>
      </c>
      <c r="N54" s="91">
        <f>HLOOKUP($B54,Inputs!$B$4:$ZW$29,N$7,FALSE)</f>
        <v>5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1"/>
    </row>
    <row r="55" spans="1:26" ht="15.75" customHeight="1">
      <c r="A55" s="77">
        <v>48</v>
      </c>
      <c r="B55" s="78" t="s">
        <v>50</v>
      </c>
      <c r="C55" s="79" t="s">
        <v>329</v>
      </c>
      <c r="D55" s="82">
        <f>HLOOKUP($B55,Inputs!$B$31:$ZU$68,D$7,FALSE)</f>
        <v>0.2545</v>
      </c>
      <c r="E55" s="82">
        <f>HLOOKUP($B55,Inputs!$B$31:$ZU$68,E$7,FALSE)</f>
        <v>5.4000000000000003E-3</v>
      </c>
      <c r="F55" s="42">
        <f>HLOOKUP($B55,Inputs!$B$31:$ZU$68,F$7,FALSE)</f>
        <v>2544.0000000000005</v>
      </c>
      <c r="G55" s="42">
        <f>HLOOKUP($B55,Inputs!$B$31:$ZU$68,G$7,FALSE)</f>
        <v>50899.000000000015</v>
      </c>
      <c r="H55" s="42">
        <f>HLOOKUP($B55,Inputs!$B$31:$ZU$68,H$7,FALSE)</f>
        <v>1000000</v>
      </c>
      <c r="I55" s="42">
        <f>HLOOKUP($B55,Inputs!$B$31:$ZU$68,I$7,FALSE)</f>
        <v>5</v>
      </c>
      <c r="J55" s="42">
        <f>HLOOKUP($B55,Inputs!$B$31:$ZU$68,J$7,FALSE)</f>
        <v>100</v>
      </c>
      <c r="K55" s="42">
        <f>HLOOKUP($B55,Inputs!$B$31:$ZU$68,K$7,FALSE)</f>
        <v>19999.999999999982</v>
      </c>
      <c r="L55" s="42">
        <f>HLOOKUP($B55,Inputs!$B$31:$ZU$68,L$7,FALSE)</f>
        <v>399999.99999999965</v>
      </c>
      <c r="M55" s="42">
        <f>HLOOKUP($B55,Inputs!$B$4:$ZW$29,M$7,FALSE)</f>
        <v>1000</v>
      </c>
      <c r="N55" s="91">
        <f>HLOOKUP($B55,Inputs!$B$4:$ZW$29,N$7,FALSE)</f>
        <v>50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1"/>
    </row>
    <row r="56" spans="1:26" ht="15.75" customHeight="1">
      <c r="A56" s="77">
        <v>49</v>
      </c>
      <c r="B56" s="78" t="s">
        <v>51</v>
      </c>
      <c r="C56" s="79" t="s">
        <v>329</v>
      </c>
      <c r="D56" s="82">
        <f>HLOOKUP($B56,Inputs!$B$31:$ZU$68,D$7,FALSE)</f>
        <v>0.02</v>
      </c>
      <c r="E56" s="82">
        <f>HLOOKUP($B56,Inputs!$B$31:$ZU$68,E$7,FALSE)</f>
        <v>1.3050000000000001E-2</v>
      </c>
      <c r="F56" s="42">
        <f>HLOOKUP($B56,Inputs!$B$31:$ZU$68,F$7,FALSE)</f>
        <v>19.000000000000004</v>
      </c>
      <c r="G56" s="42">
        <f>HLOOKUP($B56,Inputs!$B$31:$ZU$68,G$7,FALSE)</f>
        <v>799.00000000000023</v>
      </c>
      <c r="H56" s="42">
        <f>HLOOKUP($B56,Inputs!$B$31:$ZU$68,H$7,FALSE)</f>
        <v>40000</v>
      </c>
      <c r="I56" s="42">
        <f>HLOOKUP($B56,Inputs!$B$31:$ZU$68,I$7,FALSE)</f>
        <v>2</v>
      </c>
      <c r="J56" s="42">
        <f>HLOOKUP($B56,Inputs!$B$31:$ZU$68,J$7,FALSE)</f>
        <v>80</v>
      </c>
      <c r="K56" s="42">
        <f>HLOOKUP($B56,Inputs!$B$31:$ZU$68,K$7,FALSE)</f>
        <v>1999.9999999999982</v>
      </c>
      <c r="L56" s="42">
        <f>HLOOKUP($B56,Inputs!$B$31:$ZU$68,L$7,FALSE)</f>
        <v>79999.999999999927</v>
      </c>
      <c r="M56" s="42">
        <f>HLOOKUP($B56,Inputs!$B$4:$ZW$29,M$7,FALSE)</f>
        <v>400</v>
      </c>
      <c r="N56" s="91">
        <f>HLOOKUP($B56,Inputs!$B$4:$ZW$29,N$7,FALSE)</f>
        <v>10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1"/>
    </row>
    <row r="57" spans="1:26" ht="15.75" customHeight="1">
      <c r="A57" s="77">
        <v>26</v>
      </c>
      <c r="B57" s="78" t="s">
        <v>28</v>
      </c>
      <c r="C57" s="79" t="s">
        <v>103</v>
      </c>
      <c r="D57" s="82">
        <f>HLOOKUP($B57,Inputs!$B$31:$ZU$68,D$7,FALSE)</f>
        <v>0.34722222222222221</v>
      </c>
      <c r="E57" s="82">
        <f>HLOOKUP($B57,Inputs!$B$31:$ZU$68,E$7,FALSE)</f>
        <v>4.4444444444444446E-2</v>
      </c>
      <c r="F57" s="42">
        <f>HLOOKUP($B57,Inputs!$B$31:$ZU$68,F$7,FALSE)</f>
        <v>999.00000000000023</v>
      </c>
      <c r="G57" s="42">
        <f>HLOOKUP($B57,Inputs!$B$31:$ZU$68,G$7,FALSE)</f>
        <v>2499.0000000000005</v>
      </c>
      <c r="H57" s="42">
        <f>HLOOKUP($B57,Inputs!$B$31:$ZU$68,H$7,FALSE)</f>
        <v>28800</v>
      </c>
      <c r="I57" s="42">
        <f>HLOOKUP($B57,Inputs!$B$31:$ZU$68,I$7,FALSE)</f>
        <v>100</v>
      </c>
      <c r="J57" s="42">
        <f>HLOOKUP($B57,Inputs!$B$31:$ZU$68,J$7,FALSE)</f>
        <v>250</v>
      </c>
      <c r="K57" s="42">
        <f>HLOOKUP($B57,Inputs!$B$31:$ZU$68,K$7,FALSE)</f>
        <v>5759.9999999999945</v>
      </c>
      <c r="L57" s="42">
        <f>HLOOKUP($B57,Inputs!$B$31:$ZU$68,L$7,FALSE)</f>
        <v>14399.999999999987</v>
      </c>
      <c r="M57" s="42">
        <f>HLOOKUP($B57,Inputs!$B$4:$ZW$29,M$7,FALSE)</f>
        <v>100</v>
      </c>
      <c r="N57" s="91">
        <f>HLOOKUP($B57,Inputs!$B$4:$ZW$29,N$7,FALSE)</f>
        <v>40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1"/>
    </row>
    <row r="58" spans="1:26" ht="15.75" customHeight="1" thickBot="1">
      <c r="A58" s="77">
        <v>28</v>
      </c>
      <c r="B58" s="238" t="s">
        <v>30</v>
      </c>
      <c r="C58" s="194" t="s">
        <v>103</v>
      </c>
      <c r="D58" s="195">
        <f>HLOOKUP($B58,Inputs!$B$31:$ZU$68,D$7,FALSE)</f>
        <v>8.9791666666666661</v>
      </c>
      <c r="E58" s="195">
        <f>HLOOKUP($B58,Inputs!$B$31:$ZU$68,E$7,FALSE)</f>
        <v>1.9077777777777777E-2</v>
      </c>
      <c r="F58" s="196">
        <f>HLOOKUP($B58,Inputs!$B$31:$ZU$68,F$7,FALSE)</f>
        <v>322.25000000000011</v>
      </c>
      <c r="G58" s="196">
        <f>HLOOKUP($B58,Inputs!$B$31:$ZU$68,G$7,FALSE)</f>
        <v>1292999.0000000002</v>
      </c>
      <c r="H58" s="196">
        <f>HLOOKUP($B58,Inputs!$B$31:$ZU$68,H$7,FALSE)</f>
        <v>36000</v>
      </c>
      <c r="I58" s="196">
        <f>HLOOKUP($B58,Inputs!$B$31:$ZU$68,I$7,FALSE)</f>
        <v>32.325000000000003</v>
      </c>
      <c r="J58" s="196">
        <f>HLOOKUP($B58,Inputs!$B$31:$ZU$68,J$7,FALSE)</f>
        <v>129300</v>
      </c>
      <c r="K58" s="196">
        <f>HLOOKUP($B58,Inputs!$B$31:$ZU$68,K$7,FALSE)</f>
        <v>71.999999999999943</v>
      </c>
      <c r="L58" s="196">
        <f>HLOOKUP($B58,Inputs!$B$31:$ZU$68,L$7,FALSE)</f>
        <v>287999.99999999977</v>
      </c>
      <c r="M58" s="196">
        <f>HLOOKUP($B58,Inputs!$B$4:$ZW$29,M$7,FALSE)</f>
        <v>10000</v>
      </c>
      <c r="N58" s="197">
        <f>HLOOKUP($B58,Inputs!$B$4:$ZW$29,N$7,FALSE)</f>
        <v>2.5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1"/>
    </row>
    <row r="59" spans="1:26" ht="15.75" customHeight="1">
      <c r="A59" s="160"/>
      <c r="B59" s="28"/>
      <c r="C59" s="30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1"/>
    </row>
    <row r="60" spans="1:26" ht="15.75" customHeight="1">
      <c r="A60" s="160"/>
      <c r="B60" s="28"/>
      <c r="C60" s="3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31"/>
    </row>
    <row r="61" spans="1:26" ht="15.75" customHeight="1">
      <c r="A61" s="160"/>
      <c r="B61" s="28"/>
      <c r="C61" s="3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1"/>
    </row>
    <row r="62" spans="1:26" ht="15.75" customHeight="1">
      <c r="A62" s="160"/>
      <c r="B62" s="28"/>
      <c r="C62" s="3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1"/>
    </row>
    <row r="63" spans="1:26" ht="15.75" customHeight="1">
      <c r="A63" s="160"/>
      <c r="B63" s="28"/>
      <c r="C63" s="3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1"/>
    </row>
    <row r="64" spans="1:26" ht="15.75" customHeight="1">
      <c r="A64" s="160"/>
      <c r="B64" s="28"/>
      <c r="C64" s="3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1"/>
    </row>
    <row r="65" spans="1:26" ht="15.75" customHeight="1">
      <c r="A65" s="160"/>
      <c r="B65" s="28"/>
      <c r="C65" s="3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31"/>
    </row>
    <row r="66" spans="1:26" ht="15.75" customHeight="1">
      <c r="A66" s="160"/>
      <c r="B66" s="28"/>
      <c r="C66" s="3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1"/>
    </row>
    <row r="67" spans="1:26" ht="15.75" customHeight="1">
      <c r="A67" s="160"/>
      <c r="B67" s="28"/>
      <c r="C67" s="3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1"/>
    </row>
    <row r="68" spans="1:26" ht="15.75" customHeight="1">
      <c r="A68" s="28"/>
      <c r="B68" s="28"/>
      <c r="C68" s="3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1"/>
    </row>
    <row r="69" spans="1:26" ht="15.75" customHeight="1">
      <c r="A69" s="28"/>
      <c r="B69" s="28"/>
      <c r="C69" s="3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1"/>
    </row>
    <row r="70" spans="1:26" ht="15.75" customHeight="1">
      <c r="A70" s="28"/>
      <c r="B70" s="28"/>
      <c r="C70" s="3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31"/>
    </row>
    <row r="71" spans="1:26" ht="15.75" customHeight="1">
      <c r="A71" s="28"/>
      <c r="B71" s="28"/>
      <c r="C71" s="3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1"/>
    </row>
    <row r="72" spans="1:26" ht="15.75" customHeight="1">
      <c r="A72" s="28"/>
      <c r="B72" s="28"/>
      <c r="C72" s="3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1"/>
    </row>
    <row r="73" spans="1:26" ht="15.75" customHeight="1">
      <c r="A73" s="28"/>
      <c r="B73" s="28"/>
      <c r="C73" s="3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31"/>
    </row>
    <row r="74" spans="1:26" ht="15.75" customHeight="1">
      <c r="A74" s="28"/>
      <c r="B74" s="28"/>
      <c r="C74" s="3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1"/>
    </row>
    <row r="75" spans="1:26" ht="15.75" customHeight="1">
      <c r="A75" s="28"/>
      <c r="B75" s="28"/>
      <c r="C75" s="30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31"/>
    </row>
    <row r="76" spans="1:26" ht="15.75" customHeight="1">
      <c r="A76" s="28"/>
      <c r="B76" s="28"/>
      <c r="C76" s="30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31"/>
    </row>
    <row r="77" spans="1:26" ht="15.75" customHeight="1">
      <c r="A77" s="28"/>
      <c r="B77" s="28"/>
      <c r="C77" s="30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1"/>
    </row>
    <row r="78" spans="1:26" ht="15.75" customHeight="1">
      <c r="A78" s="28"/>
      <c r="B78" s="28"/>
      <c r="C78" s="30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1"/>
    </row>
    <row r="79" spans="1:26" ht="15.75" customHeight="1">
      <c r="A79" s="28"/>
      <c r="B79" s="28"/>
      <c r="C79" s="30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31"/>
    </row>
    <row r="80" spans="1:26" ht="15.75" customHeight="1">
      <c r="A80" s="28"/>
      <c r="B80" s="28"/>
      <c r="C80" s="30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31"/>
    </row>
    <row r="81" spans="1:26" ht="15.75" customHeight="1">
      <c r="A81" s="28"/>
      <c r="B81" s="28"/>
      <c r="C81" s="30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31"/>
    </row>
    <row r="82" spans="1:26" ht="15.75" customHeight="1">
      <c r="A82" s="28"/>
      <c r="B82" s="28"/>
      <c r="C82" s="30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31"/>
    </row>
    <row r="83" spans="1:26" ht="15.75" customHeight="1">
      <c r="A83" s="28"/>
      <c r="B83" s="28"/>
      <c r="C83" s="30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31"/>
    </row>
    <row r="84" spans="1:26" ht="15.75" customHeight="1">
      <c r="A84" s="28"/>
      <c r="B84" s="28"/>
      <c r="C84" s="30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31"/>
    </row>
    <row r="85" spans="1:26" ht="15.75" customHeight="1">
      <c r="A85" s="28"/>
      <c r="B85" s="28"/>
      <c r="C85" s="30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31"/>
    </row>
    <row r="86" spans="1:26" ht="15.75" customHeight="1">
      <c r="A86" s="28"/>
      <c r="B86" s="28"/>
      <c r="C86" s="30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31"/>
    </row>
    <row r="87" spans="1:26" ht="15.75" customHeight="1">
      <c r="A87" s="28"/>
      <c r="B87" s="28"/>
      <c r="C87" s="30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31"/>
    </row>
    <row r="88" spans="1:26" ht="15.75" customHeight="1">
      <c r="A88" s="28"/>
      <c r="B88" s="28"/>
      <c r="C88" s="30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31"/>
    </row>
    <row r="89" spans="1:26" ht="15.75" customHeight="1">
      <c r="A89" s="28"/>
      <c r="B89" s="28"/>
      <c r="C89" s="30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31"/>
    </row>
    <row r="90" spans="1:26" ht="15.75" customHeight="1">
      <c r="A90" s="28"/>
      <c r="B90" s="28"/>
      <c r="C90" s="3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31"/>
    </row>
    <row r="91" spans="1:26" ht="15.75" customHeight="1">
      <c r="A91" s="28"/>
      <c r="B91" s="28"/>
      <c r="C91" s="3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31"/>
    </row>
    <row r="92" spans="1:26" ht="15.75" customHeight="1">
      <c r="A92" s="28"/>
      <c r="B92" s="28"/>
      <c r="C92" s="30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31"/>
    </row>
    <row r="93" spans="1:26" ht="15.75" customHeight="1">
      <c r="A93" s="28"/>
      <c r="B93" s="28"/>
      <c r="C93" s="30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31"/>
    </row>
    <row r="94" spans="1:26" ht="15.75" customHeight="1">
      <c r="A94" s="28"/>
      <c r="B94" s="28"/>
      <c r="C94" s="30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31"/>
    </row>
    <row r="95" spans="1:26" ht="15.75" customHeight="1">
      <c r="A95" s="28"/>
      <c r="B95" s="28"/>
      <c r="C95" s="30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31"/>
    </row>
    <row r="96" spans="1:26" ht="15.75" customHeight="1">
      <c r="A96" s="28"/>
      <c r="B96" s="28"/>
      <c r="C96" s="30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31"/>
    </row>
    <row r="97" spans="1:26" ht="15.75" customHeight="1">
      <c r="A97" s="28"/>
      <c r="B97" s="28"/>
      <c r="C97" s="30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31"/>
    </row>
    <row r="98" spans="1:26" ht="15.75" customHeight="1">
      <c r="A98" s="28"/>
      <c r="B98" s="28"/>
      <c r="C98" s="30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31"/>
    </row>
    <row r="99" spans="1:26" ht="15.75" customHeight="1">
      <c r="A99" s="28"/>
      <c r="B99" s="28"/>
      <c r="C99" s="30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31"/>
    </row>
    <row r="100" spans="1:26" ht="15.75" customHeight="1">
      <c r="A100" s="28"/>
      <c r="B100" s="28"/>
      <c r="C100" s="30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31"/>
    </row>
    <row r="101" spans="1:26" ht="15.75" customHeight="1">
      <c r="A101" s="28"/>
      <c r="B101" s="28"/>
      <c r="C101" s="30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1"/>
    </row>
    <row r="102" spans="1:26" ht="15.75" customHeight="1">
      <c r="A102" s="28"/>
      <c r="B102" s="28"/>
      <c r="C102" s="30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31"/>
    </row>
    <row r="103" spans="1:26" ht="15.75" customHeight="1">
      <c r="A103" s="28"/>
      <c r="B103" s="28"/>
      <c r="C103" s="3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31"/>
    </row>
    <row r="104" spans="1:26" ht="15.75" customHeight="1">
      <c r="A104" s="28"/>
      <c r="B104" s="28"/>
      <c r="C104" s="30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1"/>
    </row>
    <row r="105" spans="1:26" ht="15.75" customHeight="1">
      <c r="A105" s="28"/>
      <c r="B105" s="28"/>
      <c r="C105" s="30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31"/>
    </row>
    <row r="106" spans="1:26" ht="15.75" customHeight="1">
      <c r="A106" s="28"/>
      <c r="B106" s="28"/>
      <c r="C106" s="30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1"/>
    </row>
    <row r="107" spans="1:26" ht="15.75" customHeight="1">
      <c r="A107" s="28"/>
      <c r="B107" s="28"/>
      <c r="C107" s="30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31"/>
    </row>
    <row r="108" spans="1:26" ht="15.75" customHeight="1">
      <c r="A108" s="28"/>
      <c r="B108" s="28"/>
      <c r="C108" s="3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1"/>
    </row>
    <row r="109" spans="1:26" ht="15.75" customHeight="1">
      <c r="A109" s="28"/>
      <c r="B109" s="28"/>
      <c r="C109" s="3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31"/>
    </row>
    <row r="110" spans="1:26" ht="15.75" customHeight="1">
      <c r="A110" s="28"/>
      <c r="B110" s="28"/>
      <c r="C110" s="30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1"/>
    </row>
    <row r="111" spans="1:26" ht="15.75" customHeight="1">
      <c r="A111" s="28"/>
      <c r="B111" s="28"/>
      <c r="C111" s="30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31"/>
    </row>
    <row r="112" spans="1:26" ht="15.75" customHeight="1">
      <c r="A112" s="28"/>
      <c r="B112" s="28"/>
      <c r="C112" s="30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1"/>
    </row>
    <row r="113" spans="1:26" ht="15.75" customHeight="1">
      <c r="A113" s="28"/>
      <c r="B113" s="28"/>
      <c r="C113" s="30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31"/>
    </row>
    <row r="114" spans="1:26" ht="15.75" customHeight="1">
      <c r="A114" s="28"/>
      <c r="B114" s="28"/>
      <c r="C114" s="30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1"/>
    </row>
    <row r="115" spans="1:26" ht="15.75" customHeight="1">
      <c r="A115" s="28"/>
      <c r="B115" s="28"/>
      <c r="C115" s="30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31"/>
    </row>
    <row r="116" spans="1:26" ht="15.75" customHeight="1">
      <c r="A116" s="28"/>
      <c r="B116" s="28"/>
      <c r="C116" s="30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31"/>
    </row>
    <row r="117" spans="1:26" ht="15.75" customHeight="1">
      <c r="A117" s="28"/>
      <c r="B117" s="28"/>
      <c r="C117" s="30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31"/>
    </row>
    <row r="118" spans="1:26" ht="15.75" customHeight="1">
      <c r="A118" s="28"/>
      <c r="B118" s="28"/>
      <c r="C118" s="30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31"/>
    </row>
    <row r="119" spans="1:26" ht="15.75" customHeight="1">
      <c r="A119" s="28"/>
      <c r="B119" s="28"/>
      <c r="C119" s="30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31"/>
    </row>
    <row r="120" spans="1:26" ht="15.75" customHeight="1">
      <c r="A120" s="28"/>
      <c r="B120" s="28"/>
      <c r="C120" s="30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31"/>
    </row>
    <row r="121" spans="1:26" ht="15.75" customHeight="1">
      <c r="A121" s="28"/>
      <c r="B121" s="28"/>
      <c r="C121" s="30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31"/>
    </row>
    <row r="122" spans="1:26" ht="15.75" customHeight="1">
      <c r="A122" s="28"/>
      <c r="B122" s="28"/>
      <c r="C122" s="30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31"/>
    </row>
    <row r="123" spans="1:26" ht="15.75" customHeight="1">
      <c r="A123" s="28"/>
      <c r="B123" s="28"/>
      <c r="C123" s="30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31"/>
    </row>
    <row r="124" spans="1:26" ht="15.75" customHeight="1">
      <c r="A124" s="28"/>
      <c r="B124" s="28"/>
      <c r="C124" s="30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31"/>
    </row>
    <row r="125" spans="1:26" ht="15.75" customHeight="1">
      <c r="A125" s="28"/>
      <c r="B125" s="28"/>
      <c r="C125" s="30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31"/>
    </row>
    <row r="126" spans="1:26" ht="15.75" customHeight="1">
      <c r="A126" s="28"/>
      <c r="B126" s="28"/>
      <c r="C126" s="3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31"/>
    </row>
    <row r="127" spans="1:26" ht="15.75" customHeight="1">
      <c r="A127" s="28"/>
      <c r="B127" s="28"/>
      <c r="C127" s="3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31"/>
    </row>
    <row r="128" spans="1:26" ht="15.75" customHeight="1">
      <c r="A128" s="28"/>
      <c r="B128" s="28"/>
      <c r="C128" s="30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31"/>
    </row>
    <row r="129" spans="1:26" ht="15.75" customHeight="1">
      <c r="A129" s="28"/>
      <c r="B129" s="28"/>
      <c r="C129" s="30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31"/>
    </row>
    <row r="130" spans="1:26" ht="15.75" customHeight="1">
      <c r="A130" s="28"/>
      <c r="B130" s="28"/>
      <c r="C130" s="30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31"/>
    </row>
    <row r="131" spans="1:26" ht="15.75" customHeight="1">
      <c r="A131" s="28"/>
      <c r="B131" s="28"/>
      <c r="C131" s="3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31"/>
    </row>
    <row r="132" spans="1:26" ht="15.75" customHeight="1">
      <c r="A132" s="28"/>
      <c r="B132" s="28"/>
      <c r="C132" s="3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31"/>
    </row>
    <row r="133" spans="1:26" ht="15.75" customHeight="1">
      <c r="A133" s="28"/>
      <c r="B133" s="28"/>
      <c r="C133" s="3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31"/>
    </row>
    <row r="134" spans="1:26" ht="15.75" customHeight="1">
      <c r="A134" s="28"/>
      <c r="B134" s="28"/>
      <c r="C134" s="3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31"/>
    </row>
    <row r="135" spans="1:26" ht="15.75" customHeight="1">
      <c r="A135" s="28"/>
      <c r="B135" s="28"/>
      <c r="C135" s="3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31"/>
    </row>
    <row r="136" spans="1:26" ht="15.75" customHeight="1">
      <c r="A136" s="28"/>
      <c r="B136" s="28"/>
      <c r="C136" s="30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31"/>
    </row>
    <row r="137" spans="1:26" ht="15.75" customHeight="1">
      <c r="A137" s="28"/>
      <c r="B137" s="28"/>
      <c r="C137" s="30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31"/>
    </row>
    <row r="138" spans="1:26" ht="15.75" customHeight="1">
      <c r="A138" s="28"/>
      <c r="B138" s="28"/>
      <c r="C138" s="30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31"/>
    </row>
    <row r="139" spans="1:26" ht="15.75" customHeight="1">
      <c r="A139" s="28"/>
      <c r="B139" s="28"/>
      <c r="C139" s="30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31"/>
    </row>
    <row r="140" spans="1:26" ht="15.75" customHeight="1">
      <c r="A140" s="28"/>
      <c r="B140" s="28"/>
      <c r="C140" s="30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31"/>
    </row>
    <row r="141" spans="1:26" ht="15.75" customHeight="1">
      <c r="A141" s="28"/>
      <c r="B141" s="28"/>
      <c r="C141" s="30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31"/>
    </row>
    <row r="142" spans="1:26" ht="15.75" customHeight="1">
      <c r="A142" s="28"/>
      <c r="B142" s="28"/>
      <c r="C142" s="30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31"/>
    </row>
    <row r="143" spans="1:26" ht="15.75" customHeight="1">
      <c r="A143" s="28"/>
      <c r="B143" s="28"/>
      <c r="C143" s="30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31"/>
    </row>
    <row r="144" spans="1:26" ht="15.75" customHeight="1">
      <c r="A144" s="28"/>
      <c r="B144" s="28"/>
      <c r="C144" s="3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31"/>
    </row>
    <row r="145" spans="1:26" ht="15.75" customHeight="1">
      <c r="A145" s="28"/>
      <c r="B145" s="28"/>
      <c r="C145" s="30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31"/>
    </row>
    <row r="146" spans="1:26" ht="15.75" customHeight="1">
      <c r="A146" s="28"/>
      <c r="B146" s="28"/>
      <c r="C146" s="30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31"/>
    </row>
    <row r="147" spans="1:26" ht="15.75" customHeight="1">
      <c r="A147" s="28"/>
      <c r="B147" s="28"/>
      <c r="C147" s="30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31"/>
    </row>
    <row r="148" spans="1:26" ht="15.75" customHeight="1">
      <c r="A148" s="28"/>
      <c r="B148" s="28"/>
      <c r="C148" s="30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31"/>
    </row>
    <row r="149" spans="1:26" ht="15.75" customHeight="1">
      <c r="A149" s="28"/>
      <c r="B149" s="28"/>
      <c r="C149" s="3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31"/>
    </row>
    <row r="150" spans="1:26" ht="15.75" customHeight="1">
      <c r="A150" s="31"/>
      <c r="B150" s="31"/>
      <c r="C150" s="176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>
      <c r="A151" s="31"/>
      <c r="B151" s="31"/>
      <c r="C151" s="176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>
      <c r="A152" s="31"/>
      <c r="B152" s="31"/>
      <c r="C152" s="176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>
      <c r="A153" s="31"/>
      <c r="B153" s="31"/>
      <c r="C153" s="176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>
      <c r="A154" s="31"/>
      <c r="B154" s="31"/>
      <c r="C154" s="176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>
      <c r="A155" s="31"/>
      <c r="B155" s="31"/>
      <c r="C155" s="176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>
      <c r="A156" s="31"/>
      <c r="B156" s="31"/>
      <c r="C156" s="176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>
      <c r="A157" s="31"/>
      <c r="B157" s="31"/>
      <c r="C157" s="176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>
      <c r="A158" s="31"/>
      <c r="B158" s="31"/>
      <c r="C158" s="176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>
      <c r="A159" s="31"/>
      <c r="B159" s="31"/>
      <c r="C159" s="176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>
      <c r="A160" s="31"/>
      <c r="B160" s="31"/>
      <c r="C160" s="176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>
      <c r="A161" s="31"/>
      <c r="B161" s="31"/>
      <c r="C161" s="176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>
      <c r="A162" s="31"/>
      <c r="B162" s="31"/>
      <c r="C162" s="176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>
      <c r="A163" s="31"/>
      <c r="B163" s="31"/>
      <c r="C163" s="176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>
      <c r="A164" s="31"/>
      <c r="B164" s="31"/>
      <c r="C164" s="176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>
      <c r="A165" s="31"/>
      <c r="B165" s="31"/>
      <c r="C165" s="176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>
      <c r="A166" s="31"/>
      <c r="B166" s="31"/>
      <c r="C166" s="176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>
      <c r="A167" s="31"/>
      <c r="B167" s="31"/>
      <c r="C167" s="176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>
      <c r="A168" s="31"/>
      <c r="B168" s="31"/>
      <c r="C168" s="176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>
      <c r="A169" s="31"/>
      <c r="B169" s="31"/>
      <c r="C169" s="176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>
      <c r="A170" s="31"/>
      <c r="B170" s="31"/>
      <c r="C170" s="176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>
      <c r="A171" s="31"/>
      <c r="B171" s="31"/>
      <c r="C171" s="176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>
      <c r="A172" s="31"/>
      <c r="B172" s="31"/>
      <c r="C172" s="176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>
      <c r="A173" s="31"/>
      <c r="B173" s="31"/>
      <c r="C173" s="176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>
      <c r="A174" s="31"/>
      <c r="B174" s="31"/>
      <c r="C174" s="176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>
      <c r="A175" s="31"/>
      <c r="B175" s="31"/>
      <c r="C175" s="176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>
      <c r="A176" s="31"/>
      <c r="B176" s="31"/>
      <c r="C176" s="176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>
      <c r="A177" s="31"/>
      <c r="B177" s="31"/>
      <c r="C177" s="176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>
      <c r="A178" s="31"/>
      <c r="B178" s="31"/>
      <c r="C178" s="176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>
      <c r="A179" s="31"/>
      <c r="B179" s="31"/>
      <c r="C179" s="176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>
      <c r="A180" s="31"/>
      <c r="B180" s="31"/>
      <c r="C180" s="176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>
      <c r="A181" s="31"/>
      <c r="B181" s="31"/>
      <c r="C181" s="176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>
      <c r="A182" s="31"/>
      <c r="B182" s="31"/>
      <c r="C182" s="176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>
      <c r="A183" s="31"/>
      <c r="B183" s="31"/>
      <c r="C183" s="176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>
      <c r="A184" s="31"/>
      <c r="B184" s="31"/>
      <c r="C184" s="176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>
      <c r="A185" s="31"/>
      <c r="B185" s="31"/>
      <c r="C185" s="176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>
      <c r="A186" s="31"/>
      <c r="B186" s="31"/>
      <c r="C186" s="176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>
      <c r="A187" s="31"/>
      <c r="B187" s="31"/>
      <c r="C187" s="176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>
      <c r="A188" s="31"/>
      <c r="B188" s="31"/>
      <c r="C188" s="176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>
      <c r="A189" s="31"/>
      <c r="B189" s="31"/>
      <c r="C189" s="176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>
      <c r="A190" s="31"/>
      <c r="B190" s="31"/>
      <c r="C190" s="176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>
      <c r="A191" s="31"/>
      <c r="B191" s="31"/>
      <c r="C191" s="176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>
      <c r="A192" s="31"/>
      <c r="B192" s="31"/>
      <c r="C192" s="176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>
      <c r="A193" s="31"/>
      <c r="B193" s="31"/>
      <c r="C193" s="176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>
      <c r="A194" s="31"/>
      <c r="B194" s="31"/>
      <c r="C194" s="176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>
      <c r="A195" s="31"/>
      <c r="B195" s="31"/>
      <c r="C195" s="176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>
      <c r="A196" s="31"/>
      <c r="B196" s="31"/>
      <c r="C196" s="176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>
      <c r="A197" s="31"/>
      <c r="B197" s="31"/>
      <c r="C197" s="176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>
      <c r="A198" s="31"/>
      <c r="B198" s="31"/>
      <c r="C198" s="176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>
      <c r="A199" s="31"/>
      <c r="B199" s="31"/>
      <c r="C199" s="176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>
      <c r="A200" s="31"/>
      <c r="B200" s="31"/>
      <c r="C200" s="176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>
      <c r="A201" s="31"/>
      <c r="B201" s="31"/>
      <c r="C201" s="176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>
      <c r="A202" s="31"/>
      <c r="B202" s="31"/>
      <c r="C202" s="176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>
      <c r="A203" s="31"/>
      <c r="B203" s="31"/>
      <c r="C203" s="176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>
      <c r="A204" s="31"/>
      <c r="B204" s="31"/>
      <c r="C204" s="176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>
      <c r="A205" s="31"/>
      <c r="B205" s="31"/>
      <c r="C205" s="176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>
      <c r="A206" s="31"/>
      <c r="B206" s="31"/>
      <c r="C206" s="176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>
      <c r="A207" s="31"/>
      <c r="B207" s="31"/>
      <c r="C207" s="176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>
      <c r="A208" s="31"/>
      <c r="B208" s="31"/>
      <c r="C208" s="176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>
      <c r="A209" s="31"/>
      <c r="B209" s="31"/>
      <c r="C209" s="176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>
      <c r="A210" s="31"/>
      <c r="B210" s="31"/>
      <c r="C210" s="176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>
      <c r="A211" s="31"/>
      <c r="B211" s="31"/>
      <c r="C211" s="176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>
      <c r="A212" s="31"/>
      <c r="B212" s="31"/>
      <c r="C212" s="176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>
      <c r="A213" s="31"/>
      <c r="B213" s="31"/>
      <c r="C213" s="176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>
      <c r="A214" s="31"/>
      <c r="B214" s="31"/>
      <c r="C214" s="176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>
      <c r="A215" s="31"/>
      <c r="B215" s="31"/>
      <c r="C215" s="176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>
      <c r="A216" s="31"/>
      <c r="B216" s="31"/>
      <c r="C216" s="176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>
      <c r="A217" s="31"/>
      <c r="B217" s="31"/>
      <c r="C217" s="176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>
      <c r="A218" s="31"/>
      <c r="B218" s="31"/>
      <c r="C218" s="176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>
      <c r="A219" s="31"/>
      <c r="B219" s="31"/>
      <c r="C219" s="176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>
      <c r="A220" s="31"/>
      <c r="B220" s="31"/>
      <c r="C220" s="176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>
      <c r="A221" s="31"/>
      <c r="B221" s="31"/>
      <c r="C221" s="176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>
      <c r="A222" s="31"/>
      <c r="B222" s="31"/>
      <c r="C222" s="176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>
      <c r="A223" s="31"/>
      <c r="B223" s="31"/>
      <c r="C223" s="176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>
      <c r="A224" s="31"/>
      <c r="B224" s="31"/>
      <c r="C224" s="176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>
      <c r="A225" s="31"/>
      <c r="B225" s="31"/>
      <c r="C225" s="176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>
      <c r="A226" s="31"/>
      <c r="B226" s="31"/>
      <c r="C226" s="176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>
      <c r="A227" s="31"/>
      <c r="B227" s="31"/>
      <c r="C227" s="176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>
      <c r="A228" s="31"/>
      <c r="B228" s="31"/>
      <c r="C228" s="176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>
      <c r="A229" s="31"/>
      <c r="B229" s="31"/>
      <c r="C229" s="176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>
      <c r="A230" s="31"/>
      <c r="B230" s="31"/>
      <c r="C230" s="176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>
      <c r="A231" s="31"/>
      <c r="B231" s="31"/>
      <c r="C231" s="176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>
      <c r="A232" s="31"/>
      <c r="B232" s="31"/>
      <c r="C232" s="176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>
      <c r="A233" s="31"/>
      <c r="B233" s="31"/>
      <c r="C233" s="176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>
      <c r="A234" s="31"/>
      <c r="B234" s="31"/>
      <c r="C234" s="176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>
      <c r="A235" s="31"/>
      <c r="B235" s="31"/>
      <c r="C235" s="176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>
      <c r="A236" s="31"/>
      <c r="B236" s="31"/>
      <c r="C236" s="176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>
      <c r="A237" s="31"/>
      <c r="B237" s="31"/>
      <c r="C237" s="176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>
      <c r="A238" s="31"/>
      <c r="B238" s="31"/>
      <c r="C238" s="176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>
      <c r="A239" s="31"/>
      <c r="B239" s="31"/>
      <c r="C239" s="176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>
      <c r="A240" s="31"/>
      <c r="B240" s="31"/>
      <c r="C240" s="176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>
      <c r="A241" s="31"/>
      <c r="B241" s="31"/>
      <c r="C241" s="176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>
      <c r="A242" s="31"/>
      <c r="B242" s="31"/>
      <c r="C242" s="176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>
      <c r="A243" s="31"/>
      <c r="B243" s="31"/>
      <c r="C243" s="176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>
      <c r="A244" s="31"/>
      <c r="B244" s="31"/>
      <c r="C244" s="176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>
      <c r="A245" s="31"/>
      <c r="B245" s="31"/>
      <c r="C245" s="176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>
      <c r="A246" s="31"/>
      <c r="B246" s="31"/>
      <c r="C246" s="176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>
      <c r="A247" s="31"/>
      <c r="B247" s="31"/>
      <c r="C247" s="176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>
      <c r="A248" s="31"/>
      <c r="B248" s="31"/>
      <c r="C248" s="176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>
      <c r="A249" s="31"/>
      <c r="B249" s="31"/>
      <c r="C249" s="176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>
      <c r="A250" s="31"/>
      <c r="B250" s="31"/>
      <c r="C250" s="176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>
      <c r="A251" s="31"/>
      <c r="B251" s="31"/>
      <c r="C251" s="176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>
      <c r="A252" s="31"/>
      <c r="B252" s="31"/>
      <c r="C252" s="176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>
      <c r="A253" s="31"/>
      <c r="B253" s="31"/>
      <c r="C253" s="176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>
      <c r="A254" s="31"/>
      <c r="B254" s="31"/>
      <c r="C254" s="176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>
      <c r="A255" s="31"/>
      <c r="B255" s="31"/>
      <c r="C255" s="176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>
      <c r="A256" s="31"/>
      <c r="B256" s="31"/>
      <c r="C256" s="176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>
      <c r="A257" s="31"/>
      <c r="B257" s="31"/>
      <c r="C257" s="176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>
      <c r="A258" s="31"/>
      <c r="B258" s="31"/>
      <c r="C258" s="176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>
      <c r="A259" s="31"/>
      <c r="B259" s="31"/>
      <c r="C259" s="176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>
      <c r="A260" s="31"/>
      <c r="B260" s="31"/>
      <c r="C260" s="176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>
      <c r="A261" s="31"/>
      <c r="B261" s="31"/>
      <c r="C261" s="176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>
      <c r="A262" s="31"/>
      <c r="B262" s="31"/>
      <c r="C262" s="176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>
      <c r="A263" s="31"/>
      <c r="B263" s="31"/>
      <c r="C263" s="176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>
      <c r="A264" s="31"/>
      <c r="B264" s="31"/>
      <c r="C264" s="176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>
      <c r="A265" s="31"/>
      <c r="B265" s="31"/>
      <c r="C265" s="176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>
      <c r="A266" s="31"/>
      <c r="B266" s="31"/>
      <c r="C266" s="176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>
      <c r="A267" s="31"/>
      <c r="B267" s="31"/>
      <c r="C267" s="176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>
      <c r="A268" s="31"/>
      <c r="B268" s="31"/>
      <c r="C268" s="176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>
      <c r="A269" s="31"/>
      <c r="B269" s="31"/>
      <c r="C269" s="176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>
      <c r="A270" s="31"/>
      <c r="B270" s="31"/>
      <c r="C270" s="176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>
      <c r="A271" s="31"/>
      <c r="B271" s="31"/>
      <c r="C271" s="176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>
      <c r="A272" s="31"/>
      <c r="B272" s="31"/>
      <c r="C272" s="176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>
      <c r="A273" s="31"/>
      <c r="B273" s="31"/>
      <c r="C273" s="176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>
      <c r="A274" s="31"/>
      <c r="B274" s="31"/>
      <c r="C274" s="176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>
      <c r="A275" s="31"/>
      <c r="B275" s="31"/>
      <c r="C275" s="176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>
      <c r="A276" s="31"/>
      <c r="B276" s="31"/>
      <c r="C276" s="176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>
      <c r="A277" s="31"/>
      <c r="B277" s="31"/>
      <c r="C277" s="176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>
      <c r="A278" s="31"/>
      <c r="B278" s="31"/>
      <c r="C278" s="176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>
      <c r="A279" s="31"/>
      <c r="B279" s="31"/>
      <c r="C279" s="176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>
      <c r="A280" s="31"/>
      <c r="B280" s="31"/>
      <c r="C280" s="176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>
      <c r="A281" s="31"/>
      <c r="B281" s="31"/>
      <c r="C281" s="176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>
      <c r="A282" s="31"/>
      <c r="B282" s="31"/>
      <c r="C282" s="176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>
      <c r="A283" s="31"/>
      <c r="B283" s="31"/>
      <c r="C283" s="176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>
      <c r="A284" s="31"/>
      <c r="B284" s="31"/>
      <c r="C284" s="176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>
      <c r="A285" s="31"/>
      <c r="B285" s="31"/>
      <c r="C285" s="176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>
      <c r="A286" s="31"/>
      <c r="B286" s="31"/>
      <c r="C286" s="176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>
      <c r="A287" s="31"/>
      <c r="B287" s="31"/>
      <c r="C287" s="176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>
      <c r="A288" s="31"/>
      <c r="B288" s="31"/>
      <c r="C288" s="176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>
      <c r="A289" s="31"/>
      <c r="B289" s="31"/>
      <c r="C289" s="176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>
      <c r="A290" s="31"/>
      <c r="B290" s="31"/>
      <c r="C290" s="176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>
      <c r="A291" s="31"/>
      <c r="B291" s="31"/>
      <c r="C291" s="176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>
      <c r="A292" s="31"/>
      <c r="B292" s="31"/>
      <c r="C292" s="176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>
      <c r="A293" s="31"/>
      <c r="B293" s="31"/>
      <c r="C293" s="176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>
      <c r="A294" s="31"/>
      <c r="B294" s="31"/>
      <c r="C294" s="176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>
      <c r="A295" s="31"/>
      <c r="B295" s="31"/>
      <c r="C295" s="176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>
      <c r="A296" s="31"/>
      <c r="B296" s="31"/>
      <c r="C296" s="176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>
      <c r="A297" s="31"/>
      <c r="B297" s="31"/>
      <c r="C297" s="176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>
      <c r="A298" s="31"/>
      <c r="B298" s="31"/>
      <c r="C298" s="176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>
      <c r="A299" s="31"/>
      <c r="B299" s="31"/>
      <c r="C299" s="176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>
      <c r="A300" s="31"/>
      <c r="B300" s="31"/>
      <c r="C300" s="176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>
      <c r="A301" s="31"/>
      <c r="B301" s="31"/>
      <c r="C301" s="176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>
      <c r="A302" s="31"/>
      <c r="B302" s="31"/>
      <c r="C302" s="176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>
      <c r="A303" s="31"/>
      <c r="B303" s="31"/>
      <c r="C303" s="176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>
      <c r="A304" s="31"/>
      <c r="B304" s="31"/>
      <c r="C304" s="176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>
      <c r="A305" s="31"/>
      <c r="B305" s="31"/>
      <c r="C305" s="176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>
      <c r="A306" s="31"/>
      <c r="B306" s="31"/>
      <c r="C306" s="176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>
      <c r="A307" s="31"/>
      <c r="B307" s="31"/>
      <c r="C307" s="176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>
      <c r="A308" s="31"/>
      <c r="B308" s="31"/>
      <c r="C308" s="176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>
      <c r="A309" s="31"/>
      <c r="B309" s="31"/>
      <c r="C309" s="176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>
      <c r="A310" s="31"/>
      <c r="B310" s="31"/>
      <c r="C310" s="176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>
      <c r="A311" s="31"/>
      <c r="B311" s="31"/>
      <c r="C311" s="176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>
      <c r="A312" s="31"/>
      <c r="B312" s="31"/>
      <c r="C312" s="176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>
      <c r="A313" s="31"/>
      <c r="B313" s="31"/>
      <c r="C313" s="176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>
      <c r="A314" s="31"/>
      <c r="B314" s="31"/>
      <c r="C314" s="176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>
      <c r="A315" s="31"/>
      <c r="B315" s="31"/>
      <c r="C315" s="176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>
      <c r="A316" s="31"/>
      <c r="B316" s="31"/>
      <c r="C316" s="176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>
      <c r="A317" s="31"/>
      <c r="B317" s="31"/>
      <c r="C317" s="176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>
      <c r="A318" s="31"/>
      <c r="B318" s="31"/>
      <c r="C318" s="176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>
      <c r="A319" s="31"/>
      <c r="B319" s="31"/>
      <c r="C319" s="176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>
      <c r="A320" s="31"/>
      <c r="B320" s="31"/>
      <c r="C320" s="176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>
      <c r="A321" s="31"/>
      <c r="B321" s="31"/>
      <c r="C321" s="176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>
      <c r="A322" s="31"/>
      <c r="B322" s="31"/>
      <c r="C322" s="176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>
      <c r="A323" s="31"/>
      <c r="B323" s="31"/>
      <c r="C323" s="176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>
      <c r="A324" s="31"/>
      <c r="B324" s="31"/>
      <c r="C324" s="176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>
      <c r="A325" s="31"/>
      <c r="B325" s="31"/>
      <c r="C325" s="176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>
      <c r="A326" s="31"/>
      <c r="B326" s="31"/>
      <c r="C326" s="176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>
      <c r="A327" s="31"/>
      <c r="B327" s="31"/>
      <c r="C327" s="176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>
      <c r="A328" s="31"/>
      <c r="B328" s="31"/>
      <c r="C328" s="176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>
      <c r="A329" s="31"/>
      <c r="B329" s="31"/>
      <c r="C329" s="176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>
      <c r="A330" s="31"/>
      <c r="B330" s="31"/>
      <c r="C330" s="176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>
      <c r="A331" s="31"/>
      <c r="B331" s="31"/>
      <c r="C331" s="176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>
      <c r="A332" s="31"/>
      <c r="B332" s="31"/>
      <c r="C332" s="176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>
      <c r="A333" s="31"/>
      <c r="B333" s="31"/>
      <c r="C333" s="176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>
      <c r="A334" s="31"/>
      <c r="B334" s="31"/>
      <c r="C334" s="176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>
      <c r="A335" s="31"/>
      <c r="B335" s="31"/>
      <c r="C335" s="176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>
      <c r="A336" s="31"/>
      <c r="B336" s="31"/>
      <c r="C336" s="176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>
      <c r="A337" s="31"/>
      <c r="B337" s="31"/>
      <c r="C337" s="176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>
      <c r="A338" s="31"/>
      <c r="B338" s="31"/>
      <c r="C338" s="176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>
      <c r="A339" s="31"/>
      <c r="B339" s="31"/>
      <c r="C339" s="176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>
      <c r="A340" s="31"/>
      <c r="B340" s="31"/>
      <c r="C340" s="176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>
      <c r="A341" s="31"/>
      <c r="B341" s="31"/>
      <c r="C341" s="176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>
      <c r="A342" s="31"/>
      <c r="B342" s="31"/>
      <c r="C342" s="176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>
      <c r="A343" s="31"/>
      <c r="B343" s="31"/>
      <c r="C343" s="176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>
      <c r="A344" s="31"/>
      <c r="B344" s="31"/>
      <c r="C344" s="176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>
      <c r="A345" s="31"/>
      <c r="B345" s="31"/>
      <c r="C345" s="176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>
      <c r="A346" s="31"/>
      <c r="B346" s="31"/>
      <c r="C346" s="176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>
      <c r="A347" s="31"/>
      <c r="B347" s="31"/>
      <c r="C347" s="176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>
      <c r="A348" s="31"/>
      <c r="B348" s="31"/>
      <c r="C348" s="176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>
      <c r="A349" s="31"/>
      <c r="B349" s="31"/>
      <c r="C349" s="176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>
      <c r="A350" s="31"/>
      <c r="B350" s="31"/>
      <c r="C350" s="176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>
      <c r="A351" s="31"/>
      <c r="B351" s="31"/>
      <c r="C351" s="176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>
      <c r="A352" s="31"/>
      <c r="B352" s="31"/>
      <c r="C352" s="176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>
      <c r="A353" s="31"/>
      <c r="B353" s="31"/>
      <c r="C353" s="176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>
      <c r="A354" s="31"/>
      <c r="B354" s="31"/>
      <c r="C354" s="176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>
      <c r="A355" s="31"/>
      <c r="B355" s="31"/>
      <c r="C355" s="176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>
      <c r="A356" s="31"/>
      <c r="B356" s="31"/>
      <c r="C356" s="176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>
      <c r="A357" s="31"/>
      <c r="B357" s="31"/>
      <c r="C357" s="176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>
      <c r="A358" s="31"/>
      <c r="B358" s="31"/>
      <c r="C358" s="176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>
      <c r="A359" s="31"/>
      <c r="B359" s="31"/>
      <c r="C359" s="176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>
      <c r="A360" s="31"/>
      <c r="B360" s="31"/>
      <c r="C360" s="176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>
      <c r="A361" s="31"/>
      <c r="B361" s="31"/>
      <c r="C361" s="176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>
      <c r="A362" s="31"/>
      <c r="B362" s="31"/>
      <c r="C362" s="176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>
      <c r="A363" s="31"/>
      <c r="B363" s="31"/>
      <c r="C363" s="176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>
      <c r="A364" s="31"/>
      <c r="B364" s="31"/>
      <c r="C364" s="176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>
      <c r="A365" s="31"/>
      <c r="B365" s="31"/>
      <c r="C365" s="176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>
      <c r="A366" s="31"/>
      <c r="B366" s="31"/>
      <c r="C366" s="176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>
      <c r="A367" s="31"/>
      <c r="B367" s="31"/>
      <c r="C367" s="176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>
      <c r="A368" s="31"/>
      <c r="B368" s="31"/>
      <c r="C368" s="176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>
      <c r="A369" s="31"/>
      <c r="B369" s="31"/>
      <c r="C369" s="176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>
      <c r="A370" s="31"/>
      <c r="B370" s="31"/>
      <c r="C370" s="176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>
      <c r="A371" s="31"/>
      <c r="B371" s="31"/>
      <c r="C371" s="176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>
      <c r="A372" s="31"/>
      <c r="B372" s="31"/>
      <c r="C372" s="176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>
      <c r="A373" s="31"/>
      <c r="B373" s="31"/>
      <c r="C373" s="176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>
      <c r="A374" s="31"/>
      <c r="B374" s="31"/>
      <c r="C374" s="176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>
      <c r="A375" s="31"/>
      <c r="B375" s="31"/>
      <c r="C375" s="176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>
      <c r="A376" s="31"/>
      <c r="B376" s="31"/>
      <c r="C376" s="176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>
      <c r="A377" s="31"/>
      <c r="B377" s="31"/>
      <c r="C377" s="176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>
      <c r="A378" s="31"/>
      <c r="B378" s="31"/>
      <c r="C378" s="176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>
      <c r="A379" s="31"/>
      <c r="B379" s="31"/>
      <c r="C379" s="176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>
      <c r="A380" s="31"/>
      <c r="B380" s="31"/>
      <c r="C380" s="176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>
      <c r="A381" s="31"/>
      <c r="B381" s="31"/>
      <c r="C381" s="176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>
      <c r="A382" s="31"/>
      <c r="B382" s="31"/>
      <c r="C382" s="176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>
      <c r="A383" s="31"/>
      <c r="B383" s="31"/>
      <c r="C383" s="176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>
      <c r="A384" s="31"/>
      <c r="B384" s="31"/>
      <c r="C384" s="176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>
      <c r="A385" s="31"/>
      <c r="B385" s="31"/>
      <c r="C385" s="176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>
      <c r="A386" s="31"/>
      <c r="B386" s="31"/>
      <c r="C386" s="176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>
      <c r="A387" s="31"/>
      <c r="B387" s="31"/>
      <c r="C387" s="176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>
      <c r="A388" s="31"/>
      <c r="B388" s="31"/>
      <c r="C388" s="176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>
      <c r="A389" s="31"/>
      <c r="B389" s="31"/>
      <c r="C389" s="176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>
      <c r="A390" s="31"/>
      <c r="B390" s="31"/>
      <c r="C390" s="176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>
      <c r="A391" s="31"/>
      <c r="B391" s="31"/>
      <c r="C391" s="176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>
      <c r="A392" s="31"/>
      <c r="B392" s="31"/>
      <c r="C392" s="176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>
      <c r="A393" s="31"/>
      <c r="B393" s="31"/>
      <c r="C393" s="176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>
      <c r="A394" s="31"/>
      <c r="B394" s="31"/>
      <c r="C394" s="176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>
      <c r="A395" s="31"/>
      <c r="B395" s="31"/>
      <c r="C395" s="176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>
      <c r="A396" s="31"/>
      <c r="B396" s="31"/>
      <c r="C396" s="176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>
      <c r="A397" s="31"/>
      <c r="B397" s="31"/>
      <c r="C397" s="176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>
      <c r="A398" s="31"/>
      <c r="B398" s="31"/>
      <c r="C398" s="176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>
      <c r="A399" s="31"/>
      <c r="B399" s="31"/>
      <c r="C399" s="176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>
      <c r="A400" s="31"/>
      <c r="B400" s="31"/>
      <c r="C400" s="176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>
      <c r="A401" s="31"/>
      <c r="B401" s="31"/>
      <c r="C401" s="176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>
      <c r="A402" s="31"/>
      <c r="B402" s="31"/>
      <c r="C402" s="176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>
      <c r="A403" s="31"/>
      <c r="B403" s="31"/>
      <c r="C403" s="176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>
      <c r="A404" s="31"/>
      <c r="B404" s="31"/>
      <c r="C404" s="176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>
      <c r="A405" s="31"/>
      <c r="B405" s="31"/>
      <c r="C405" s="176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>
      <c r="A406" s="31"/>
      <c r="B406" s="31"/>
      <c r="C406" s="176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>
      <c r="A407" s="31"/>
      <c r="B407" s="31"/>
      <c r="C407" s="176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>
      <c r="A408" s="31"/>
      <c r="B408" s="31"/>
      <c r="C408" s="176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>
      <c r="A409" s="31"/>
      <c r="B409" s="31"/>
      <c r="C409" s="176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>
      <c r="A410" s="31"/>
      <c r="B410" s="31"/>
      <c r="C410" s="176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>
      <c r="A411" s="31"/>
      <c r="B411" s="31"/>
      <c r="C411" s="176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>
      <c r="A412" s="31"/>
      <c r="B412" s="31"/>
      <c r="C412" s="176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>
      <c r="A413" s="31"/>
      <c r="B413" s="31"/>
      <c r="C413" s="176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>
      <c r="A414" s="31"/>
      <c r="B414" s="31"/>
      <c r="C414" s="176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>
      <c r="A415" s="31"/>
      <c r="B415" s="31"/>
      <c r="C415" s="176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>
      <c r="A416" s="31"/>
      <c r="B416" s="31"/>
      <c r="C416" s="176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>
      <c r="A417" s="31"/>
      <c r="B417" s="31"/>
      <c r="C417" s="176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>
      <c r="A418" s="31"/>
      <c r="B418" s="31"/>
      <c r="C418" s="176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>
      <c r="A419" s="31"/>
      <c r="B419" s="31"/>
      <c r="C419" s="176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>
      <c r="A420" s="31"/>
      <c r="B420" s="31"/>
      <c r="C420" s="176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>
      <c r="A421" s="31"/>
      <c r="B421" s="31"/>
      <c r="C421" s="176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>
      <c r="A422" s="31"/>
      <c r="B422" s="31"/>
      <c r="C422" s="176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>
      <c r="A423" s="31"/>
      <c r="B423" s="31"/>
      <c r="C423" s="176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>
      <c r="A424" s="31"/>
      <c r="B424" s="31"/>
      <c r="C424" s="176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>
      <c r="A425" s="31"/>
      <c r="B425" s="31"/>
      <c r="C425" s="176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>
      <c r="A426" s="31"/>
      <c r="B426" s="31"/>
      <c r="C426" s="176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>
      <c r="A427" s="31"/>
      <c r="B427" s="31"/>
      <c r="C427" s="176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>
      <c r="A428" s="31"/>
      <c r="B428" s="31"/>
      <c r="C428" s="176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>
      <c r="A429" s="31"/>
      <c r="B429" s="31"/>
      <c r="C429" s="176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>
      <c r="A430" s="31"/>
      <c r="B430" s="31"/>
      <c r="C430" s="176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>
      <c r="A431" s="31"/>
      <c r="B431" s="31"/>
      <c r="C431" s="176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>
      <c r="A432" s="31"/>
      <c r="B432" s="31"/>
      <c r="C432" s="176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>
      <c r="A433" s="31"/>
      <c r="B433" s="31"/>
      <c r="C433" s="176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>
      <c r="A434" s="31"/>
      <c r="B434" s="31"/>
      <c r="C434" s="176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>
      <c r="A435" s="31"/>
      <c r="B435" s="31"/>
      <c r="C435" s="176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>
      <c r="A436" s="31"/>
      <c r="B436" s="31"/>
      <c r="C436" s="176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>
      <c r="A437" s="31"/>
      <c r="B437" s="31"/>
      <c r="C437" s="176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>
      <c r="A438" s="31"/>
      <c r="B438" s="31"/>
      <c r="C438" s="176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>
      <c r="A439" s="31"/>
      <c r="B439" s="31"/>
      <c r="C439" s="176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>
      <c r="A440" s="31"/>
      <c r="B440" s="31"/>
      <c r="C440" s="176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>
      <c r="A441" s="31"/>
      <c r="B441" s="31"/>
      <c r="C441" s="176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>
      <c r="A442" s="31"/>
      <c r="B442" s="31"/>
      <c r="C442" s="176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>
      <c r="A443" s="31"/>
      <c r="B443" s="31"/>
      <c r="C443" s="176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>
      <c r="A444" s="31"/>
      <c r="B444" s="31"/>
      <c r="C444" s="176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>
      <c r="A445" s="31"/>
      <c r="B445" s="31"/>
      <c r="C445" s="176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>
      <c r="A446" s="31"/>
      <c r="B446" s="31"/>
      <c r="C446" s="176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>
      <c r="A447" s="31"/>
      <c r="B447" s="31"/>
      <c r="C447" s="176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>
      <c r="A448" s="31"/>
      <c r="B448" s="31"/>
      <c r="C448" s="176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>
      <c r="A449" s="31"/>
      <c r="B449" s="31"/>
      <c r="C449" s="176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>
      <c r="A450" s="31"/>
      <c r="B450" s="31"/>
      <c r="C450" s="176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>
      <c r="A451" s="31"/>
      <c r="B451" s="31"/>
      <c r="C451" s="176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>
      <c r="A452" s="31"/>
      <c r="B452" s="31"/>
      <c r="C452" s="176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>
      <c r="A453" s="31"/>
      <c r="B453" s="31"/>
      <c r="C453" s="176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>
      <c r="A454" s="31"/>
      <c r="B454" s="31"/>
      <c r="C454" s="176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>
      <c r="A455" s="31"/>
      <c r="B455" s="31"/>
      <c r="C455" s="176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>
      <c r="A456" s="31"/>
      <c r="B456" s="31"/>
      <c r="C456" s="176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>
      <c r="A457" s="31"/>
      <c r="B457" s="31"/>
      <c r="C457" s="176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>
      <c r="A458" s="31"/>
      <c r="B458" s="31"/>
      <c r="C458" s="176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>
      <c r="A459" s="31"/>
      <c r="B459" s="31"/>
      <c r="C459" s="176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>
      <c r="A460" s="31"/>
      <c r="B460" s="31"/>
      <c r="C460" s="176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>
      <c r="A461" s="31"/>
      <c r="B461" s="31"/>
      <c r="C461" s="176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>
      <c r="A462" s="31"/>
      <c r="B462" s="31"/>
      <c r="C462" s="176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>
      <c r="A463" s="31"/>
      <c r="B463" s="31"/>
      <c r="C463" s="176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>
      <c r="A464" s="31"/>
      <c r="B464" s="31"/>
      <c r="C464" s="176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>
      <c r="A465" s="31"/>
      <c r="B465" s="31"/>
      <c r="C465" s="176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>
      <c r="A466" s="31"/>
      <c r="B466" s="31"/>
      <c r="C466" s="176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>
      <c r="A467" s="31"/>
      <c r="B467" s="31"/>
      <c r="C467" s="176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>
      <c r="A468" s="31"/>
      <c r="B468" s="31"/>
      <c r="C468" s="176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>
      <c r="A469" s="31"/>
      <c r="B469" s="31"/>
      <c r="C469" s="176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>
      <c r="A470" s="31"/>
      <c r="B470" s="31"/>
      <c r="C470" s="176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>
      <c r="A471" s="31"/>
      <c r="B471" s="31"/>
      <c r="C471" s="176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>
      <c r="A472" s="31"/>
      <c r="B472" s="31"/>
      <c r="C472" s="176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>
      <c r="A473" s="31"/>
      <c r="B473" s="31"/>
      <c r="C473" s="176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>
      <c r="A474" s="31"/>
      <c r="B474" s="31"/>
      <c r="C474" s="176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>
      <c r="A475" s="31"/>
      <c r="B475" s="31"/>
      <c r="C475" s="176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>
      <c r="A476" s="31"/>
      <c r="B476" s="31"/>
      <c r="C476" s="176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>
      <c r="A477" s="31"/>
      <c r="B477" s="31"/>
      <c r="C477" s="176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>
      <c r="A478" s="31"/>
      <c r="B478" s="31"/>
      <c r="C478" s="176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>
      <c r="A479" s="31"/>
      <c r="B479" s="31"/>
      <c r="C479" s="176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>
      <c r="A480" s="31"/>
      <c r="B480" s="31"/>
      <c r="C480" s="176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>
      <c r="A481" s="31"/>
      <c r="B481" s="31"/>
      <c r="C481" s="176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>
      <c r="A482" s="31"/>
      <c r="B482" s="31"/>
      <c r="C482" s="176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>
      <c r="A483" s="31"/>
      <c r="B483" s="31"/>
      <c r="C483" s="176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>
      <c r="A484" s="31"/>
      <c r="B484" s="31"/>
      <c r="C484" s="176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>
      <c r="A485" s="31"/>
      <c r="B485" s="31"/>
      <c r="C485" s="176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>
      <c r="A486" s="31"/>
      <c r="B486" s="31"/>
      <c r="C486" s="176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>
      <c r="A487" s="31"/>
      <c r="B487" s="31"/>
      <c r="C487" s="176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>
      <c r="A488" s="31"/>
      <c r="B488" s="31"/>
      <c r="C488" s="17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>
      <c r="A489" s="31"/>
      <c r="B489" s="31"/>
      <c r="C489" s="176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>
      <c r="A490" s="31"/>
      <c r="B490" s="31"/>
      <c r="C490" s="176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>
      <c r="A491" s="31"/>
      <c r="B491" s="31"/>
      <c r="C491" s="176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>
      <c r="A492" s="31"/>
      <c r="B492" s="31"/>
      <c r="C492" s="176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>
      <c r="A493" s="31"/>
      <c r="B493" s="31"/>
      <c r="C493" s="176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>
      <c r="A494" s="31"/>
      <c r="B494" s="31"/>
      <c r="C494" s="176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>
      <c r="A495" s="31"/>
      <c r="B495" s="31"/>
      <c r="C495" s="176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>
      <c r="A496" s="31"/>
      <c r="B496" s="31"/>
      <c r="C496" s="17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>
      <c r="A497" s="31"/>
      <c r="B497" s="31"/>
      <c r="C497" s="176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>
      <c r="A498" s="31"/>
      <c r="B498" s="31"/>
      <c r="C498" s="176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>
      <c r="A499" s="31"/>
      <c r="B499" s="31"/>
      <c r="C499" s="176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>
      <c r="A500" s="31"/>
      <c r="B500" s="31"/>
      <c r="C500" s="176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>
      <c r="A501" s="31"/>
      <c r="B501" s="31"/>
      <c r="C501" s="176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>
      <c r="A502" s="31"/>
      <c r="B502" s="31"/>
      <c r="C502" s="176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>
      <c r="A503" s="31"/>
      <c r="B503" s="31"/>
      <c r="C503" s="176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>
      <c r="A504" s="31"/>
      <c r="B504" s="31"/>
      <c r="C504" s="176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>
      <c r="A505" s="31"/>
      <c r="B505" s="31"/>
      <c r="C505" s="176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>
      <c r="A506" s="31"/>
      <c r="B506" s="31"/>
      <c r="C506" s="176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>
      <c r="A507" s="31"/>
      <c r="B507" s="31"/>
      <c r="C507" s="176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>
      <c r="A508" s="31"/>
      <c r="B508" s="31"/>
      <c r="C508" s="176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>
      <c r="A509" s="31"/>
      <c r="B509" s="31"/>
      <c r="C509" s="176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>
      <c r="A510" s="31"/>
      <c r="B510" s="31"/>
      <c r="C510" s="176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>
      <c r="A511" s="31"/>
      <c r="B511" s="31"/>
      <c r="C511" s="176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>
      <c r="A512" s="31"/>
      <c r="B512" s="31"/>
      <c r="C512" s="176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>
      <c r="A513" s="31"/>
      <c r="B513" s="31"/>
      <c r="C513" s="176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>
      <c r="A514" s="31"/>
      <c r="B514" s="31"/>
      <c r="C514" s="176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>
      <c r="A515" s="31"/>
      <c r="B515" s="31"/>
      <c r="C515" s="176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>
      <c r="A516" s="31"/>
      <c r="B516" s="31"/>
      <c r="C516" s="176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>
      <c r="A517" s="31"/>
      <c r="B517" s="31"/>
      <c r="C517" s="176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>
      <c r="A518" s="31"/>
      <c r="B518" s="31"/>
      <c r="C518" s="176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>
      <c r="A519" s="31"/>
      <c r="B519" s="31"/>
      <c r="C519" s="176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>
      <c r="A520" s="31"/>
      <c r="B520" s="31"/>
      <c r="C520" s="176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>
      <c r="A521" s="31"/>
      <c r="B521" s="31"/>
      <c r="C521" s="176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>
      <c r="A522" s="31"/>
      <c r="B522" s="31"/>
      <c r="C522" s="176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>
      <c r="A523" s="31"/>
      <c r="B523" s="31"/>
      <c r="C523" s="176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>
      <c r="A524" s="31"/>
      <c r="B524" s="31"/>
      <c r="C524" s="176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>
      <c r="A525" s="31"/>
      <c r="B525" s="31"/>
      <c r="C525" s="176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>
      <c r="A526" s="31"/>
      <c r="B526" s="31"/>
      <c r="C526" s="176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>
      <c r="A527" s="31"/>
      <c r="B527" s="31"/>
      <c r="C527" s="176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>
      <c r="A528" s="31"/>
      <c r="B528" s="31"/>
      <c r="C528" s="176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>
      <c r="A529" s="31"/>
      <c r="B529" s="31"/>
      <c r="C529" s="176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>
      <c r="A530" s="31"/>
      <c r="B530" s="31"/>
      <c r="C530" s="176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>
      <c r="A531" s="31"/>
      <c r="B531" s="31"/>
      <c r="C531" s="176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>
      <c r="A532" s="31"/>
      <c r="B532" s="31"/>
      <c r="C532" s="176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>
      <c r="A533" s="31"/>
      <c r="B533" s="31"/>
      <c r="C533" s="176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>
      <c r="A534" s="31"/>
      <c r="B534" s="31"/>
      <c r="C534" s="176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>
      <c r="A535" s="31"/>
      <c r="B535" s="31"/>
      <c r="C535" s="176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>
      <c r="A536" s="31"/>
      <c r="B536" s="31"/>
      <c r="C536" s="176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>
      <c r="A537" s="31"/>
      <c r="B537" s="31"/>
      <c r="C537" s="176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>
      <c r="A538" s="31"/>
      <c r="B538" s="31"/>
      <c r="C538" s="176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>
      <c r="A539" s="31"/>
      <c r="B539" s="31"/>
      <c r="C539" s="176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>
      <c r="A540" s="31"/>
      <c r="B540" s="31"/>
      <c r="C540" s="176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>
      <c r="A541" s="31"/>
      <c r="B541" s="31"/>
      <c r="C541" s="176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>
      <c r="A542" s="31"/>
      <c r="B542" s="31"/>
      <c r="C542" s="176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>
      <c r="A543" s="31"/>
      <c r="B543" s="31"/>
      <c r="C543" s="176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>
      <c r="A544" s="31"/>
      <c r="B544" s="31"/>
      <c r="C544" s="176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>
      <c r="A545" s="31"/>
      <c r="B545" s="31"/>
      <c r="C545" s="176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>
      <c r="A546" s="31"/>
      <c r="B546" s="31"/>
      <c r="C546" s="176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>
      <c r="A547" s="31"/>
      <c r="B547" s="31"/>
      <c r="C547" s="176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>
      <c r="A548" s="31"/>
      <c r="B548" s="31"/>
      <c r="C548" s="176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>
      <c r="A549" s="31"/>
      <c r="B549" s="31"/>
      <c r="C549" s="176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>
      <c r="A550" s="31"/>
      <c r="B550" s="31"/>
      <c r="C550" s="176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>
      <c r="A551" s="31"/>
      <c r="B551" s="31"/>
      <c r="C551" s="176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>
      <c r="A552" s="31"/>
      <c r="B552" s="31"/>
      <c r="C552" s="176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>
      <c r="A553" s="31"/>
      <c r="B553" s="31"/>
      <c r="C553" s="176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>
      <c r="A554" s="31"/>
      <c r="B554" s="31"/>
      <c r="C554" s="176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>
      <c r="A555" s="31"/>
      <c r="B555" s="31"/>
      <c r="C555" s="176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>
      <c r="A556" s="31"/>
      <c r="B556" s="31"/>
      <c r="C556" s="176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>
      <c r="A557" s="31"/>
      <c r="B557" s="31"/>
      <c r="C557" s="176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>
      <c r="A558" s="31"/>
      <c r="B558" s="31"/>
      <c r="C558" s="176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>
      <c r="A559" s="31"/>
      <c r="B559" s="31"/>
      <c r="C559" s="176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>
      <c r="A560" s="31"/>
      <c r="B560" s="31"/>
      <c r="C560" s="176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>
      <c r="A561" s="31"/>
      <c r="B561" s="31"/>
      <c r="C561" s="176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>
      <c r="A562" s="31"/>
      <c r="B562" s="31"/>
      <c r="C562" s="176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>
      <c r="A563" s="31"/>
      <c r="B563" s="31"/>
      <c r="C563" s="176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>
      <c r="A564" s="31"/>
      <c r="B564" s="31"/>
      <c r="C564" s="176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>
      <c r="A565" s="31"/>
      <c r="B565" s="31"/>
      <c r="C565" s="176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>
      <c r="A566" s="31"/>
      <c r="B566" s="31"/>
      <c r="C566" s="176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>
      <c r="A567" s="31"/>
      <c r="B567" s="31"/>
      <c r="C567" s="176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>
      <c r="A568" s="31"/>
      <c r="B568" s="31"/>
      <c r="C568" s="176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>
      <c r="A569" s="31"/>
      <c r="B569" s="31"/>
      <c r="C569" s="176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>
      <c r="A570" s="31"/>
      <c r="B570" s="31"/>
      <c r="C570" s="176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>
      <c r="A571" s="31"/>
      <c r="B571" s="31"/>
      <c r="C571" s="176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>
      <c r="A572" s="31"/>
      <c r="B572" s="31"/>
      <c r="C572" s="176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>
      <c r="A573" s="31"/>
      <c r="B573" s="31"/>
      <c r="C573" s="176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>
      <c r="A574" s="31"/>
      <c r="B574" s="31"/>
      <c r="C574" s="176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>
      <c r="A575" s="31"/>
      <c r="B575" s="31"/>
      <c r="C575" s="176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>
      <c r="A576" s="31"/>
      <c r="B576" s="31"/>
      <c r="C576" s="176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>
      <c r="A577" s="31"/>
      <c r="B577" s="31"/>
      <c r="C577" s="176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>
      <c r="A578" s="31"/>
      <c r="B578" s="31"/>
      <c r="C578" s="176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>
      <c r="A579" s="31"/>
      <c r="B579" s="31"/>
      <c r="C579" s="176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>
      <c r="A580" s="31"/>
      <c r="B580" s="31"/>
      <c r="C580" s="176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>
      <c r="A581" s="31"/>
      <c r="B581" s="31"/>
      <c r="C581" s="176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>
      <c r="A582" s="31"/>
      <c r="B582" s="31"/>
      <c r="C582" s="176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>
      <c r="A583" s="31"/>
      <c r="B583" s="31"/>
      <c r="C583" s="176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>
      <c r="A584" s="31"/>
      <c r="B584" s="31"/>
      <c r="C584" s="176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>
      <c r="A585" s="31"/>
      <c r="B585" s="31"/>
      <c r="C585" s="176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>
      <c r="A586" s="31"/>
      <c r="B586" s="31"/>
      <c r="C586" s="176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>
      <c r="A587" s="31"/>
      <c r="B587" s="31"/>
      <c r="C587" s="176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>
      <c r="A588" s="31"/>
      <c r="B588" s="31"/>
      <c r="C588" s="176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>
      <c r="A589" s="31"/>
      <c r="B589" s="31"/>
      <c r="C589" s="176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>
      <c r="A590" s="31"/>
      <c r="B590" s="31"/>
      <c r="C590" s="176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>
      <c r="A591" s="31"/>
      <c r="B591" s="31"/>
      <c r="C591" s="176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>
      <c r="A592" s="31"/>
      <c r="B592" s="31"/>
      <c r="C592" s="176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>
      <c r="A593" s="31"/>
      <c r="B593" s="31"/>
      <c r="C593" s="176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>
      <c r="A594" s="31"/>
      <c r="B594" s="31"/>
      <c r="C594" s="176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>
      <c r="A595" s="31"/>
      <c r="B595" s="31"/>
      <c r="C595" s="176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>
      <c r="A596" s="31"/>
      <c r="B596" s="31"/>
      <c r="C596" s="176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>
      <c r="A597" s="31"/>
      <c r="B597" s="31"/>
      <c r="C597" s="176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>
      <c r="A598" s="31"/>
      <c r="B598" s="31"/>
      <c r="C598" s="176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>
      <c r="A599" s="31"/>
      <c r="B599" s="31"/>
      <c r="C599" s="176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>
      <c r="A600" s="31"/>
      <c r="B600" s="31"/>
      <c r="C600" s="176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>
      <c r="A601" s="31"/>
      <c r="B601" s="31"/>
      <c r="C601" s="176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>
      <c r="A602" s="31"/>
      <c r="B602" s="31"/>
      <c r="C602" s="176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>
      <c r="A603" s="31"/>
      <c r="B603" s="31"/>
      <c r="C603" s="176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>
      <c r="A604" s="31"/>
      <c r="B604" s="31"/>
      <c r="C604" s="176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>
      <c r="A605" s="31"/>
      <c r="B605" s="31"/>
      <c r="C605" s="176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>
      <c r="A606" s="31"/>
      <c r="B606" s="31"/>
      <c r="C606" s="176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>
      <c r="A607" s="31"/>
      <c r="B607" s="31"/>
      <c r="C607" s="176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>
      <c r="A608" s="31"/>
      <c r="B608" s="31"/>
      <c r="C608" s="176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>
      <c r="A609" s="31"/>
      <c r="B609" s="31"/>
      <c r="C609" s="176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>
      <c r="A610" s="31"/>
      <c r="B610" s="31"/>
      <c r="C610" s="176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>
      <c r="A611" s="31"/>
      <c r="B611" s="31"/>
      <c r="C611" s="176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>
      <c r="A612" s="31"/>
      <c r="B612" s="31"/>
      <c r="C612" s="176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>
      <c r="A613" s="31"/>
      <c r="B613" s="31"/>
      <c r="C613" s="176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>
      <c r="A614" s="31"/>
      <c r="B614" s="31"/>
      <c r="C614" s="176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>
      <c r="A615" s="31"/>
      <c r="B615" s="31"/>
      <c r="C615" s="176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>
      <c r="A616" s="31"/>
      <c r="B616" s="31"/>
      <c r="C616" s="176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>
      <c r="A617" s="31"/>
      <c r="B617" s="31"/>
      <c r="C617" s="176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>
      <c r="A618" s="31"/>
      <c r="B618" s="31"/>
      <c r="C618" s="176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>
      <c r="A619" s="31"/>
      <c r="B619" s="31"/>
      <c r="C619" s="176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>
      <c r="A620" s="31"/>
      <c r="B620" s="31"/>
      <c r="C620" s="176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>
      <c r="A621" s="31"/>
      <c r="B621" s="31"/>
      <c r="C621" s="176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>
      <c r="A622" s="31"/>
      <c r="B622" s="31"/>
      <c r="C622" s="176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>
      <c r="A623" s="31"/>
      <c r="B623" s="31"/>
      <c r="C623" s="176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>
      <c r="A624" s="31"/>
      <c r="B624" s="31"/>
      <c r="C624" s="176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>
      <c r="A625" s="31"/>
      <c r="B625" s="31"/>
      <c r="C625" s="176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>
      <c r="A626" s="31"/>
      <c r="B626" s="31"/>
      <c r="C626" s="176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>
      <c r="A627" s="31"/>
      <c r="B627" s="31"/>
      <c r="C627" s="176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>
      <c r="A628" s="31"/>
      <c r="B628" s="31"/>
      <c r="C628" s="176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>
      <c r="A629" s="31"/>
      <c r="B629" s="31"/>
      <c r="C629" s="176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>
      <c r="A630" s="31"/>
      <c r="B630" s="31"/>
      <c r="C630" s="176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>
      <c r="A631" s="31"/>
      <c r="B631" s="31"/>
      <c r="C631" s="176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>
      <c r="A632" s="31"/>
      <c r="B632" s="31"/>
      <c r="C632" s="176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>
      <c r="A633" s="31"/>
      <c r="B633" s="31"/>
      <c r="C633" s="176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>
      <c r="A634" s="31"/>
      <c r="B634" s="31"/>
      <c r="C634" s="176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>
      <c r="A635" s="31"/>
      <c r="B635" s="31"/>
      <c r="C635" s="176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>
      <c r="A636" s="31"/>
      <c r="B636" s="31"/>
      <c r="C636" s="176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>
      <c r="A637" s="31"/>
      <c r="B637" s="31"/>
      <c r="C637" s="176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>
      <c r="A638" s="31"/>
      <c r="B638" s="31"/>
      <c r="C638" s="176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>
      <c r="A639" s="31"/>
      <c r="B639" s="31"/>
      <c r="C639" s="176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>
      <c r="A640" s="31"/>
      <c r="B640" s="31"/>
      <c r="C640" s="176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>
      <c r="A641" s="31"/>
      <c r="B641" s="31"/>
      <c r="C641" s="176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>
      <c r="A642" s="31"/>
      <c r="B642" s="31"/>
      <c r="C642" s="176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>
      <c r="A643" s="31"/>
      <c r="B643" s="31"/>
      <c r="C643" s="176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>
      <c r="A644" s="31"/>
      <c r="B644" s="31"/>
      <c r="C644" s="176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>
      <c r="A645" s="31"/>
      <c r="B645" s="31"/>
      <c r="C645" s="176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>
      <c r="A646" s="31"/>
      <c r="B646" s="31"/>
      <c r="C646" s="176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>
      <c r="A647" s="31"/>
      <c r="B647" s="31"/>
      <c r="C647" s="176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>
      <c r="A648" s="31"/>
      <c r="B648" s="31"/>
      <c r="C648" s="176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>
      <c r="A649" s="31"/>
      <c r="B649" s="31"/>
      <c r="C649" s="176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>
      <c r="A650" s="31"/>
      <c r="B650" s="31"/>
      <c r="C650" s="176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>
      <c r="A651" s="31"/>
      <c r="B651" s="31"/>
      <c r="C651" s="176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>
      <c r="A652" s="31"/>
      <c r="B652" s="31"/>
      <c r="C652" s="176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>
      <c r="A653" s="31"/>
      <c r="B653" s="31"/>
      <c r="C653" s="176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>
      <c r="A654" s="31"/>
      <c r="B654" s="31"/>
      <c r="C654" s="176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>
      <c r="A655" s="31"/>
      <c r="B655" s="31"/>
      <c r="C655" s="176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>
      <c r="A656" s="31"/>
      <c r="B656" s="31"/>
      <c r="C656" s="176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>
      <c r="A657" s="31"/>
      <c r="B657" s="31"/>
      <c r="C657" s="176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>
      <c r="A658" s="31"/>
      <c r="B658" s="31"/>
      <c r="C658" s="176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>
      <c r="A659" s="31"/>
      <c r="B659" s="31"/>
      <c r="C659" s="176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>
      <c r="A660" s="31"/>
      <c r="B660" s="31"/>
      <c r="C660" s="176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>
      <c r="A661" s="31"/>
      <c r="B661" s="31"/>
      <c r="C661" s="176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>
      <c r="A662" s="31"/>
      <c r="B662" s="31"/>
      <c r="C662" s="176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>
      <c r="A663" s="31"/>
      <c r="B663" s="31"/>
      <c r="C663" s="176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>
      <c r="A664" s="31"/>
      <c r="B664" s="31"/>
      <c r="C664" s="176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>
      <c r="A665" s="31"/>
      <c r="B665" s="31"/>
      <c r="C665" s="176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>
      <c r="A666" s="31"/>
      <c r="B666" s="31"/>
      <c r="C666" s="176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>
      <c r="A667" s="31"/>
      <c r="B667" s="31"/>
      <c r="C667" s="176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>
      <c r="A668" s="31"/>
      <c r="B668" s="31"/>
      <c r="C668" s="176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>
      <c r="A669" s="31"/>
      <c r="B669" s="31"/>
      <c r="C669" s="176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>
      <c r="A670" s="31"/>
      <c r="B670" s="31"/>
      <c r="C670" s="176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>
      <c r="A671" s="31"/>
      <c r="B671" s="31"/>
      <c r="C671" s="176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>
      <c r="A672" s="31"/>
      <c r="B672" s="31"/>
      <c r="C672" s="176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>
      <c r="A673" s="31"/>
      <c r="B673" s="31"/>
      <c r="C673" s="176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>
      <c r="A674" s="31"/>
      <c r="B674" s="31"/>
      <c r="C674" s="176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>
      <c r="A675" s="31"/>
      <c r="B675" s="31"/>
      <c r="C675" s="176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>
      <c r="A676" s="31"/>
      <c r="B676" s="31"/>
      <c r="C676" s="176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>
      <c r="A677" s="31"/>
      <c r="B677" s="31"/>
      <c r="C677" s="176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>
      <c r="A678" s="31"/>
      <c r="B678" s="31"/>
      <c r="C678" s="176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>
      <c r="A679" s="31"/>
      <c r="B679" s="31"/>
      <c r="C679" s="176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>
      <c r="A680" s="31"/>
      <c r="B680" s="31"/>
      <c r="C680" s="176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>
      <c r="A681" s="31"/>
      <c r="B681" s="31"/>
      <c r="C681" s="176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>
      <c r="A682" s="31"/>
      <c r="B682" s="31"/>
      <c r="C682" s="176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>
      <c r="A683" s="31"/>
      <c r="B683" s="31"/>
      <c r="C683" s="176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>
      <c r="A684" s="31"/>
      <c r="B684" s="31"/>
      <c r="C684" s="176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>
      <c r="A685" s="31"/>
      <c r="B685" s="31"/>
      <c r="C685" s="176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>
      <c r="A686" s="31"/>
      <c r="B686" s="31"/>
      <c r="C686" s="176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>
      <c r="A687" s="31"/>
      <c r="B687" s="31"/>
      <c r="C687" s="176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>
      <c r="A688" s="31"/>
      <c r="B688" s="31"/>
      <c r="C688" s="176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>
      <c r="A689" s="31"/>
      <c r="B689" s="31"/>
      <c r="C689" s="176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>
      <c r="A690" s="31"/>
      <c r="B690" s="31"/>
      <c r="C690" s="176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>
      <c r="A691" s="31"/>
      <c r="B691" s="31"/>
      <c r="C691" s="176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>
      <c r="A692" s="31"/>
      <c r="B692" s="31"/>
      <c r="C692" s="176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>
      <c r="A693" s="31"/>
      <c r="B693" s="31"/>
      <c r="C693" s="176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>
      <c r="A694" s="31"/>
      <c r="B694" s="31"/>
      <c r="C694" s="176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>
      <c r="A695" s="31"/>
      <c r="B695" s="31"/>
      <c r="C695" s="176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>
      <c r="A696" s="31"/>
      <c r="B696" s="31"/>
      <c r="C696" s="176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>
      <c r="A697" s="31"/>
      <c r="B697" s="31"/>
      <c r="C697" s="176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>
      <c r="A698" s="31"/>
      <c r="B698" s="31"/>
      <c r="C698" s="176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>
      <c r="A699" s="31"/>
      <c r="B699" s="31"/>
      <c r="C699" s="176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>
      <c r="A700" s="31"/>
      <c r="B700" s="31"/>
      <c r="C700" s="176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>
      <c r="A701" s="31"/>
      <c r="B701" s="31"/>
      <c r="C701" s="176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>
      <c r="A702" s="31"/>
      <c r="B702" s="31"/>
      <c r="C702" s="176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>
      <c r="A703" s="31"/>
      <c r="B703" s="31"/>
      <c r="C703" s="176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>
      <c r="A704" s="31"/>
      <c r="B704" s="31"/>
      <c r="C704" s="176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>
      <c r="A705" s="31"/>
      <c r="B705" s="31"/>
      <c r="C705" s="176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>
      <c r="A706" s="31"/>
      <c r="B706" s="31"/>
      <c r="C706" s="176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>
      <c r="A707" s="31"/>
      <c r="B707" s="31"/>
      <c r="C707" s="176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>
      <c r="A708" s="31"/>
      <c r="B708" s="31"/>
      <c r="C708" s="176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>
      <c r="A709" s="31"/>
      <c r="B709" s="31"/>
      <c r="C709" s="176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>
      <c r="A710" s="31"/>
      <c r="B710" s="31"/>
      <c r="C710" s="176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>
      <c r="A711" s="31"/>
      <c r="B711" s="31"/>
      <c r="C711" s="176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>
      <c r="A712" s="31"/>
      <c r="B712" s="31"/>
      <c r="C712" s="176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>
      <c r="A713" s="31"/>
      <c r="B713" s="31"/>
      <c r="C713" s="176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>
      <c r="A714" s="31"/>
      <c r="B714" s="31"/>
      <c r="C714" s="176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>
      <c r="A715" s="31"/>
      <c r="B715" s="31"/>
      <c r="C715" s="176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>
      <c r="A716" s="31"/>
      <c r="B716" s="31"/>
      <c r="C716" s="176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>
      <c r="A717" s="31"/>
      <c r="B717" s="31"/>
      <c r="C717" s="176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>
      <c r="A718" s="31"/>
      <c r="B718" s="31"/>
      <c r="C718" s="176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>
      <c r="A719" s="31"/>
      <c r="B719" s="31"/>
      <c r="C719" s="176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>
      <c r="A720" s="31"/>
      <c r="B720" s="31"/>
      <c r="C720" s="176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>
      <c r="A721" s="31"/>
      <c r="B721" s="31"/>
      <c r="C721" s="176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>
      <c r="A722" s="31"/>
      <c r="B722" s="31"/>
      <c r="C722" s="176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>
      <c r="A723" s="31"/>
      <c r="B723" s="31"/>
      <c r="C723" s="176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>
      <c r="A724" s="31"/>
      <c r="B724" s="31"/>
      <c r="C724" s="176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>
      <c r="A725" s="31"/>
      <c r="B725" s="31"/>
      <c r="C725" s="176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>
      <c r="A726" s="31"/>
      <c r="B726" s="31"/>
      <c r="C726" s="176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>
      <c r="A727" s="31"/>
      <c r="B727" s="31"/>
      <c r="C727" s="176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>
      <c r="A728" s="31"/>
      <c r="B728" s="31"/>
      <c r="C728" s="176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>
      <c r="A729" s="31"/>
      <c r="B729" s="31"/>
      <c r="C729" s="176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>
      <c r="A730" s="31"/>
      <c r="B730" s="31"/>
      <c r="C730" s="176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>
      <c r="A731" s="31"/>
      <c r="B731" s="31"/>
      <c r="C731" s="176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>
      <c r="A732" s="31"/>
      <c r="B732" s="31"/>
      <c r="C732" s="176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>
      <c r="A733" s="31"/>
      <c r="B733" s="31"/>
      <c r="C733" s="176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>
      <c r="A734" s="31"/>
      <c r="B734" s="31"/>
      <c r="C734" s="176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>
      <c r="A735" s="31"/>
      <c r="B735" s="31"/>
      <c r="C735" s="176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>
      <c r="A736" s="31"/>
      <c r="B736" s="31"/>
      <c r="C736" s="176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>
      <c r="A737" s="31"/>
      <c r="B737" s="31"/>
      <c r="C737" s="176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>
      <c r="A738" s="31"/>
      <c r="B738" s="31"/>
      <c r="C738" s="176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>
      <c r="A739" s="31"/>
      <c r="B739" s="31"/>
      <c r="C739" s="176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>
      <c r="A740" s="31"/>
      <c r="B740" s="31"/>
      <c r="C740" s="176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>
      <c r="A741" s="31"/>
      <c r="B741" s="31"/>
      <c r="C741" s="176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>
      <c r="A742" s="31"/>
      <c r="B742" s="31"/>
      <c r="C742" s="176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>
      <c r="A743" s="31"/>
      <c r="B743" s="31"/>
      <c r="C743" s="176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>
      <c r="A744" s="31"/>
      <c r="B744" s="31"/>
      <c r="C744" s="176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>
      <c r="A745" s="31"/>
      <c r="B745" s="31"/>
      <c r="C745" s="176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>
      <c r="A746" s="31"/>
      <c r="B746" s="31"/>
      <c r="C746" s="176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>
      <c r="A747" s="31"/>
      <c r="B747" s="31"/>
      <c r="C747" s="176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>
      <c r="A748" s="31"/>
      <c r="B748" s="31"/>
      <c r="C748" s="176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>
      <c r="A749" s="31"/>
      <c r="B749" s="31"/>
      <c r="C749" s="176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>
      <c r="A750" s="31"/>
      <c r="B750" s="31"/>
      <c r="C750" s="176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>
      <c r="A751" s="31"/>
      <c r="B751" s="31"/>
      <c r="C751" s="176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>
      <c r="A752" s="31"/>
      <c r="B752" s="31"/>
      <c r="C752" s="176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>
      <c r="A753" s="31"/>
      <c r="B753" s="31"/>
      <c r="C753" s="176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>
      <c r="A754" s="31"/>
      <c r="B754" s="31"/>
      <c r="C754" s="176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>
      <c r="A755" s="31"/>
      <c r="B755" s="31"/>
      <c r="C755" s="176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>
      <c r="A756" s="31"/>
      <c r="B756" s="31"/>
      <c r="C756" s="176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>
      <c r="A757" s="31"/>
      <c r="B757" s="31"/>
      <c r="C757" s="176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>
      <c r="A758" s="31"/>
      <c r="B758" s="31"/>
      <c r="C758" s="176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>
      <c r="A759" s="31"/>
      <c r="B759" s="31"/>
      <c r="C759" s="176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>
      <c r="A760" s="31"/>
      <c r="B760" s="31"/>
      <c r="C760" s="176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>
      <c r="A761" s="31"/>
      <c r="B761" s="31"/>
      <c r="C761" s="176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>
      <c r="A762" s="31"/>
      <c r="B762" s="31"/>
      <c r="C762" s="176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>
      <c r="A763" s="31"/>
      <c r="B763" s="31"/>
      <c r="C763" s="176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>
      <c r="A764" s="31"/>
      <c r="B764" s="31"/>
      <c r="C764" s="176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>
      <c r="A765" s="31"/>
      <c r="B765" s="31"/>
      <c r="C765" s="176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>
      <c r="A766" s="31"/>
      <c r="B766" s="31"/>
      <c r="C766" s="176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>
      <c r="A767" s="31"/>
      <c r="B767" s="31"/>
      <c r="C767" s="176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>
      <c r="A768" s="31"/>
      <c r="B768" s="31"/>
      <c r="C768" s="176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>
      <c r="A769" s="31"/>
      <c r="B769" s="31"/>
      <c r="C769" s="176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>
      <c r="A770" s="31"/>
      <c r="B770" s="31"/>
      <c r="C770" s="176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>
      <c r="A771" s="31"/>
      <c r="B771" s="31"/>
      <c r="C771" s="176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>
      <c r="A772" s="31"/>
      <c r="B772" s="31"/>
      <c r="C772" s="176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>
      <c r="A773" s="31"/>
      <c r="B773" s="31"/>
      <c r="C773" s="176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>
      <c r="A774" s="31"/>
      <c r="B774" s="31"/>
      <c r="C774" s="176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>
      <c r="A775" s="31"/>
      <c r="B775" s="31"/>
      <c r="C775" s="176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>
      <c r="A776" s="31"/>
      <c r="B776" s="31"/>
      <c r="C776" s="176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>
      <c r="A777" s="31"/>
      <c r="B777" s="31"/>
      <c r="C777" s="176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>
      <c r="A778" s="31"/>
      <c r="B778" s="31"/>
      <c r="C778" s="176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>
      <c r="A779" s="31"/>
      <c r="B779" s="31"/>
      <c r="C779" s="176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>
      <c r="A780" s="31"/>
      <c r="B780" s="31"/>
      <c r="C780" s="176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>
      <c r="A781" s="31"/>
      <c r="B781" s="31"/>
      <c r="C781" s="176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>
      <c r="A782" s="31"/>
      <c r="B782" s="31"/>
      <c r="C782" s="176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>
      <c r="A783" s="31"/>
      <c r="B783" s="31"/>
      <c r="C783" s="176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>
      <c r="A784" s="31"/>
      <c r="B784" s="31"/>
      <c r="C784" s="176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>
      <c r="A785" s="31"/>
      <c r="B785" s="31"/>
      <c r="C785" s="176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>
      <c r="A786" s="31"/>
      <c r="B786" s="31"/>
      <c r="C786" s="176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>
      <c r="A787" s="31"/>
      <c r="B787" s="31"/>
      <c r="C787" s="176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>
      <c r="A788" s="31"/>
      <c r="B788" s="31"/>
      <c r="C788" s="176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>
      <c r="A789" s="31"/>
      <c r="B789" s="31"/>
      <c r="C789" s="176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>
      <c r="A790" s="31"/>
      <c r="B790" s="31"/>
      <c r="C790" s="176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>
      <c r="A791" s="31"/>
      <c r="B791" s="31"/>
      <c r="C791" s="176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>
      <c r="A792" s="31"/>
      <c r="B792" s="31"/>
      <c r="C792" s="176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>
      <c r="A793" s="31"/>
      <c r="B793" s="31"/>
      <c r="C793" s="176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>
      <c r="A794" s="31"/>
      <c r="B794" s="31"/>
      <c r="C794" s="176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>
      <c r="A795" s="31"/>
      <c r="B795" s="31"/>
      <c r="C795" s="176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>
      <c r="A796" s="31"/>
      <c r="B796" s="31"/>
      <c r="C796" s="176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>
      <c r="A797" s="31"/>
      <c r="B797" s="31"/>
      <c r="C797" s="176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>
      <c r="A798" s="31"/>
      <c r="B798" s="31"/>
      <c r="C798" s="176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>
      <c r="A799" s="31"/>
      <c r="B799" s="31"/>
      <c r="C799" s="176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>
      <c r="A800" s="31"/>
      <c r="B800" s="31"/>
      <c r="C800" s="176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>
      <c r="A801" s="31"/>
      <c r="B801" s="31"/>
      <c r="C801" s="176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>
      <c r="A802" s="31"/>
      <c r="B802" s="31"/>
      <c r="C802" s="176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>
      <c r="A803" s="31"/>
      <c r="B803" s="31"/>
      <c r="C803" s="176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>
      <c r="A804" s="31"/>
      <c r="B804" s="31"/>
      <c r="C804" s="176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>
      <c r="A805" s="31"/>
      <c r="B805" s="31"/>
      <c r="C805" s="176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>
      <c r="A806" s="31"/>
      <c r="B806" s="31"/>
      <c r="C806" s="176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>
      <c r="A807" s="31"/>
      <c r="B807" s="31"/>
      <c r="C807" s="176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>
      <c r="A808" s="31"/>
      <c r="B808" s="31"/>
      <c r="C808" s="176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>
      <c r="A809" s="31"/>
      <c r="B809" s="31"/>
      <c r="C809" s="176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>
      <c r="A810" s="31"/>
      <c r="B810" s="31"/>
      <c r="C810" s="176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>
      <c r="A811" s="31"/>
      <c r="B811" s="31"/>
      <c r="C811" s="176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>
      <c r="A812" s="31"/>
      <c r="B812" s="31"/>
      <c r="C812" s="176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>
      <c r="A813" s="31"/>
      <c r="B813" s="31"/>
      <c r="C813" s="176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>
      <c r="A814" s="31"/>
      <c r="B814" s="31"/>
      <c r="C814" s="176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>
      <c r="A815" s="31"/>
      <c r="B815" s="31"/>
      <c r="C815" s="176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>
      <c r="A816" s="31"/>
      <c r="B816" s="31"/>
      <c r="C816" s="176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>
      <c r="A817" s="31"/>
      <c r="B817" s="31"/>
      <c r="C817" s="176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>
      <c r="A818" s="31"/>
      <c r="B818" s="31"/>
      <c r="C818" s="176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>
      <c r="A819" s="31"/>
      <c r="B819" s="31"/>
      <c r="C819" s="176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>
      <c r="A820" s="31"/>
      <c r="B820" s="31"/>
      <c r="C820" s="176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>
      <c r="A821" s="31"/>
      <c r="B821" s="31"/>
      <c r="C821" s="176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>
      <c r="A822" s="31"/>
      <c r="B822" s="31"/>
      <c r="C822" s="176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>
      <c r="A823" s="31"/>
      <c r="B823" s="31"/>
      <c r="C823" s="176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>
      <c r="A824" s="31"/>
      <c r="B824" s="31"/>
      <c r="C824" s="176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>
      <c r="A825" s="31"/>
      <c r="B825" s="31"/>
      <c r="C825" s="176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>
      <c r="A826" s="31"/>
      <c r="B826" s="31"/>
      <c r="C826" s="176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>
      <c r="A827" s="31"/>
      <c r="B827" s="31"/>
      <c r="C827" s="176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>
      <c r="A828" s="31"/>
      <c r="B828" s="31"/>
      <c r="C828" s="176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>
      <c r="A829" s="31"/>
      <c r="B829" s="31"/>
      <c r="C829" s="176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>
      <c r="A830" s="31"/>
      <c r="B830" s="31"/>
      <c r="C830" s="176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>
      <c r="A831" s="31"/>
      <c r="B831" s="31"/>
      <c r="C831" s="176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>
      <c r="A832" s="31"/>
      <c r="B832" s="31"/>
      <c r="C832" s="176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>
      <c r="A833" s="31"/>
      <c r="B833" s="31"/>
      <c r="C833" s="176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>
      <c r="A834" s="31"/>
      <c r="B834" s="31"/>
      <c r="C834" s="176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>
      <c r="A835" s="31"/>
      <c r="B835" s="31"/>
      <c r="C835" s="176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>
      <c r="A836" s="31"/>
      <c r="B836" s="31"/>
      <c r="C836" s="176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>
      <c r="A837" s="31"/>
      <c r="B837" s="31"/>
      <c r="C837" s="176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>
      <c r="A838" s="31"/>
      <c r="B838" s="31"/>
      <c r="C838" s="176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>
      <c r="A839" s="31"/>
      <c r="B839" s="31"/>
      <c r="C839" s="176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>
      <c r="A840" s="31"/>
      <c r="B840" s="31"/>
      <c r="C840" s="176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>
      <c r="A841" s="31"/>
      <c r="B841" s="31"/>
      <c r="C841" s="176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>
      <c r="A842" s="31"/>
      <c r="B842" s="31"/>
      <c r="C842" s="176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>
      <c r="A843" s="31"/>
      <c r="B843" s="31"/>
      <c r="C843" s="176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>
      <c r="A844" s="31"/>
      <c r="B844" s="31"/>
      <c r="C844" s="176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>
      <c r="A845" s="31"/>
      <c r="B845" s="31"/>
      <c r="C845" s="176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>
      <c r="A846" s="31"/>
      <c r="B846" s="31"/>
      <c r="C846" s="176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>
      <c r="A847" s="31"/>
      <c r="B847" s="31"/>
      <c r="C847" s="176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>
      <c r="A848" s="31"/>
      <c r="B848" s="31"/>
      <c r="C848" s="176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>
      <c r="A849" s="31"/>
      <c r="B849" s="31"/>
      <c r="C849" s="176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>
      <c r="A850" s="31"/>
      <c r="B850" s="31"/>
      <c r="C850" s="176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>
      <c r="A851" s="31"/>
      <c r="B851" s="31"/>
      <c r="C851" s="176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>
      <c r="A852" s="31"/>
      <c r="B852" s="31"/>
      <c r="C852" s="176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>
      <c r="A853" s="31"/>
      <c r="B853" s="31"/>
      <c r="C853" s="176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>
      <c r="A854" s="31"/>
      <c r="B854" s="31"/>
      <c r="C854" s="176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>
      <c r="A855" s="31"/>
      <c r="B855" s="31"/>
      <c r="C855" s="176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>
      <c r="A856" s="31"/>
      <c r="B856" s="31"/>
      <c r="C856" s="176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>
      <c r="A857" s="31"/>
      <c r="B857" s="31"/>
      <c r="C857" s="176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>
      <c r="A858" s="31"/>
      <c r="B858" s="31"/>
      <c r="C858" s="176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>
      <c r="A859" s="31"/>
      <c r="B859" s="31"/>
      <c r="C859" s="176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>
      <c r="A860" s="31"/>
      <c r="B860" s="31"/>
      <c r="C860" s="176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>
      <c r="A861" s="31"/>
      <c r="B861" s="31"/>
      <c r="C861" s="176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>
      <c r="A862" s="31"/>
      <c r="B862" s="31"/>
      <c r="C862" s="176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>
      <c r="A863" s="31"/>
      <c r="B863" s="31"/>
      <c r="C863" s="176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>
      <c r="A864" s="31"/>
      <c r="B864" s="31"/>
      <c r="C864" s="176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>
      <c r="A865" s="31"/>
      <c r="B865" s="31"/>
      <c r="C865" s="176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>
      <c r="A866" s="31"/>
      <c r="B866" s="31"/>
      <c r="C866" s="176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>
      <c r="A867" s="31"/>
      <c r="B867" s="31"/>
      <c r="C867" s="176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>
      <c r="A868" s="31"/>
      <c r="B868" s="31"/>
      <c r="C868" s="176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>
      <c r="A869" s="31"/>
      <c r="B869" s="31"/>
      <c r="C869" s="176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>
      <c r="A870" s="31"/>
      <c r="B870" s="31"/>
      <c r="C870" s="176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>
      <c r="A871" s="31"/>
      <c r="B871" s="31"/>
      <c r="C871" s="176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>
      <c r="A872" s="31"/>
      <c r="B872" s="31"/>
      <c r="C872" s="176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>
      <c r="A873" s="31"/>
      <c r="B873" s="31"/>
      <c r="C873" s="176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>
      <c r="A874" s="31"/>
      <c r="B874" s="31"/>
      <c r="C874" s="176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>
      <c r="A875" s="31"/>
      <c r="B875" s="31"/>
      <c r="C875" s="176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>
      <c r="A876" s="31"/>
      <c r="B876" s="31"/>
      <c r="C876" s="176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>
      <c r="A877" s="31"/>
      <c r="B877" s="31"/>
      <c r="C877" s="176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>
      <c r="A878" s="31"/>
      <c r="B878" s="31"/>
      <c r="C878" s="176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>
      <c r="A879" s="31"/>
      <c r="B879" s="31"/>
      <c r="C879" s="176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>
      <c r="A880" s="31"/>
      <c r="B880" s="31"/>
      <c r="C880" s="176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>
      <c r="A881" s="31"/>
      <c r="B881" s="31"/>
      <c r="C881" s="176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>
      <c r="A882" s="31"/>
      <c r="B882" s="31"/>
      <c r="C882" s="176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>
      <c r="A883" s="31"/>
      <c r="B883" s="31"/>
      <c r="C883" s="176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>
      <c r="A884" s="31"/>
      <c r="B884" s="31"/>
      <c r="C884" s="176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>
      <c r="A885" s="31"/>
      <c r="B885" s="31"/>
      <c r="C885" s="176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>
      <c r="A886" s="31"/>
      <c r="B886" s="31"/>
      <c r="C886" s="176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>
      <c r="A887" s="31"/>
      <c r="B887" s="31"/>
      <c r="C887" s="176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>
      <c r="A888" s="31"/>
      <c r="B888" s="31"/>
      <c r="C888" s="176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>
      <c r="A889" s="31"/>
      <c r="B889" s="31"/>
      <c r="C889" s="176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>
      <c r="A890" s="31"/>
      <c r="B890" s="31"/>
      <c r="C890" s="176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>
      <c r="A891" s="31"/>
      <c r="B891" s="31"/>
      <c r="C891" s="176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>
      <c r="A892" s="31"/>
      <c r="B892" s="31"/>
      <c r="C892" s="176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>
      <c r="A893" s="31"/>
      <c r="B893" s="31"/>
      <c r="C893" s="176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>
      <c r="A894" s="31"/>
      <c r="B894" s="31"/>
      <c r="C894" s="176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>
      <c r="A895" s="31"/>
      <c r="B895" s="31"/>
      <c r="C895" s="176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>
      <c r="A896" s="31"/>
      <c r="B896" s="31"/>
      <c r="C896" s="176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>
      <c r="A897" s="31"/>
      <c r="B897" s="31"/>
      <c r="C897" s="176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>
      <c r="A898" s="31"/>
      <c r="B898" s="31"/>
      <c r="C898" s="176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>
      <c r="A899" s="31"/>
      <c r="B899" s="31"/>
      <c r="C899" s="176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>
      <c r="A900" s="31"/>
      <c r="B900" s="31"/>
      <c r="C900" s="176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>
      <c r="A901" s="31"/>
      <c r="B901" s="31"/>
      <c r="C901" s="176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>
      <c r="A902" s="31"/>
      <c r="B902" s="31"/>
      <c r="C902" s="176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>
      <c r="A903" s="31"/>
      <c r="B903" s="31"/>
      <c r="C903" s="176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>
      <c r="A904" s="31"/>
      <c r="B904" s="31"/>
      <c r="C904" s="176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>
      <c r="A905" s="31"/>
      <c r="B905" s="31"/>
      <c r="C905" s="176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>
      <c r="A906" s="31"/>
      <c r="B906" s="31"/>
      <c r="C906" s="176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>
      <c r="A907" s="31"/>
      <c r="B907" s="31"/>
      <c r="C907" s="176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>
      <c r="A908" s="31"/>
      <c r="B908" s="31"/>
      <c r="C908" s="176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>
      <c r="A909" s="31"/>
      <c r="B909" s="31"/>
      <c r="C909" s="176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>
      <c r="A910" s="31"/>
      <c r="B910" s="31"/>
      <c r="C910" s="176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>
      <c r="A911" s="31"/>
      <c r="B911" s="31"/>
      <c r="C911" s="176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>
      <c r="A912" s="31"/>
      <c r="B912" s="31"/>
      <c r="C912" s="176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>
      <c r="A913" s="31"/>
      <c r="B913" s="31"/>
      <c r="C913" s="176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>
      <c r="A914" s="31"/>
      <c r="B914" s="31"/>
      <c r="C914" s="176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>
      <c r="A915" s="31"/>
      <c r="B915" s="31"/>
      <c r="C915" s="176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>
      <c r="A916" s="31"/>
      <c r="B916" s="31"/>
      <c r="C916" s="176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>
      <c r="A917" s="31"/>
      <c r="B917" s="31"/>
      <c r="C917" s="176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>
      <c r="A918" s="31"/>
      <c r="B918" s="31"/>
      <c r="C918" s="176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>
      <c r="A919" s="31"/>
      <c r="B919" s="31"/>
      <c r="C919" s="176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>
      <c r="A920" s="31"/>
      <c r="B920" s="31"/>
      <c r="C920" s="176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>
      <c r="A921" s="31"/>
      <c r="B921" s="31"/>
      <c r="C921" s="176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>
      <c r="A922" s="31"/>
      <c r="B922" s="31"/>
      <c r="C922" s="176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>
      <c r="A923" s="31"/>
      <c r="B923" s="31"/>
      <c r="C923" s="176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>
      <c r="A924" s="31"/>
      <c r="B924" s="31"/>
      <c r="C924" s="176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>
      <c r="A925" s="31"/>
      <c r="B925" s="31"/>
      <c r="C925" s="176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>
      <c r="A926" s="31"/>
      <c r="B926" s="31"/>
      <c r="C926" s="176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>
      <c r="A927" s="31"/>
      <c r="B927" s="31"/>
      <c r="C927" s="176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>
      <c r="A928" s="31"/>
      <c r="B928" s="31"/>
      <c r="C928" s="176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>
      <c r="A929" s="31"/>
      <c r="B929" s="31"/>
      <c r="C929" s="176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>
      <c r="A930" s="31"/>
      <c r="B930" s="31"/>
      <c r="C930" s="176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>
      <c r="A931" s="31"/>
      <c r="B931" s="31"/>
      <c r="C931" s="176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>
      <c r="A932" s="31"/>
      <c r="B932" s="31"/>
      <c r="C932" s="176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>
      <c r="A933" s="31"/>
      <c r="B933" s="31"/>
      <c r="C933" s="176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>
      <c r="A934" s="31"/>
      <c r="B934" s="31"/>
      <c r="C934" s="176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>
      <c r="A935" s="31"/>
      <c r="B935" s="31"/>
      <c r="C935" s="176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>
      <c r="A936" s="31"/>
      <c r="B936" s="31"/>
      <c r="C936" s="176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>
      <c r="A937" s="31"/>
      <c r="B937" s="31"/>
      <c r="C937" s="176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>
      <c r="A938" s="31"/>
      <c r="B938" s="31"/>
      <c r="C938" s="176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>
      <c r="A939" s="31"/>
      <c r="B939" s="31"/>
      <c r="C939" s="176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>
      <c r="A940" s="31"/>
      <c r="B940" s="31"/>
      <c r="C940" s="176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>
      <c r="A941" s="31"/>
      <c r="B941" s="31"/>
      <c r="C941" s="176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>
      <c r="A942" s="31"/>
      <c r="B942" s="31"/>
      <c r="C942" s="176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>
      <c r="A943" s="31"/>
      <c r="B943" s="31"/>
      <c r="C943" s="176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>
      <c r="A944" s="31"/>
      <c r="B944" s="31"/>
      <c r="C944" s="176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>
      <c r="A945" s="31"/>
      <c r="B945" s="31"/>
      <c r="C945" s="176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>
      <c r="A946" s="31"/>
      <c r="B946" s="31"/>
      <c r="C946" s="176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>
      <c r="A947" s="31"/>
      <c r="B947" s="31"/>
      <c r="C947" s="176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>
      <c r="A948" s="31"/>
      <c r="B948" s="31"/>
      <c r="C948" s="176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>
      <c r="A949" s="31"/>
      <c r="B949" s="31"/>
      <c r="C949" s="176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>
      <c r="A950" s="31"/>
      <c r="B950" s="31"/>
      <c r="C950" s="176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>
      <c r="A951" s="31"/>
      <c r="B951" s="31"/>
      <c r="C951" s="176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>
      <c r="A952" s="31"/>
      <c r="B952" s="31"/>
      <c r="C952" s="176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>
      <c r="A953" s="31"/>
      <c r="B953" s="31"/>
      <c r="C953" s="176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>
      <c r="A954" s="31"/>
      <c r="B954" s="31"/>
      <c r="C954" s="176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>
      <c r="A955" s="31"/>
      <c r="B955" s="31"/>
      <c r="C955" s="176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>
      <c r="A956" s="31"/>
      <c r="B956" s="31"/>
      <c r="C956" s="176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</sheetData>
  <autoFilter ref="A8:N58" xr:uid="{D256E370-29DE-452E-941F-3D1ABB22FC17}">
    <sortState ref="A9:N58">
      <sortCondition descending="1" ref="E8:E58"/>
    </sortState>
  </autoFilter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I1001"/>
  <sheetViews>
    <sheetView zoomScaleNormal="100" workbookViewId="0">
      <pane xSplit="2" ySplit="4" topLeftCell="AO5" activePane="bottomRight" state="frozen"/>
      <selection pane="topRight" activeCell="C1" sqref="C1"/>
      <selection pane="bottomLeft" activeCell="A5" sqref="A5"/>
      <selection pane="bottomRight" activeCell="AZ1" sqref="AZ1:AZ1048576"/>
    </sheetView>
  </sheetViews>
  <sheetFormatPr baseColWidth="10" defaultColWidth="11.1640625" defaultRowHeight="15" customHeight="1"/>
  <cols>
    <col min="1" max="1" width="22" hidden="1" customWidth="1"/>
    <col min="2" max="2" width="40.83203125" customWidth="1"/>
    <col min="3" max="52" width="12.5" customWidth="1"/>
    <col min="53" max="59" width="13.5" customWidth="1"/>
  </cols>
  <sheetData>
    <row r="1" spans="1:61" ht="34.5" customHeight="1">
      <c r="A1" s="7"/>
      <c r="B1" s="9"/>
      <c r="C1" s="13" t="s">
        <v>21</v>
      </c>
      <c r="D1" s="14"/>
      <c r="E1" s="15"/>
      <c r="F1" s="14"/>
      <c r="G1" s="14"/>
      <c r="H1" s="14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203"/>
      <c r="BB1" s="203"/>
      <c r="BC1" s="203"/>
      <c r="BD1" s="203"/>
      <c r="BE1" s="203"/>
      <c r="BF1" s="203"/>
      <c r="BG1" s="203"/>
      <c r="BH1" s="204"/>
      <c r="BI1" s="204"/>
    </row>
    <row r="2" spans="1:61" ht="15.75" customHeight="1">
      <c r="A2" s="10"/>
      <c r="B2" s="20"/>
      <c r="C2" s="25" t="s">
        <v>77</v>
      </c>
      <c r="D2" s="26"/>
      <c r="E2" s="26"/>
      <c r="F2" s="26"/>
      <c r="G2" s="27"/>
      <c r="H2" s="27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2"/>
      <c r="AD2" s="202"/>
      <c r="AE2" s="202"/>
      <c r="AF2" s="202"/>
      <c r="AG2" s="202"/>
      <c r="AH2" s="202"/>
      <c r="AI2" s="202"/>
      <c r="AJ2" s="202"/>
      <c r="AK2" s="202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205"/>
      <c r="BB2" s="205"/>
      <c r="BC2" s="205"/>
      <c r="BD2" s="205"/>
      <c r="BE2" s="205"/>
      <c r="BF2" s="205"/>
      <c r="BG2" s="205"/>
      <c r="BH2" s="204"/>
      <c r="BI2" s="204"/>
    </row>
    <row r="3" spans="1:61" ht="15.75" customHeight="1">
      <c r="A3" s="10"/>
      <c r="B3" s="18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205"/>
      <c r="BB3" s="205"/>
      <c r="BC3" s="205"/>
      <c r="BD3" s="205"/>
      <c r="BE3" s="205"/>
      <c r="BF3" s="205"/>
      <c r="BG3" s="205"/>
      <c r="BH3" s="204"/>
      <c r="BI3" s="204"/>
    </row>
    <row r="4" spans="1:61" s="193" customFormat="1" ht="42">
      <c r="A4" s="71"/>
      <c r="B4" s="198"/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  <c r="M4" s="72" t="s">
        <v>13</v>
      </c>
      <c r="N4" s="72" t="s">
        <v>14</v>
      </c>
      <c r="O4" s="72" t="s">
        <v>15</v>
      </c>
      <c r="P4" s="72" t="s">
        <v>16</v>
      </c>
      <c r="Q4" s="72" t="s">
        <v>17</v>
      </c>
      <c r="R4" s="72" t="s">
        <v>18</v>
      </c>
      <c r="S4" s="72" t="s">
        <v>19</v>
      </c>
      <c r="T4" s="72" t="s">
        <v>20</v>
      </c>
      <c r="U4" s="72" t="s">
        <v>22</v>
      </c>
      <c r="V4" s="72" t="s">
        <v>23</v>
      </c>
      <c r="W4" s="72" t="s">
        <v>24</v>
      </c>
      <c r="X4" s="72" t="s">
        <v>25</v>
      </c>
      <c r="Y4" s="72" t="s">
        <v>26</v>
      </c>
      <c r="Z4" s="72" t="s">
        <v>27</v>
      </c>
      <c r="AA4" s="72" t="s">
        <v>28</v>
      </c>
      <c r="AB4" s="72" t="s">
        <v>29</v>
      </c>
      <c r="AC4" s="72" t="s">
        <v>30</v>
      </c>
      <c r="AD4" s="72" t="s">
        <v>31</v>
      </c>
      <c r="AE4" s="72" t="s">
        <v>32</v>
      </c>
      <c r="AF4" s="72" t="s">
        <v>33</v>
      </c>
      <c r="AG4" s="72" t="s">
        <v>34</v>
      </c>
      <c r="AH4" s="72" t="s">
        <v>35</v>
      </c>
      <c r="AI4" s="72" t="s">
        <v>36</v>
      </c>
      <c r="AJ4" s="72" t="s">
        <v>37</v>
      </c>
      <c r="AK4" s="72" t="s">
        <v>38</v>
      </c>
      <c r="AL4" s="72" t="s">
        <v>39</v>
      </c>
      <c r="AM4" s="72" t="s">
        <v>40</v>
      </c>
      <c r="AN4" s="72" t="s">
        <v>41</v>
      </c>
      <c r="AO4" s="72" t="s">
        <v>42</v>
      </c>
      <c r="AP4" s="72" t="s">
        <v>43</v>
      </c>
      <c r="AQ4" s="72" t="s">
        <v>44</v>
      </c>
      <c r="AR4" s="72" t="s">
        <v>45</v>
      </c>
      <c r="AS4" s="72" t="s">
        <v>46</v>
      </c>
      <c r="AT4" s="72" t="s">
        <v>47</v>
      </c>
      <c r="AU4" s="72" t="s">
        <v>48</v>
      </c>
      <c r="AV4" s="72" t="s">
        <v>49</v>
      </c>
      <c r="AW4" s="72" t="s">
        <v>50</v>
      </c>
      <c r="AX4" s="72" t="s">
        <v>51</v>
      </c>
      <c r="AY4" s="72" t="s">
        <v>52</v>
      </c>
      <c r="AZ4" s="72" t="s">
        <v>53</v>
      </c>
      <c r="BA4" s="206"/>
      <c r="BB4" s="206"/>
      <c r="BC4" s="206"/>
      <c r="BD4" s="206"/>
      <c r="BE4" s="206"/>
      <c r="BF4" s="206"/>
      <c r="BG4" s="206"/>
      <c r="BH4" s="207"/>
      <c r="BI4" s="207"/>
    </row>
    <row r="5" spans="1:61" ht="64">
      <c r="A5" s="10"/>
      <c r="B5" s="236" t="s">
        <v>106</v>
      </c>
      <c r="C5" s="73" t="s">
        <v>107</v>
      </c>
      <c r="D5" s="74" t="s">
        <v>108</v>
      </c>
      <c r="E5" s="74" t="s">
        <v>109</v>
      </c>
      <c r="F5" s="74" t="s">
        <v>110</v>
      </c>
      <c r="G5" s="74" t="s">
        <v>111</v>
      </c>
      <c r="H5" s="74" t="s">
        <v>112</v>
      </c>
      <c r="I5" s="74" t="s">
        <v>113</v>
      </c>
      <c r="J5" s="74" t="s">
        <v>114</v>
      </c>
      <c r="K5" s="74" t="s">
        <v>115</v>
      </c>
      <c r="L5" s="74" t="s">
        <v>117</v>
      </c>
      <c r="M5" s="74" t="s">
        <v>118</v>
      </c>
      <c r="N5" s="74" t="s">
        <v>114</v>
      </c>
      <c r="O5" s="74" t="s">
        <v>119</v>
      </c>
      <c r="P5" s="74" t="s">
        <v>120</v>
      </c>
      <c r="Q5" s="74" t="s">
        <v>121</v>
      </c>
      <c r="R5" s="74" t="s">
        <v>122</v>
      </c>
      <c r="S5" s="74" t="s">
        <v>113</v>
      </c>
      <c r="T5" s="74" t="s">
        <v>123</v>
      </c>
      <c r="U5" s="74" t="s">
        <v>108</v>
      </c>
      <c r="V5" s="74" t="s">
        <v>124</v>
      </c>
      <c r="W5" s="76" t="s">
        <v>125</v>
      </c>
      <c r="X5" s="74" t="s">
        <v>126</v>
      </c>
      <c r="Y5" s="74" t="s">
        <v>127</v>
      </c>
      <c r="Z5" s="74" t="s">
        <v>128</v>
      </c>
      <c r="AA5" s="74" t="s">
        <v>118</v>
      </c>
      <c r="AB5" s="74" t="s">
        <v>129</v>
      </c>
      <c r="AC5" s="74" t="s">
        <v>130</v>
      </c>
      <c r="AD5" s="74" t="s">
        <v>120</v>
      </c>
      <c r="AE5" s="76" t="s">
        <v>131</v>
      </c>
      <c r="AF5" s="76" t="s">
        <v>125</v>
      </c>
      <c r="AG5" s="74" t="s">
        <v>132</v>
      </c>
      <c r="AH5" s="74" t="s">
        <v>133</v>
      </c>
      <c r="AI5" s="74" t="s">
        <v>111</v>
      </c>
      <c r="AJ5" s="74" t="s">
        <v>111</v>
      </c>
      <c r="AK5" s="74" t="s">
        <v>134</v>
      </c>
      <c r="AL5" s="76" t="s">
        <v>135</v>
      </c>
      <c r="AM5" s="76" t="s">
        <v>136</v>
      </c>
      <c r="AN5" s="76" t="s">
        <v>137</v>
      </c>
      <c r="AO5" s="76" t="s">
        <v>138</v>
      </c>
      <c r="AP5" s="76" t="s">
        <v>139</v>
      </c>
      <c r="AQ5" s="76" t="s">
        <v>140</v>
      </c>
      <c r="AR5" s="74" t="s">
        <v>141</v>
      </c>
      <c r="AS5" s="74" t="s">
        <v>142</v>
      </c>
      <c r="AT5" s="76" t="s">
        <v>143</v>
      </c>
      <c r="AU5" s="76" t="s">
        <v>144</v>
      </c>
      <c r="AV5" s="76" t="s">
        <v>145</v>
      </c>
      <c r="AW5" s="76" t="s">
        <v>146</v>
      </c>
      <c r="AX5" s="76" t="s">
        <v>147</v>
      </c>
      <c r="AY5" s="80" t="s">
        <v>148</v>
      </c>
      <c r="AZ5" s="83" t="s">
        <v>149</v>
      </c>
      <c r="BA5" s="10"/>
      <c r="BB5" s="10"/>
      <c r="BC5" s="10"/>
      <c r="BD5" s="10"/>
      <c r="BE5" s="10"/>
      <c r="BF5" s="10"/>
      <c r="BG5" s="10"/>
    </row>
    <row r="6" spans="1:61" ht="15.75" customHeight="1">
      <c r="A6" s="10"/>
      <c r="B6" s="162" t="s">
        <v>150</v>
      </c>
      <c r="C6" s="88">
        <f>10000000+(1*'Raw Data'!B44*C49)</f>
        <v>10270000</v>
      </c>
      <c r="D6" s="60">
        <v>1000000</v>
      </c>
      <c r="E6" s="42">
        <v>100000</v>
      </c>
      <c r="F6" s="42">
        <v>12500</v>
      </c>
      <c r="G6" s="42">
        <v>2000000</v>
      </c>
      <c r="H6" s="42">
        <v>1000</v>
      </c>
      <c r="I6" s="42">
        <v>6000000</v>
      </c>
      <c r="J6" s="42">
        <v>1000000</v>
      </c>
      <c r="K6" s="42">
        <v>4500000</v>
      </c>
      <c r="L6" s="42">
        <v>1520000</v>
      </c>
      <c r="M6" s="42">
        <v>10000</v>
      </c>
      <c r="N6" s="42">
        <v>1000000</v>
      </c>
      <c r="O6" s="42">
        <v>1250000</v>
      </c>
      <c r="P6" s="42">
        <v>40000</v>
      </c>
      <c r="Q6" s="42">
        <v>1800000</v>
      </c>
      <c r="R6" s="42" t="e">
        <f>100000+(6*'Raw Data'!Q20)</f>
        <v>#REF!</v>
      </c>
      <c r="S6" s="42">
        <v>6000000</v>
      </c>
      <c r="T6" s="42">
        <v>5000000</v>
      </c>
      <c r="U6" s="42">
        <v>1000000</v>
      </c>
      <c r="V6" s="42">
        <v>50000</v>
      </c>
      <c r="W6" s="42">
        <f>12000000+(50*'Raw Data'!V44*W49)</f>
        <v>41940000</v>
      </c>
      <c r="X6" s="42">
        <v>2000</v>
      </c>
      <c r="Y6" s="42">
        <v>3000000</v>
      </c>
      <c r="Z6" s="42">
        <v>30000</v>
      </c>
      <c r="AA6" s="60">
        <v>10000</v>
      </c>
      <c r="AB6" s="42">
        <v>1400000</v>
      </c>
      <c r="AC6" s="60">
        <v>323250</v>
      </c>
      <c r="AD6" s="42">
        <v>40000</v>
      </c>
      <c r="AE6" s="42">
        <f>150+(10*'Raw Data'!AD44*AE49)+(1000*'Raw Data'!AD49*AE49)</f>
        <v>80095</v>
      </c>
      <c r="AF6" s="42">
        <f>12000000+(50*'Raw Data'!AE44*AF49)</f>
        <v>41940000</v>
      </c>
      <c r="AG6" s="42">
        <f>3000+(3*'Raw Data'!AF44*AG49)</f>
        <v>5020.95</v>
      </c>
      <c r="AH6" s="42">
        <v>15000</v>
      </c>
      <c r="AI6" s="42">
        <v>2000000</v>
      </c>
      <c r="AJ6" s="42">
        <v>2000000</v>
      </c>
      <c r="AK6" s="42">
        <v>200000</v>
      </c>
      <c r="AL6" s="42">
        <f>24+(2500*'Raw Data'!AK44*AL49)+(25*'Raw Data'!AK49*AL49)</f>
        <v>89.664772727272748</v>
      </c>
      <c r="AM6" s="42">
        <f>50+(5000*'Raw Data'!AL44)+(30*'Raw Data'!AL49*AM49)</f>
        <v>650.46500000000003</v>
      </c>
      <c r="AN6" s="42">
        <f>500+(30*'Raw Data'!AM44*AN49)</f>
        <v>1651.5384615384614</v>
      </c>
      <c r="AO6" s="42">
        <f>(2000*'Raw Data'!AN49)+(20*'Raw Data'!AN44*AO49)+30</f>
        <v>38.930379310344826</v>
      </c>
      <c r="AP6" s="42">
        <f>12+(16*'Raw Data'!AO44*AP49)</f>
        <v>39.677866666666667</v>
      </c>
      <c r="AQ6" s="42">
        <f>68+(17500*'Raw Data'!AP44*AQ49)</f>
        <v>207.72</v>
      </c>
      <c r="AR6" s="60">
        <v>250000</v>
      </c>
      <c r="AS6" s="42">
        <f>80000+(5*'Raw Data'!AR44*AS49)</f>
        <v>575993.97590361442</v>
      </c>
      <c r="AT6" s="42">
        <v>15000</v>
      </c>
      <c r="AU6" s="42">
        <f>1000000+(20*'Raw Data'!AT44*AU49)</f>
        <v>15970000</v>
      </c>
      <c r="AV6" s="42">
        <f>35000+(1*'Raw Data'!AU44*AV49)</f>
        <v>334700</v>
      </c>
      <c r="AW6" s="42">
        <f>5000+(10*'Raw Data'!AV44*AW49)</f>
        <v>254500</v>
      </c>
      <c r="AX6" s="42">
        <v>800</v>
      </c>
      <c r="AY6" s="42">
        <f>4000000+(200*'Raw Data'!AX44*AY49)</f>
        <v>9988000</v>
      </c>
      <c r="AZ6" s="98">
        <v>400000</v>
      </c>
      <c r="BA6" s="10"/>
      <c r="BB6" s="10"/>
      <c r="BC6" s="10"/>
      <c r="BD6" s="10"/>
      <c r="BE6" s="10"/>
      <c r="BF6" s="10"/>
      <c r="BG6" s="10"/>
    </row>
    <row r="7" spans="1:61" ht="15.75" customHeight="1">
      <c r="A7" s="10"/>
      <c r="B7" s="162" t="s">
        <v>186</v>
      </c>
      <c r="C7" s="88">
        <f>10000000</f>
        <v>10000000</v>
      </c>
      <c r="D7" s="60">
        <v>1000000</v>
      </c>
      <c r="E7" s="42">
        <v>100000</v>
      </c>
      <c r="F7" s="42">
        <v>12500</v>
      </c>
      <c r="G7" s="42">
        <v>2000000</v>
      </c>
      <c r="H7" s="42">
        <v>1000</v>
      </c>
      <c r="I7" s="42">
        <v>6000000</v>
      </c>
      <c r="J7" s="42">
        <v>1000000</v>
      </c>
      <c r="K7" s="42">
        <v>4500000</v>
      </c>
      <c r="L7" s="42">
        <v>1520000</v>
      </c>
      <c r="M7" s="42">
        <v>10000</v>
      </c>
      <c r="N7" s="42">
        <v>1000000</v>
      </c>
      <c r="O7" s="42">
        <v>1250000</v>
      </c>
      <c r="P7" s="42">
        <v>40000</v>
      </c>
      <c r="Q7" s="42">
        <v>1800000</v>
      </c>
      <c r="R7" s="42">
        <v>100000</v>
      </c>
      <c r="S7" s="42">
        <v>6000000</v>
      </c>
      <c r="T7" s="42">
        <v>5000000</v>
      </c>
      <c r="U7" s="42">
        <v>1000000</v>
      </c>
      <c r="V7" s="42">
        <v>50000</v>
      </c>
      <c r="W7" s="42">
        <f>12000000</f>
        <v>12000000</v>
      </c>
      <c r="X7" s="42">
        <v>2000</v>
      </c>
      <c r="Y7" s="42">
        <v>3000000</v>
      </c>
      <c r="Z7" s="42">
        <v>30000</v>
      </c>
      <c r="AA7" s="60">
        <v>10000</v>
      </c>
      <c r="AB7" s="42">
        <v>1400000</v>
      </c>
      <c r="AC7" s="60">
        <v>323250</v>
      </c>
      <c r="AD7" s="42">
        <v>40000</v>
      </c>
      <c r="AE7" s="42">
        <f>150</f>
        <v>150</v>
      </c>
      <c r="AF7" s="42">
        <f>12000000</f>
        <v>12000000</v>
      </c>
      <c r="AG7" s="42">
        <f>3000</f>
        <v>3000</v>
      </c>
      <c r="AH7" s="42">
        <v>15000</v>
      </c>
      <c r="AI7" s="42">
        <v>2000000</v>
      </c>
      <c r="AJ7" s="42">
        <v>2000000</v>
      </c>
      <c r="AK7" s="42">
        <v>200000</v>
      </c>
      <c r="AL7" s="42">
        <f>30</f>
        <v>30</v>
      </c>
      <c r="AM7" s="42">
        <f>50</f>
        <v>50</v>
      </c>
      <c r="AN7" s="42">
        <f>500</f>
        <v>500</v>
      </c>
      <c r="AO7" s="60">
        <v>30</v>
      </c>
      <c r="AP7" s="60">
        <v>12</v>
      </c>
      <c r="AQ7" s="42">
        <v>68</v>
      </c>
      <c r="AR7" s="60">
        <v>250000</v>
      </c>
      <c r="AS7" s="42">
        <v>80000</v>
      </c>
      <c r="AT7" s="42">
        <v>15000</v>
      </c>
      <c r="AU7" s="42">
        <v>1000000</v>
      </c>
      <c r="AV7" s="42">
        <v>35000</v>
      </c>
      <c r="AW7" s="42">
        <v>5000</v>
      </c>
      <c r="AX7" s="42">
        <v>800</v>
      </c>
      <c r="AY7" s="42">
        <v>4000000</v>
      </c>
      <c r="AZ7" s="61">
        <v>400000</v>
      </c>
      <c r="BA7" s="10"/>
      <c r="BB7" s="10"/>
      <c r="BC7" s="10"/>
      <c r="BD7" s="10"/>
      <c r="BE7" s="10"/>
      <c r="BF7" s="10"/>
      <c r="BG7" s="10"/>
    </row>
    <row r="8" spans="1:61" ht="15.75" customHeight="1">
      <c r="A8" s="10"/>
      <c r="B8" s="99"/>
      <c r="C8" s="10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101"/>
      <c r="BA8" s="10"/>
      <c r="BB8" s="10"/>
      <c r="BC8" s="10"/>
      <c r="BD8" s="10"/>
      <c r="BE8" s="10"/>
      <c r="BF8" s="10"/>
      <c r="BG8" s="10"/>
    </row>
    <row r="9" spans="1:61" ht="15.75" customHeight="1">
      <c r="A9" s="10"/>
      <c r="B9" s="102" t="s">
        <v>187</v>
      </c>
      <c r="C9" s="40">
        <v>1</v>
      </c>
      <c r="D9" s="59">
        <v>1</v>
      </c>
      <c r="E9" s="59">
        <v>1</v>
      </c>
      <c r="F9" s="59">
        <v>1</v>
      </c>
      <c r="G9" s="59">
        <v>1</v>
      </c>
      <c r="H9" s="59">
        <v>1.6</v>
      </c>
      <c r="I9" s="59">
        <v>1</v>
      </c>
      <c r="J9" s="59">
        <v>1</v>
      </c>
      <c r="K9" s="59">
        <v>1</v>
      </c>
      <c r="L9" s="59">
        <v>1</v>
      </c>
      <c r="M9" s="59">
        <v>0.3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0.1</v>
      </c>
      <c r="T9" s="59">
        <v>12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9">
        <v>1</v>
      </c>
      <c r="AA9" s="59">
        <v>1</v>
      </c>
      <c r="AB9" s="59">
        <v>1</v>
      </c>
      <c r="AC9" s="59">
        <v>1</v>
      </c>
      <c r="AD9" s="59">
        <v>1</v>
      </c>
      <c r="AE9" s="59">
        <v>1</v>
      </c>
      <c r="AF9" s="59">
        <v>1</v>
      </c>
      <c r="AG9" s="59">
        <f>24/(10*2)</f>
        <v>1.2</v>
      </c>
      <c r="AH9" s="59">
        <v>1</v>
      </c>
      <c r="AI9" s="59">
        <v>1</v>
      </c>
      <c r="AJ9" s="59">
        <f>24/24</f>
        <v>1</v>
      </c>
      <c r="AK9" s="59">
        <v>1</v>
      </c>
      <c r="AL9" s="59">
        <v>1</v>
      </c>
      <c r="AM9" s="59">
        <v>1</v>
      </c>
      <c r="AN9" s="103">
        <f>24/22</f>
        <v>1.0909090909090908</v>
      </c>
      <c r="AO9" s="103">
        <f>24/21</f>
        <v>1.1428571428571428</v>
      </c>
      <c r="AP9" s="59">
        <v>1</v>
      </c>
      <c r="AQ9" s="59">
        <v>1</v>
      </c>
      <c r="AR9" s="59">
        <f>24/(5*4)</f>
        <v>1.2</v>
      </c>
      <c r="AS9" s="51">
        <f>24/24</f>
        <v>1</v>
      </c>
      <c r="AT9" s="59">
        <v>1</v>
      </c>
      <c r="AU9" s="59">
        <v>1</v>
      </c>
      <c r="AV9" s="59">
        <v>1</v>
      </c>
      <c r="AW9" s="59">
        <v>1</v>
      </c>
      <c r="AX9" s="59">
        <v>1</v>
      </c>
      <c r="AY9" s="59">
        <v>1</v>
      </c>
      <c r="AZ9" s="104">
        <v>1</v>
      </c>
      <c r="BA9" s="105"/>
      <c r="BB9" s="10"/>
      <c r="BC9" s="10"/>
      <c r="BD9" s="10"/>
      <c r="BE9" s="10"/>
      <c r="BF9" s="10"/>
      <c r="BG9" s="10"/>
    </row>
    <row r="10" spans="1:61" ht="15.75" customHeight="1">
      <c r="A10" s="10"/>
      <c r="B10" s="99" t="s">
        <v>202</v>
      </c>
      <c r="C10" s="40">
        <f>IFERROR(IF(C9&lt;(24/Outputs!$C$5),1,C9/24*Outputs!$C$5),"N/A")</f>
        <v>1</v>
      </c>
      <c r="D10" s="59">
        <f>IFERROR(IF(D9&lt;(24/Outputs!$C$5),1,D9/24*Outputs!$C$5),"N/A")</f>
        <v>1</v>
      </c>
      <c r="E10" s="59">
        <f>IFERROR(IF(E9&lt;(24/Outputs!$C$5),1,E9/24*Outputs!$C$5),"N/A")</f>
        <v>1</v>
      </c>
      <c r="F10" s="59">
        <f>IFERROR(IF(F9&lt;(24/Outputs!$C$5),1,F9/24*Outputs!$C$5),"N/A")</f>
        <v>1</v>
      </c>
      <c r="G10" s="59">
        <f>IFERROR(IF(G9&lt;(24/Outputs!$C$5),1,G9/24*Outputs!$C$5),"N/A")</f>
        <v>1</v>
      </c>
      <c r="H10" s="59">
        <f>IFERROR(IF(H9&lt;(24/Outputs!$C$5),1,H9/24*Outputs!$C$5),"N/A")</f>
        <v>1</v>
      </c>
      <c r="I10" s="59">
        <f>IFERROR(IF(I9&lt;(24/Outputs!$C$5),1,I9/24*Outputs!$C$5),"N/A")</f>
        <v>1</v>
      </c>
      <c r="J10" s="59">
        <f>IFERROR(IF(J9&lt;(24/Outputs!$C$5),1,J9/24*Outputs!$C$5),"N/A")</f>
        <v>1</v>
      </c>
      <c r="K10" s="59">
        <f>IFERROR(IF(K9&lt;(24/Outputs!$C$5),1,K9/24*Outputs!$C$5),"N/A")</f>
        <v>1</v>
      </c>
      <c r="L10" s="59">
        <f>IFERROR(IF(L9&lt;(24/Outputs!$C$5),1,L9/24*Outputs!$C$5),"N/A")</f>
        <v>1</v>
      </c>
      <c r="M10" s="59">
        <f>IFERROR(IF(M9&lt;(24/Outputs!$C$5),1,M9/24*Outputs!$C$5),"N/A")</f>
        <v>1</v>
      </c>
      <c r="N10" s="59">
        <f>IFERROR(IF(N9&lt;(24/Outputs!$C$5),1,N9/24*Outputs!$C$5),"N/A")</f>
        <v>1</v>
      </c>
      <c r="O10" s="59">
        <f>IFERROR(IF(O9&lt;(24/Outputs!$C$5),1,O9/24*Outputs!$C$5),"N/A")</f>
        <v>1</v>
      </c>
      <c r="P10" s="59">
        <f>IFERROR(IF(P9&lt;(24/Outputs!$C$5),1,P9/24*Outputs!$C$5),"N/A")</f>
        <v>1</v>
      </c>
      <c r="Q10" s="59">
        <f>IFERROR(IF(Q9&lt;(24/Outputs!$C$5),1,Q9/24*Outputs!$C$5),"N/A")</f>
        <v>1</v>
      </c>
      <c r="R10" s="59">
        <f>IFERROR(IF(R9&lt;(24/Outputs!$C$5),1,R9/24*Outputs!$C$5),"N/A")</f>
        <v>1</v>
      </c>
      <c r="S10" s="59">
        <f>IFERROR(IF(S9&lt;(24/Outputs!$C$5),1,S9/24*Outputs!$C$5),"N/A")</f>
        <v>1</v>
      </c>
      <c r="T10" s="59">
        <f>IFERROR(IF(T9&lt;(24/Outputs!$C$5),1,T9/24*Outputs!$C$5),"N/A")</f>
        <v>1.5</v>
      </c>
      <c r="U10" s="59">
        <f>IFERROR(IF(U9&lt;(24/Outputs!$C$5),1,U9/24*Outputs!$C$5),"N/A")</f>
        <v>1</v>
      </c>
      <c r="V10" s="59">
        <f>IFERROR(IF(V9&lt;(24/Outputs!$C$5),1,V9/24*Outputs!$C$5),"N/A")</f>
        <v>1</v>
      </c>
      <c r="W10" s="59">
        <f>IFERROR(IF(W9&lt;(24/Outputs!$C$5),1,W9/24*Outputs!$C$5),"N/A")</f>
        <v>1</v>
      </c>
      <c r="X10" s="59">
        <f>IFERROR(IF(X9&lt;(24/Outputs!$C$5),1,X9/24*Outputs!$C$5),"N/A")</f>
        <v>1</v>
      </c>
      <c r="Y10" s="59">
        <f>IFERROR(IF(Y9&lt;(24/Outputs!$C$5),1,Y9/24*Outputs!$C$5),"N/A")</f>
        <v>1</v>
      </c>
      <c r="Z10" s="59">
        <f>IFERROR(IF(Z9&lt;(24/Outputs!$C$5),1,Z9/24*Outputs!$C$5),"N/A")</f>
        <v>1</v>
      </c>
      <c r="AA10" s="59">
        <f>IFERROR(IF(AA9&lt;(24/Outputs!$C$5),1,AA9/24*Outputs!$C$5),"N/A")</f>
        <v>1</v>
      </c>
      <c r="AB10" s="59">
        <f>IFERROR(IF(AB9&lt;(24/Outputs!$C$5),1,AB9/24*Outputs!$C$5),"N/A")</f>
        <v>1</v>
      </c>
      <c r="AC10" s="59">
        <f>IFERROR(IF(AC9&lt;(24/Outputs!$C$5),1,AC9/24*Outputs!$C$5),"N/A")</f>
        <v>1</v>
      </c>
      <c r="AD10" s="59">
        <f>IFERROR(IF(AD9&lt;(24/Outputs!$C$5),1,AD9/24*Outputs!$C$5),"N/A")</f>
        <v>1</v>
      </c>
      <c r="AE10" s="59">
        <f>IFERROR(IF(AE9&lt;(24/Outputs!$C$5),1,AE9/24*Outputs!$C$5),"N/A")</f>
        <v>1</v>
      </c>
      <c r="AF10" s="59">
        <f>IFERROR(IF(AF9&lt;(24/Outputs!$C$5),1,AF9/24*Outputs!$C$5),"N/A")</f>
        <v>1</v>
      </c>
      <c r="AG10" s="59">
        <f>IFERROR(IF(AG9&lt;(24/Outputs!$C$5),1,AG9/24*Outputs!$C$5),"N/A")</f>
        <v>1</v>
      </c>
      <c r="AH10" s="59">
        <f>IFERROR(IF(AH9&lt;(24/Outputs!$C$5),1,AH9/24*Outputs!$C$5),"N/A")</f>
        <v>1</v>
      </c>
      <c r="AI10" s="59">
        <f>IFERROR(IF(AI9&lt;(24/Outputs!$C$5),1,AI9/24*Outputs!$C$5),"N/A")</f>
        <v>1</v>
      </c>
      <c r="AJ10" s="59">
        <f>IFERROR(IF(AJ9&lt;(24/Outputs!$C$5),1,AJ9/24*Outputs!$C$5),"N/A")</f>
        <v>1</v>
      </c>
      <c r="AK10" s="59">
        <f>IFERROR(IF(AK9&lt;(24/Outputs!$C$5),1,AK9/24*Outputs!$C$5),"N/A")</f>
        <v>1</v>
      </c>
      <c r="AL10" s="59">
        <f>IFERROR(IF(AL9&lt;(24/Outputs!$C$5),1,AL9/24*Outputs!$C$5),"N/A")</f>
        <v>1</v>
      </c>
      <c r="AM10" s="59">
        <f>IFERROR(IF(AM9&lt;(24/Outputs!$C$5),1,AM9/24*Outputs!$C$5),"N/A")</f>
        <v>1</v>
      </c>
      <c r="AN10" s="59">
        <f>IFERROR(IF(AN9&lt;(24/Outputs!$C$5),1,AN9/24*Outputs!$C$5),"N/A")</f>
        <v>1</v>
      </c>
      <c r="AO10" s="59">
        <f>IFERROR(IF(AO9&lt;(24/Outputs!$C$5),1,AO9/24*Outputs!$C$5),"N/A")</f>
        <v>1</v>
      </c>
      <c r="AP10" s="59">
        <f>IFERROR(IF(AP9&lt;(24/Outputs!$C$5),1,AP9/24*Outputs!$C$5),"N/A")</f>
        <v>1</v>
      </c>
      <c r="AQ10" s="59">
        <f>IFERROR(IF(AQ9&lt;(24/Outputs!$C$5),1,AQ9/24*Outputs!$C$5),"N/A")</f>
        <v>1</v>
      </c>
      <c r="AR10" s="59">
        <f>IFERROR(IF(AR9&lt;(24/Outputs!$C$5),1,AR9/24*Outputs!$C$5),"N/A")</f>
        <v>1</v>
      </c>
      <c r="AS10" s="59">
        <f>IFERROR(IF(AS9&lt;(24/Outputs!$C$5),1,AS9/24*Outputs!$C$5),"N/A")</f>
        <v>1</v>
      </c>
      <c r="AT10" s="59">
        <f>IFERROR(IF(AT9&lt;(24/Outputs!$C$5),1,AT9/24*Outputs!$C$5),"N/A")</f>
        <v>1</v>
      </c>
      <c r="AU10" s="59">
        <f>IFERROR(IF(AU9&lt;(24/Outputs!$C$5),1,AU9/24*Outputs!$C$5),"N/A")</f>
        <v>1</v>
      </c>
      <c r="AV10" s="59">
        <f>IFERROR(IF(AV9&lt;(24/Outputs!$C$5),1,AV9/24*Outputs!$C$5),"N/A")</f>
        <v>1</v>
      </c>
      <c r="AW10" s="59">
        <f>IFERROR(IF(AW9&lt;(24/Outputs!$C$5),1,AW9/24*Outputs!$C$5),"N/A")</f>
        <v>1</v>
      </c>
      <c r="AX10" s="59">
        <f>IFERROR(IF(AX9&lt;(24/Outputs!$C$5),1,AX9/24*Outputs!$C$5),"N/A")</f>
        <v>1</v>
      </c>
      <c r="AY10" s="59">
        <f>IFERROR(IF(AY9&lt;(24/Outputs!$C$5),1,AY9/24*Outputs!$C$5),"N/A")</f>
        <v>1</v>
      </c>
      <c r="AZ10" s="86">
        <f>IFERROR(IF(AZ9&lt;(24/Outputs!$C$5),1,AZ9/24*Outputs!$C$5),"N/A")</f>
        <v>1</v>
      </c>
      <c r="BA10" s="105"/>
      <c r="BB10" s="10"/>
      <c r="BC10" s="10"/>
      <c r="BD10" s="10"/>
      <c r="BE10" s="10"/>
      <c r="BF10" s="10"/>
      <c r="BG10" s="10"/>
    </row>
    <row r="11" spans="1:61" ht="15.75" customHeight="1">
      <c r="A11" s="10"/>
      <c r="B11" s="99" t="s">
        <v>207</v>
      </c>
      <c r="C11" s="88">
        <f>IFERROR(AVERAGE('Raw Data'!B6:B10),0)</f>
        <v>808000</v>
      </c>
      <c r="D11" s="42">
        <f>IFERROR(AVERAGE('Raw Data'!C6:C10),0)</f>
        <v>178000</v>
      </c>
      <c r="E11" s="42">
        <f>IFERROR(AVERAGE('Raw Data'!D6:D10),0)</f>
        <v>42600</v>
      </c>
      <c r="F11" s="42">
        <f>IFERROR(AVERAGE('Raw Data'!E6:E10),0)</f>
        <v>10890</v>
      </c>
      <c r="G11" s="42">
        <f>IFERROR(AVERAGE('Raw Data'!F6:F10),0)</f>
        <v>41800</v>
      </c>
      <c r="H11" s="42">
        <f>IFERROR(AVERAGE('Raw Data'!G6:G10),0)</f>
        <v>420</v>
      </c>
      <c r="I11" s="42">
        <f>IFERROR(AVERAGE('Raw Data'!H6:H10),0)</f>
        <v>1002400</v>
      </c>
      <c r="J11" s="42">
        <f>IFERROR(AVERAGE('Raw Data'!I6:I10),0)</f>
        <v>172400</v>
      </c>
      <c r="K11" s="42">
        <f>IFERROR(AVERAGE('Raw Data'!J6:J10),0)</f>
        <v>361000</v>
      </c>
      <c r="L11" s="42">
        <f>IFERROR(AVERAGE('Raw Data'!K6:K10),0)</f>
        <v>130000</v>
      </c>
      <c r="M11" s="42">
        <f>IFERROR(AVERAGE('Raw Data'!L6:L10),0)</f>
        <v>780</v>
      </c>
      <c r="N11" s="42">
        <f>IFERROR(AVERAGE('Raw Data'!M6:M10),0)</f>
        <v>1252500</v>
      </c>
      <c r="O11" s="42">
        <f>IFERROR(AVERAGE('Raw Data'!N6:N10),0)</f>
        <v>188260</v>
      </c>
      <c r="P11" s="42">
        <f>IFERROR(AVERAGE('Raw Data'!O6:O10),0)</f>
        <v>7500</v>
      </c>
      <c r="Q11" s="42">
        <f>IFERROR(AVERAGE('Raw Data'!P6:P10),0)</f>
        <v>314000</v>
      </c>
      <c r="R11" s="42">
        <f>IFERROR(AVERAGE('Raw Data'!Q6:Q10),0)</f>
        <v>40208.6</v>
      </c>
      <c r="S11" s="42">
        <f>IFERROR(AVERAGE('Raw Data'!R6:R10),0)</f>
        <v>1200000</v>
      </c>
      <c r="T11" s="42">
        <f>IFERROR(AVERAGE('Raw Data'!S6:S10),0)</f>
        <v>640000</v>
      </c>
      <c r="U11" s="42">
        <f>IFERROR(AVERAGE('Raw Data'!T6:T10),0)</f>
        <v>390000</v>
      </c>
      <c r="V11" s="42">
        <f>IFERROR(AVERAGE('Raw Data'!U6:U10),0)</f>
        <v>0</v>
      </c>
      <c r="W11" s="42">
        <f>IFERROR(AVERAGE('Raw Data'!V6:V10),0)</f>
        <v>360000</v>
      </c>
      <c r="X11" s="42">
        <f>IFERROR(AVERAGE('Raw Data'!W6:W10),0)</f>
        <v>1500</v>
      </c>
      <c r="Y11" s="42">
        <f>IFERROR(AVERAGE('Raw Data'!X6:X10),0)</f>
        <v>1700000</v>
      </c>
      <c r="Z11" s="42">
        <f>IFERROR(AVERAGE('Raw Data'!Y6:Y10),0)</f>
        <v>30000</v>
      </c>
      <c r="AA11" s="42">
        <f>IFERROR(AVERAGE('Raw Data'!Z6:Z10),0)</f>
        <v>1220</v>
      </c>
      <c r="AB11" s="42">
        <f>IFERROR(AVERAGE('Raw Data'!AA6:AA10),0)</f>
        <v>94500</v>
      </c>
      <c r="AC11" s="42">
        <f>IFERROR(AVERAGE('Raw Data'!AB6:AB10),0)</f>
        <v>486.8</v>
      </c>
      <c r="AD11" s="42">
        <f>IFERROR(AVERAGE('Raw Data'!AC6:AC10),0)</f>
        <v>6820</v>
      </c>
      <c r="AE11" s="42">
        <f>IFERROR(AVERAGE('Raw Data'!AD6:AD10),0)</f>
        <v>1000</v>
      </c>
      <c r="AF11" s="42">
        <f>IFERROR(AVERAGE('Raw Data'!AE6:AE10),0)</f>
        <v>462000</v>
      </c>
      <c r="AG11" s="42">
        <f>IFERROR(AVERAGE('Raw Data'!AF6:AF10),0)</f>
        <v>560</v>
      </c>
      <c r="AH11" s="42">
        <f>IFERROR(AVERAGE('Raw Data'!AG6:AG10),0)</f>
        <v>3400</v>
      </c>
      <c r="AI11" s="42">
        <f>IFERROR(AVERAGE('Raw Data'!AH6:AH10),0)</f>
        <v>514000</v>
      </c>
      <c r="AJ11" s="42">
        <f>IFERROR(AVERAGE('Raw Data'!AI6:AI10),0)</f>
        <v>222000</v>
      </c>
      <c r="AK11" s="42">
        <f>IFERROR(AVERAGE('Raw Data'!AJ6:AJ10),0)</f>
        <v>30000</v>
      </c>
      <c r="AL11" s="42">
        <f>IFERROR(AVERAGE('Raw Data'!AK6:AK10),0)</f>
        <v>7.4848636363636372</v>
      </c>
      <c r="AM11" s="42">
        <f>IFERROR(AVERAGE('Raw Data'!AL6:AL10),0)</f>
        <v>55.204000000000008</v>
      </c>
      <c r="AN11" s="42">
        <f>IFERROR(AVERAGE('Raw Data'!AM6:AM10),0)</f>
        <v>226.76923076923077</v>
      </c>
      <c r="AO11" s="42">
        <f>IFERROR(AVERAGE('Raw Data'!AN6:AN10),0)</f>
        <v>20</v>
      </c>
      <c r="AP11" s="42">
        <f>IFERROR(AVERAGE('Raw Data'!AO6:AO10),0)</f>
        <v>3.8919466666666667</v>
      </c>
      <c r="AQ11" s="42">
        <f>IFERROR(AVERAGE('Raw Data'!AP6:AP10),0)</f>
        <v>14</v>
      </c>
      <c r="AR11" s="42">
        <f>IFERROR(AVERAGE('Raw Data'!AQ6:AQ10),0)</f>
        <v>265000</v>
      </c>
      <c r="AS11" s="42">
        <f>IFERROR(AVERAGE('Raw Data'!AR6:AR10),0)</f>
        <v>366045</v>
      </c>
      <c r="AT11" s="42">
        <f>IFERROR(AVERAGE('Raw Data'!AS6:AS10),0)</f>
        <v>1000</v>
      </c>
      <c r="AU11" s="42">
        <f>IFERROR(AVERAGE('Raw Data'!AT6:AT10),0)</f>
        <v>66000</v>
      </c>
      <c r="AV11" s="42">
        <f>IFERROR(AVERAGE('Raw Data'!AU6:AU10),0)</f>
        <v>35500</v>
      </c>
      <c r="AW11" s="42">
        <f>IFERROR(AVERAGE('Raw Data'!AV6:AV10),0)</f>
        <v>5400</v>
      </c>
      <c r="AX11" s="42">
        <f>IFERROR(AVERAGE('Raw Data'!AW6:AW10),0)</f>
        <v>522</v>
      </c>
      <c r="AY11" s="42">
        <f>IFERROR(AVERAGE('Raw Data'!AX6:AX10),0)</f>
        <v>1135157.2</v>
      </c>
      <c r="AZ11" s="61">
        <f>IFERROR(AVERAGE('Raw Data'!AY6:AY10),0)</f>
        <v>50000</v>
      </c>
      <c r="BA11" s="129"/>
      <c r="BB11" s="10"/>
      <c r="BC11" s="10"/>
      <c r="BD11" s="10"/>
      <c r="BE11" s="10"/>
      <c r="BF11" s="10"/>
      <c r="BG11" s="10"/>
    </row>
    <row r="12" spans="1:61" ht="15.75" customHeight="1">
      <c r="A12" s="10"/>
      <c r="B12" s="99"/>
      <c r="C12" s="100"/>
      <c r="D12" s="85"/>
      <c r="E12" s="85"/>
      <c r="F12" s="85"/>
      <c r="G12" s="130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101"/>
      <c r="BA12" s="10"/>
      <c r="BB12" s="10"/>
      <c r="BC12" s="10"/>
      <c r="BD12" s="10"/>
      <c r="BE12" s="10"/>
      <c r="BF12" s="10"/>
      <c r="BG12" s="10"/>
    </row>
    <row r="13" spans="1:61" ht="15.75" customHeight="1">
      <c r="A13" s="133"/>
      <c r="B13" s="102" t="s">
        <v>252</v>
      </c>
      <c r="C13" s="134">
        <v>3</v>
      </c>
      <c r="D13" s="57">
        <v>0</v>
      </c>
      <c r="E13" s="57">
        <v>1.2</v>
      </c>
      <c r="F13" s="57">
        <v>24</v>
      </c>
      <c r="G13" s="103">
        <f>24/3</f>
        <v>8</v>
      </c>
      <c r="H13" s="135">
        <v>1</v>
      </c>
      <c r="I13" s="57">
        <v>6</v>
      </c>
      <c r="J13" s="57">
        <v>2</v>
      </c>
      <c r="K13" s="57">
        <v>1</v>
      </c>
      <c r="L13" s="135">
        <f>24/2</f>
        <v>12</v>
      </c>
      <c r="M13" s="57">
        <v>1</v>
      </c>
      <c r="N13" s="57">
        <v>2.4</v>
      </c>
      <c r="O13" s="57">
        <v>12</v>
      </c>
      <c r="P13" s="57">
        <v>1</v>
      </c>
      <c r="Q13" s="57">
        <v>12</v>
      </c>
      <c r="R13" s="57">
        <v>1</v>
      </c>
      <c r="S13" s="57">
        <v>1</v>
      </c>
      <c r="T13" s="57">
        <v>0</v>
      </c>
      <c r="U13" s="57">
        <v>2.2000000000000002</v>
      </c>
      <c r="V13" s="57">
        <v>1</v>
      </c>
      <c r="W13" s="57">
        <v>24</v>
      </c>
      <c r="X13" s="57">
        <v>24</v>
      </c>
      <c r="Y13" s="57">
        <v>2.4</v>
      </c>
      <c r="Z13" s="57">
        <f>24/2</f>
        <v>12</v>
      </c>
      <c r="AA13" s="57">
        <v>6</v>
      </c>
      <c r="AB13" s="57">
        <v>8</v>
      </c>
      <c r="AC13" s="57">
        <f t="shared" ref="AC13:AD13" si="0">24/4</f>
        <v>6</v>
      </c>
      <c r="AD13" s="57">
        <f t="shared" si="0"/>
        <v>6</v>
      </c>
      <c r="AE13" s="57">
        <v>1</v>
      </c>
      <c r="AF13" s="57">
        <v>24</v>
      </c>
      <c r="AG13" s="57">
        <f>24/2</f>
        <v>12</v>
      </c>
      <c r="AH13" s="57">
        <v>24</v>
      </c>
      <c r="AI13" s="57">
        <f>24/2</f>
        <v>12</v>
      </c>
      <c r="AJ13" s="57">
        <f>24/3</f>
        <v>8</v>
      </c>
      <c r="AK13" s="57">
        <v>1</v>
      </c>
      <c r="AL13" s="57">
        <v>1.2</v>
      </c>
      <c r="AM13" s="57">
        <v>1.04</v>
      </c>
      <c r="AN13" s="57">
        <v>0</v>
      </c>
      <c r="AO13" s="57">
        <v>1.1399999999999999</v>
      </c>
      <c r="AP13" s="57">
        <v>1</v>
      </c>
      <c r="AQ13" s="57">
        <v>0</v>
      </c>
      <c r="AR13" s="57">
        <f>24/4</f>
        <v>6</v>
      </c>
      <c r="AS13" s="57">
        <v>0</v>
      </c>
      <c r="AT13" s="103">
        <f>24/20</f>
        <v>1.2</v>
      </c>
      <c r="AU13" s="57">
        <v>1</v>
      </c>
      <c r="AV13" s="57">
        <v>1</v>
      </c>
      <c r="AW13" s="57">
        <v>0</v>
      </c>
      <c r="AX13" s="57">
        <v>0</v>
      </c>
      <c r="AY13" s="57">
        <v>0</v>
      </c>
      <c r="AZ13" s="136">
        <f>24/2</f>
        <v>12</v>
      </c>
      <c r="BA13" s="137"/>
      <c r="BB13" s="133"/>
      <c r="BC13" s="133"/>
      <c r="BD13" s="133"/>
      <c r="BE13" s="133"/>
      <c r="BF13" s="133"/>
      <c r="BG13" s="133"/>
    </row>
    <row r="14" spans="1:61" ht="15.75" customHeight="1">
      <c r="A14" s="10"/>
      <c r="B14" s="99" t="s">
        <v>202</v>
      </c>
      <c r="C14" s="138">
        <f>IFERROR(IF(C13&lt;(24/Outputs!$C$5),1,C13/24*Outputs!$C$5),"N/A")</f>
        <v>1</v>
      </c>
      <c r="D14" s="103">
        <f>IFERROR(IF(D13&lt;(24/Outputs!$C$5),1,D13/24*Outputs!$C$5),"N/A")</f>
        <v>1</v>
      </c>
      <c r="E14" s="103">
        <f>IFERROR(IF(E13&lt;(24/Outputs!$C$5),1,E13/24*Outputs!$C$5),"N/A")</f>
        <v>1</v>
      </c>
      <c r="F14" s="103">
        <f>IFERROR(IF(F13&lt;(24/Outputs!$C$5),1,F13/24*Outputs!$C$5),"N/A")</f>
        <v>3</v>
      </c>
      <c r="G14" s="103">
        <f>IFERROR(IF(G13&lt;(24/Outputs!$C$5),1,G13/24*Outputs!$C$5),"N/A")</f>
        <v>1</v>
      </c>
      <c r="H14" s="103">
        <f>IFERROR(IF(H13&lt;(24/Outputs!$C$5),1,H13/24*Outputs!$C$5),"N/A")</f>
        <v>1</v>
      </c>
      <c r="I14" s="103">
        <f>IFERROR(IF(I13&lt;(24/Outputs!$C$5),1,I13/24*Outputs!$C$5),"N/A")</f>
        <v>1</v>
      </c>
      <c r="J14" s="103">
        <f>IFERROR(IF(J13&lt;(24/Outputs!$C$5),1,J13/24*Outputs!$C$5),"N/A")</f>
        <v>1</v>
      </c>
      <c r="K14" s="103">
        <f>IFERROR(IF(K13&lt;(24/Outputs!$C$5),1,K13/24*Outputs!$C$5),"N/A")</f>
        <v>1</v>
      </c>
      <c r="L14" s="103">
        <f>IFERROR(IF(L13&lt;(24/Outputs!$C$5),1,L13/24*Outputs!$C$5),"N/A")</f>
        <v>1.5</v>
      </c>
      <c r="M14" s="103">
        <f>IFERROR(IF(M13&lt;(24/Outputs!$C$5),1,M13/24*Outputs!$C$5),"N/A")</f>
        <v>1</v>
      </c>
      <c r="N14" s="103">
        <f>IFERROR(IF(N13&lt;(24/Outputs!$C$5),1,N13/24*Outputs!$C$5),"N/A")</f>
        <v>1</v>
      </c>
      <c r="O14" s="103">
        <f>IFERROR(IF(O13&lt;(24/Outputs!$C$5),1,O13/24*Outputs!$C$5),"N/A")</f>
        <v>1.5</v>
      </c>
      <c r="P14" s="103">
        <f>IFERROR(IF(P13&lt;(24/Outputs!$C$5),1,P13/24*Outputs!$C$5),"N/A")</f>
        <v>1</v>
      </c>
      <c r="Q14" s="103">
        <f>IFERROR(IF(Q13&lt;(24/Outputs!$C$5),1,Q13/24*Outputs!$C$5),"N/A")</f>
        <v>1.5</v>
      </c>
      <c r="R14" s="103">
        <f>IFERROR(IF(R13&lt;(24/Outputs!$C$5),1,R13/24*Outputs!$C$5),"N/A")</f>
        <v>1</v>
      </c>
      <c r="S14" s="103">
        <f>IFERROR(IF(S13&lt;(24/Outputs!$C$5),1,S13/24*Outputs!$C$5),"N/A")</f>
        <v>1</v>
      </c>
      <c r="T14" s="103">
        <f>IFERROR(IF(T13&lt;(24/Outputs!$C$5),1,T13/24*Outputs!$C$5),"N/A")</f>
        <v>1</v>
      </c>
      <c r="U14" s="103">
        <f>IFERROR(IF(U13&lt;(24/Outputs!$C$5),1,U13/24*Outputs!$C$5),"N/A")</f>
        <v>1</v>
      </c>
      <c r="V14" s="103">
        <f>IFERROR(IF(V13&lt;(24/Outputs!$C$5),1,V13/24*Outputs!$C$5),"N/A")</f>
        <v>1</v>
      </c>
      <c r="W14" s="103">
        <f>IFERROR(IF(W13&lt;(24/Outputs!$C$5),1,W13/24*Outputs!$C$5),"N/A")</f>
        <v>3</v>
      </c>
      <c r="X14" s="103">
        <f>IFERROR(IF(X13&lt;(24/Outputs!$C$5),1,X13/24*Outputs!$C$5),"N/A")</f>
        <v>3</v>
      </c>
      <c r="Y14" s="103">
        <f>IFERROR(IF(Y13&lt;(24/Outputs!$C$5),1,Y13/24*Outputs!$C$5),"N/A")</f>
        <v>1</v>
      </c>
      <c r="Z14" s="103">
        <f>IFERROR(IF(Z13&lt;(24/Outputs!$C$5),1,Z13/24*Outputs!$C$5),"N/A")</f>
        <v>1.5</v>
      </c>
      <c r="AA14" s="103">
        <f>IFERROR(IF(AA13&lt;(24/Outputs!$C$5),1,AA13/24*Outputs!$C$5),"N/A")</f>
        <v>1</v>
      </c>
      <c r="AB14" s="103">
        <f>IFERROR(IF(AB13&lt;(24/Outputs!$C$5),1,AB13/24*Outputs!$C$5),"N/A")</f>
        <v>1</v>
      </c>
      <c r="AC14" s="103">
        <f>IFERROR(IF(AC13&lt;(24/Outputs!$C$5),1,AC13/24*Outputs!$C$5),"N/A")</f>
        <v>1</v>
      </c>
      <c r="AD14" s="103">
        <f>IFERROR(IF(AD13&lt;(24/Outputs!$C$5),1,AD13/24*Outputs!$C$5),"N/A")</f>
        <v>1</v>
      </c>
      <c r="AE14" s="103">
        <f>IFERROR(IF(AE13&lt;(24/Outputs!$C$5),1,AE13/24*Outputs!$C$5),"N/A")</f>
        <v>1</v>
      </c>
      <c r="AF14" s="103">
        <f>IFERROR(IF(AF13&lt;(24/Outputs!$C$5),1,AF13/24*Outputs!$C$5),"N/A")</f>
        <v>3</v>
      </c>
      <c r="AG14" s="103">
        <f>IFERROR(IF(AG13&lt;(24/Outputs!$C$5),1,AG13/24*Outputs!$C$5),"N/A")</f>
        <v>1.5</v>
      </c>
      <c r="AH14" s="103">
        <f>IFERROR(IF(AH13&lt;(24/Outputs!$C$5),1,AH13/24*Outputs!$C$5),"N/A")</f>
        <v>3</v>
      </c>
      <c r="AI14" s="103">
        <f>IFERROR(IF(AI13&lt;(24/Outputs!$C$5),1,AI13/24*Outputs!$C$5),"N/A")</f>
        <v>1.5</v>
      </c>
      <c r="AJ14" s="103">
        <f>IFERROR(IF(AJ13&lt;(24/Outputs!$C$5),1,AJ13/24*Outputs!$C$5),"N/A")</f>
        <v>1</v>
      </c>
      <c r="AK14" s="103">
        <f>IFERROR(IF(AK13&lt;(24/Outputs!$C$5),1,AK13/24*Outputs!$C$5),"N/A")</f>
        <v>1</v>
      </c>
      <c r="AL14" s="103">
        <f>IFERROR(IF(AL13&lt;(24/Outputs!$C$5),1,AL13/24*Outputs!$C$5),"N/A")</f>
        <v>1</v>
      </c>
      <c r="AM14" s="103">
        <f>IFERROR(IF(AM13&lt;(24/Outputs!$C$5),1,AM13/24*Outputs!$C$5),"N/A")</f>
        <v>1</v>
      </c>
      <c r="AN14" s="103">
        <f>IFERROR(IF(AN13&lt;(24/Outputs!$C$5),1,AN13/24*Outputs!$C$5),"N/A")</f>
        <v>1</v>
      </c>
      <c r="AO14" s="103">
        <f>IFERROR(IF(AO13&lt;(24/Outputs!$C$5),1,AO13/24*Outputs!$C$5),"N/A")</f>
        <v>1</v>
      </c>
      <c r="AP14" s="103">
        <f>IFERROR(IF(AP13&lt;(24/Outputs!$C$5),1,AP13/24*Outputs!$C$5),"N/A")</f>
        <v>1</v>
      </c>
      <c r="AQ14" s="103">
        <f>IFERROR(IF(AQ13&lt;(24/Outputs!$C$5),1,AQ13/24*Outputs!$C$5),"N/A")</f>
        <v>1</v>
      </c>
      <c r="AR14" s="103">
        <f>IFERROR(IF(AR13&lt;(24/Outputs!$C$5),1,AR13/24*Outputs!$C$5),"N/A")</f>
        <v>1</v>
      </c>
      <c r="AS14" s="103">
        <f>IFERROR(IF(AS13&lt;(24/Outputs!$C$5),1,AS13/24*Outputs!$C$5),"N/A")</f>
        <v>1</v>
      </c>
      <c r="AT14" s="103">
        <f>IFERROR(IF(AT13&lt;(24/Outputs!$C$5),1,AT13/24*Outputs!$C$5),"N/A")</f>
        <v>1</v>
      </c>
      <c r="AU14" s="103">
        <f>IFERROR(IF(AU13&lt;(24/Outputs!$C$5),1,AU13/24*Outputs!$C$5),"N/A")</f>
        <v>1</v>
      </c>
      <c r="AV14" s="103">
        <f>IFERROR(IF(AV13&lt;(24/Outputs!$C$5),1,AV13/24*Outputs!$C$5),"N/A")</f>
        <v>1</v>
      </c>
      <c r="AW14" s="103">
        <f>IFERROR(IF(AW13&lt;(24/Outputs!$C$5),1,AW13/24*Outputs!$C$5),"N/A")</f>
        <v>1</v>
      </c>
      <c r="AX14" s="103">
        <f>IFERROR(IF(AX13&lt;(24/Outputs!$C$5),1,AX13/24*Outputs!$C$5),"N/A")</f>
        <v>1</v>
      </c>
      <c r="AY14" s="103">
        <f>IFERROR(IF(AY13&lt;(24/Outputs!$C$5),1,AY13/24*Outputs!$C$5),"N/A")</f>
        <v>1</v>
      </c>
      <c r="AZ14" s="150">
        <f>IFERROR(IF(AZ13&lt;(24/Outputs!$C$5),1,AZ13/24*Outputs!$C$5),"N/A")</f>
        <v>1.5</v>
      </c>
      <c r="BA14" s="151"/>
      <c r="BB14" s="10"/>
      <c r="BC14" s="10"/>
      <c r="BD14" s="10"/>
      <c r="BE14" s="10"/>
      <c r="BF14" s="10"/>
      <c r="BG14" s="10"/>
    </row>
    <row r="15" spans="1:61" ht="15.75" customHeight="1">
      <c r="A15" s="10"/>
      <c r="B15" s="99" t="s">
        <v>324</v>
      </c>
      <c r="C15" s="88">
        <f>IFERROR(AVERAGE('Raw Data'!B13:B17),0)</f>
        <v>100000</v>
      </c>
      <c r="D15" s="42">
        <f>IFERROR(AVERAGE('Raw Data'!C13:C17),0)</f>
        <v>0</v>
      </c>
      <c r="E15" s="42">
        <f>IFERROR(AVERAGE('Raw Data'!D13:D17),0)</f>
        <v>7350</v>
      </c>
      <c r="F15" s="42">
        <f>IFERROR(AVERAGE('Raw Data'!E13:E17),0)</f>
        <v>5820</v>
      </c>
      <c r="G15" s="42">
        <f>IFERROR(AVERAGE('Raw Data'!F13:F17),0)</f>
        <v>30000</v>
      </c>
      <c r="H15" s="42">
        <f>IFERROR(AVERAGE('Raw Data'!G13:G17),0)</f>
        <v>500</v>
      </c>
      <c r="I15" s="42">
        <f>IFERROR(AVERAGE('Raw Data'!H13:H17),0)</f>
        <v>200000</v>
      </c>
      <c r="J15" s="42">
        <f>IFERROR(AVERAGE('Raw Data'!I13:I17),0)</f>
        <v>82000</v>
      </c>
      <c r="K15" s="42">
        <f>IFERROR(AVERAGE('Raw Data'!J13:J17),0)</f>
        <v>600000</v>
      </c>
      <c r="L15" s="42">
        <f>IFERROR(AVERAGE('Raw Data'!K13:K17),0)</f>
        <v>486000</v>
      </c>
      <c r="M15" s="42">
        <f>IFERROR(AVERAGE('Raw Data'!L13:L17),0)</f>
        <v>1000</v>
      </c>
      <c r="N15" s="42">
        <f>IFERROR(AVERAGE('Raw Data'!M13:M17),0)</f>
        <v>550000</v>
      </c>
      <c r="O15" s="42">
        <f>IFERROR(AVERAGE('Raw Data'!N13:N17),0)</f>
        <v>68000</v>
      </c>
      <c r="P15" s="42">
        <f>IFERROR(AVERAGE('Raw Data'!O13:O17),0)</f>
        <v>18940</v>
      </c>
      <c r="Q15" s="42">
        <f>IFERROR(AVERAGE('Raw Data'!P13:P17),0)</f>
        <v>1676000</v>
      </c>
      <c r="R15" s="42">
        <f>IFERROR(AVERAGE('Raw Data'!Q13:Q17),0)</f>
        <v>8000</v>
      </c>
      <c r="S15" s="42">
        <f>IFERROR(AVERAGE('Raw Data'!R13:R17),0)</f>
        <v>300000</v>
      </c>
      <c r="T15" s="42">
        <f>IFERROR(AVERAGE('Raw Data'!S13:S17),0)</f>
        <v>0</v>
      </c>
      <c r="U15" s="42">
        <f>IFERROR(AVERAGE('Raw Data'!T13:T17),0)</f>
        <v>188750</v>
      </c>
      <c r="V15" s="42">
        <f>IFERROR(AVERAGE('Raw Data'!U13:U17),0)</f>
        <v>2000</v>
      </c>
      <c r="W15" s="42">
        <f>IFERROR(AVERAGE('Raw Data'!V13:V17),0)</f>
        <v>982400</v>
      </c>
      <c r="X15" s="42">
        <f>IFERROR(AVERAGE('Raw Data'!W13:W17),0)</f>
        <v>500</v>
      </c>
      <c r="Y15" s="42">
        <f>IFERROR(AVERAGE('Raw Data'!X13:X17),0)</f>
        <v>1618750</v>
      </c>
      <c r="Z15" s="42">
        <f>IFERROR(AVERAGE('Raw Data'!Y13:Y17),0)</f>
        <v>7500</v>
      </c>
      <c r="AA15" s="42">
        <f>IFERROR(AVERAGE('Raw Data'!Z13:Z17),0)</f>
        <v>60</v>
      </c>
      <c r="AB15" s="42">
        <f>IFERROR(AVERAGE('Raw Data'!AA13:AA17),0)</f>
        <v>120000</v>
      </c>
      <c r="AC15" s="42">
        <f>IFERROR(AVERAGE('Raw Data'!AB13:AB17),0)</f>
        <v>200</v>
      </c>
      <c r="AD15" s="42">
        <f>IFERROR(AVERAGE('Raw Data'!AC13:AC17),0)</f>
        <v>4140</v>
      </c>
      <c r="AE15" s="42">
        <f>IFERROR(AVERAGE('Raw Data'!AD13:AD17),0)</f>
        <v>2000</v>
      </c>
      <c r="AF15" s="42">
        <f>IFERROR(AVERAGE('Raw Data'!AE13:AE17),0)</f>
        <v>1415000</v>
      </c>
      <c r="AG15" s="42">
        <f>IFERROR(AVERAGE('Raw Data'!AF13:AF17),0)</f>
        <v>500</v>
      </c>
      <c r="AH15" s="42">
        <f>IFERROR(AVERAGE('Raw Data'!AG13:AG17),0)</f>
        <v>100</v>
      </c>
      <c r="AI15" s="42">
        <f>IFERROR(AVERAGE('Raw Data'!AH13:AH17),0)</f>
        <v>150000</v>
      </c>
      <c r="AJ15" s="42">
        <f>IFERROR(AVERAGE('Raw Data'!AI13:AI17),0)</f>
        <v>38000</v>
      </c>
      <c r="AK15" s="42">
        <f>IFERROR(AVERAGE('Raw Data'!AJ13:AJ17),0)</f>
        <v>268000</v>
      </c>
      <c r="AL15" s="42">
        <f>IFERROR(AVERAGE('Raw Data'!AK13:AK17),0)</f>
        <v>16</v>
      </c>
      <c r="AM15" s="42">
        <f>IFERROR(AVERAGE('Raw Data'!AL13:AL17),0)</f>
        <v>20.995999999999999</v>
      </c>
      <c r="AN15" s="42">
        <f>IFERROR(AVERAGE('Raw Data'!AM13:AM17),0)</f>
        <v>0</v>
      </c>
      <c r="AO15" s="42">
        <f>IFERROR(AVERAGE('Raw Data'!AN13:AN17),0)</f>
        <v>1.37225</v>
      </c>
      <c r="AP15" s="42">
        <f>IFERROR(AVERAGE('Raw Data'!AO13:AO17),0)</f>
        <v>7</v>
      </c>
      <c r="AQ15" s="42">
        <f>IFERROR(AVERAGE('Raw Data'!AP13:AP17),0)</f>
        <v>0</v>
      </c>
      <c r="AR15" s="42">
        <f>IFERROR(AVERAGE('Raw Data'!AQ13:AQ17),0)</f>
        <v>50000</v>
      </c>
      <c r="AS15" s="174">
        <v>0</v>
      </c>
      <c r="AT15" s="42">
        <f>IFERROR(AVERAGE('Raw Data'!AS13:AS17),0)</f>
        <v>7440</v>
      </c>
      <c r="AU15" s="42">
        <f>IFERROR(AVERAGE('Raw Data'!AT13:AT17),0)</f>
        <v>4090000</v>
      </c>
      <c r="AV15" s="42">
        <f>IFERROR(AVERAGE('Raw Data'!AU13:AU17),0)</f>
        <v>22400</v>
      </c>
      <c r="AW15" s="42">
        <f>IFERROR(AVERAGE('Raw Data'!AV13:AV17),0)</f>
        <v>0</v>
      </c>
      <c r="AX15" s="42">
        <f>IFERROR(AVERAGE('Raw Data'!AW13:AW17),0)</f>
        <v>0</v>
      </c>
      <c r="AY15" s="42">
        <f>IFERROR(AVERAGE('Raw Data'!AX13:AX17),0)</f>
        <v>330000</v>
      </c>
      <c r="AZ15" s="61">
        <f>IFERROR(AVERAGE('Raw Data'!AY13:AY17),0)</f>
        <v>25000</v>
      </c>
      <c r="BA15" s="129"/>
      <c r="BB15" s="10"/>
      <c r="BC15" s="10"/>
      <c r="BD15" s="10"/>
      <c r="BE15" s="10"/>
      <c r="BF15" s="10"/>
      <c r="BG15" s="10"/>
    </row>
    <row r="16" spans="1:61" ht="15.75" customHeight="1">
      <c r="A16" s="10"/>
      <c r="B16" s="99"/>
      <c r="C16" s="10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101"/>
      <c r="BA16" s="10"/>
      <c r="BB16" s="10"/>
      <c r="BC16" s="10"/>
      <c r="BD16" s="10"/>
      <c r="BE16" s="10"/>
      <c r="BF16" s="10"/>
      <c r="BG16" s="10"/>
    </row>
    <row r="17" spans="1:59" ht="15.75" customHeight="1">
      <c r="A17" s="133"/>
      <c r="B17" s="102" t="s">
        <v>325</v>
      </c>
      <c r="C17" s="134">
        <v>4</v>
      </c>
      <c r="D17" s="57">
        <v>0</v>
      </c>
      <c r="E17" s="57">
        <v>6</v>
      </c>
      <c r="F17" s="57">
        <v>0</v>
      </c>
      <c r="G17" s="57">
        <v>0</v>
      </c>
      <c r="H17" s="135">
        <v>8</v>
      </c>
      <c r="I17" s="57">
        <v>0</v>
      </c>
      <c r="J17" s="57">
        <v>2</v>
      </c>
      <c r="K17" s="57">
        <v>24</v>
      </c>
      <c r="L17" s="57">
        <v>0</v>
      </c>
      <c r="M17" s="57">
        <v>1.6</v>
      </c>
      <c r="N17" s="57">
        <v>12</v>
      </c>
      <c r="O17" s="57">
        <v>0</v>
      </c>
      <c r="P17" s="57">
        <v>1.6</v>
      </c>
      <c r="Q17" s="57">
        <v>0</v>
      </c>
      <c r="R17" s="57">
        <f>24/4</f>
        <v>6</v>
      </c>
      <c r="S17" s="57">
        <v>2</v>
      </c>
      <c r="T17" s="57">
        <v>0</v>
      </c>
      <c r="U17" s="57">
        <v>6</v>
      </c>
      <c r="V17" s="57">
        <f>24/4</f>
        <v>6</v>
      </c>
      <c r="W17" s="57">
        <v>0</v>
      </c>
      <c r="X17" s="57">
        <v>0</v>
      </c>
      <c r="Y17" s="57">
        <f>24/2</f>
        <v>12</v>
      </c>
      <c r="Z17" s="57">
        <v>0</v>
      </c>
      <c r="AA17" s="57">
        <v>0</v>
      </c>
      <c r="AB17" s="57">
        <v>0</v>
      </c>
      <c r="AC17" s="135">
        <v>0</v>
      </c>
      <c r="AD17" s="57">
        <v>0</v>
      </c>
      <c r="AE17" s="103">
        <f>24/(2*5)</f>
        <v>2.4</v>
      </c>
      <c r="AF17" s="57">
        <v>0</v>
      </c>
      <c r="AG17" s="57">
        <v>0</v>
      </c>
      <c r="AH17" s="57">
        <v>0</v>
      </c>
      <c r="AI17" s="57">
        <v>0</v>
      </c>
      <c r="AJ17" s="57">
        <f>(24*60)/15</f>
        <v>96</v>
      </c>
      <c r="AK17" s="57">
        <v>24</v>
      </c>
      <c r="AL17" s="57">
        <v>0</v>
      </c>
      <c r="AM17" s="135">
        <v>0</v>
      </c>
      <c r="AN17" s="57">
        <v>0</v>
      </c>
      <c r="AO17" s="57">
        <v>0</v>
      </c>
      <c r="AP17" s="57">
        <v>24</v>
      </c>
      <c r="AQ17" s="57">
        <v>0</v>
      </c>
      <c r="AR17" s="57">
        <v>0</v>
      </c>
      <c r="AS17" s="57">
        <v>0</v>
      </c>
      <c r="AT17" s="57">
        <f>24/4</f>
        <v>6</v>
      </c>
      <c r="AU17" s="57">
        <v>24</v>
      </c>
      <c r="AV17" s="57">
        <v>24</v>
      </c>
      <c r="AW17" s="57">
        <v>0</v>
      </c>
      <c r="AX17" s="57">
        <v>0</v>
      </c>
      <c r="AY17" s="57">
        <v>0</v>
      </c>
      <c r="AZ17" s="136">
        <v>0</v>
      </c>
      <c r="BA17" s="152"/>
      <c r="BB17" s="133"/>
      <c r="BC17" s="133"/>
      <c r="BD17" s="133"/>
      <c r="BE17" s="133"/>
      <c r="BF17" s="133"/>
      <c r="BG17" s="133"/>
    </row>
    <row r="18" spans="1:59" ht="15.75" customHeight="1">
      <c r="A18" s="10"/>
      <c r="B18" s="99" t="s">
        <v>202</v>
      </c>
      <c r="C18" s="138">
        <f>IFERROR(IF(C17&lt;(24/Outputs!$C$5),1,C17/24*Outputs!$C$5),"N/A")</f>
        <v>1</v>
      </c>
      <c r="D18" s="103">
        <f>IFERROR(IF(D17&lt;(24/Outputs!$C$5),1,D17/24*Outputs!$C$5),"N/A")</f>
        <v>1</v>
      </c>
      <c r="E18" s="103">
        <f>IFERROR(IF(E17&lt;(24/Outputs!$C$5),1,E17/24*Outputs!$C$5),"N/A")</f>
        <v>1</v>
      </c>
      <c r="F18" s="103">
        <f>IFERROR(IF(F17&lt;(24/Outputs!$C$5),1,F17/24*Outputs!$C$5),"N/A")</f>
        <v>1</v>
      </c>
      <c r="G18" s="103">
        <f>IFERROR(IF(G17&lt;(24/Outputs!$C$5),1,G17/24*Outputs!$C$5),"N/A")</f>
        <v>1</v>
      </c>
      <c r="H18" s="103">
        <f>IFERROR(IF(H17&lt;(24/Outputs!$C$5),1,H17/24*Outputs!$C$5),"N/A")</f>
        <v>1</v>
      </c>
      <c r="I18" s="103">
        <f>IFERROR(IF(I17&lt;(24/Outputs!$C$5),1,I17/24*Outputs!$C$5),"N/A")</f>
        <v>1</v>
      </c>
      <c r="J18" s="103">
        <f>IFERROR(IF(J17&lt;(24/Outputs!$C$5),1,J17/24*Outputs!$C$5),"N/A")</f>
        <v>1</v>
      </c>
      <c r="K18" s="103">
        <f>IFERROR(IF(K17&lt;(24/Outputs!$C$5),1,K17/24*Outputs!$C$5),"N/A")</f>
        <v>3</v>
      </c>
      <c r="L18" s="103">
        <f>IFERROR(IF(L17&lt;(24/Outputs!$C$5),1,L17/24*Outputs!$C$5),"N/A")</f>
        <v>1</v>
      </c>
      <c r="M18" s="103">
        <f>IFERROR(IF(M17&lt;(24/Outputs!$C$5),1,M17/24*Outputs!$C$5),"N/A")</f>
        <v>1</v>
      </c>
      <c r="N18" s="103">
        <f>IFERROR(IF(N17&lt;(24/Outputs!$C$5),1,N17/24*Outputs!$C$5),"N/A")</f>
        <v>1.5</v>
      </c>
      <c r="O18" s="103">
        <f>IFERROR(IF(O17&lt;(24/Outputs!$C$5),1,O17/24*Outputs!$C$5),"N/A")</f>
        <v>1</v>
      </c>
      <c r="P18" s="103">
        <f>IFERROR(IF(P17&lt;(24/Outputs!$C$5),1,P17/24*Outputs!$C$5),"N/A")</f>
        <v>1</v>
      </c>
      <c r="Q18" s="103">
        <f>IFERROR(IF(Q17&lt;(24/Outputs!$C$5),1,Q17/24*Outputs!$C$5),"N/A")</f>
        <v>1</v>
      </c>
      <c r="R18" s="103">
        <f>IFERROR(IF(R17&lt;(24/Outputs!$C$5),1,R17/24*Outputs!$C$5),"N/A")</f>
        <v>1</v>
      </c>
      <c r="S18" s="103">
        <f>IFERROR(IF(S17&lt;(24/Outputs!$C$5),1,S17/24*Outputs!$C$5),"N/A")</f>
        <v>1</v>
      </c>
      <c r="T18" s="103">
        <f>IFERROR(IF(T17&lt;(24/Outputs!$C$5),1,T17/24*Outputs!$C$5),"N/A")</f>
        <v>1</v>
      </c>
      <c r="U18" s="103">
        <f>IFERROR(IF(U17&lt;(24/Outputs!$C$5),1,U17/24*Outputs!$C$5),"N/A")</f>
        <v>1</v>
      </c>
      <c r="V18" s="103">
        <f>IFERROR(IF(V17&lt;(24/Outputs!$C$5),1,V17/24*Outputs!$C$5),"N/A")</f>
        <v>1</v>
      </c>
      <c r="W18" s="103">
        <f>IFERROR(IF(W17&lt;(24/Outputs!$C$5),1,W17/24*Outputs!$C$5),"N/A")</f>
        <v>1</v>
      </c>
      <c r="X18" s="103">
        <f>IFERROR(IF(X17&lt;(24/Outputs!$C$5),1,X17/24*Outputs!$C$5),"N/A")</f>
        <v>1</v>
      </c>
      <c r="Y18" s="103">
        <f>IFERROR(IF(Y17&lt;(24/Outputs!$C$5),1,Y17/24*Outputs!$C$5),"N/A")</f>
        <v>1.5</v>
      </c>
      <c r="Z18" s="103">
        <f>IFERROR(IF(Z17&lt;(24/Outputs!$C$5),1,Z17/24*Outputs!$C$5),"N/A")</f>
        <v>1</v>
      </c>
      <c r="AA18" s="103">
        <f>IFERROR(IF(AA17&lt;(24/Outputs!$C$5),1,AA17/24*Outputs!$C$5),"N/A")</f>
        <v>1</v>
      </c>
      <c r="AB18" s="103">
        <f>IFERROR(IF(AB17&lt;(24/Outputs!$C$5),1,AB17/24*Outputs!$C$5),"N/A")</f>
        <v>1</v>
      </c>
      <c r="AC18" s="103">
        <f>IFERROR(IF(AC17&lt;(24/Outputs!$C$5),1,AC17/24*Outputs!$C$5),"N/A")</f>
        <v>1</v>
      </c>
      <c r="AD18" s="103">
        <f>IFERROR(IF(AD17&lt;(24/Outputs!$C$5),1,AD17/24*Outputs!$C$5),"N/A")</f>
        <v>1</v>
      </c>
      <c r="AE18" s="103">
        <f>IFERROR(IF(AE17&lt;(24/Outputs!$C$5),1,AE17/24*Outputs!$C$5),"N/A")</f>
        <v>1</v>
      </c>
      <c r="AF18" s="103">
        <f>IFERROR(IF(AF17&lt;(24/Outputs!$C$5),1,AF17/24*Outputs!$C$5),"N/A")</f>
        <v>1</v>
      </c>
      <c r="AG18" s="103">
        <f>IFERROR(IF(AG17&lt;(24/Outputs!$C$5),1,AG17/24*Outputs!$C$5),"N/A")</f>
        <v>1</v>
      </c>
      <c r="AH18" s="103">
        <f>IFERROR(IF(AH17&lt;(24/Outputs!$C$5),1,AH17/24*Outputs!$C$5),"N/A")</f>
        <v>1</v>
      </c>
      <c r="AI18" s="103">
        <f>IFERROR(IF(AI17&lt;(24/Outputs!$C$5),1,AI17/24*Outputs!$C$5),"N/A")</f>
        <v>1</v>
      </c>
      <c r="AJ18" s="103">
        <f>IFERROR(IF(AJ17&lt;(24/Outputs!$C$5),1,AJ17/24*Outputs!$C$5),"N/A")</f>
        <v>12</v>
      </c>
      <c r="AK18" s="103">
        <f>IFERROR(IF(AK17&lt;(24/Outputs!$C$5),1,AK17/24*Outputs!$C$5),"N/A")</f>
        <v>3</v>
      </c>
      <c r="AL18" s="103">
        <f>IFERROR(IF(AL17&lt;(24/Outputs!$C$5),1,AL17/24*Outputs!$C$5),"N/A")</f>
        <v>1</v>
      </c>
      <c r="AM18" s="103">
        <f>IFERROR(IF(AM17&lt;(24/Outputs!$C$5),1,AM17/24*Outputs!$C$5),"N/A")</f>
        <v>1</v>
      </c>
      <c r="AN18" s="103">
        <f>IFERROR(IF(AN17&lt;(24/Outputs!$C$5),1,AN17/24*Outputs!$C$5),"N/A")</f>
        <v>1</v>
      </c>
      <c r="AO18" s="103">
        <f>IFERROR(IF(AO17&lt;(24/Outputs!$C$5),1,AO17/24*Outputs!$C$5),"N/A")</f>
        <v>1</v>
      </c>
      <c r="AP18" s="103">
        <f>IFERROR(IF(AP17&lt;(24/Outputs!$C$5),1,AP17/24*Outputs!$C$5),"N/A")</f>
        <v>3</v>
      </c>
      <c r="AQ18" s="103">
        <f>IFERROR(IF(AQ17&lt;(24/Outputs!$C$5),1,AQ17/24*Outputs!$C$5),"N/A")</f>
        <v>1</v>
      </c>
      <c r="AR18" s="103">
        <f>IFERROR(IF(AR17&lt;(24/Outputs!$C$5),1,AR17/24*Outputs!$C$5),"N/A")</f>
        <v>1</v>
      </c>
      <c r="AS18" s="103">
        <f>IFERROR(IF(AS17&lt;(24/Outputs!$C$5),1,AS17/24*Outputs!$C$5),"N/A")</f>
        <v>1</v>
      </c>
      <c r="AT18" s="103">
        <f>IFERROR(IF(AT17&lt;(24/Outputs!$C$5),1,AT17/24*Outputs!$C$5),"N/A")</f>
        <v>1</v>
      </c>
      <c r="AU18" s="103">
        <f>IFERROR(IF(AU17&lt;(24/Outputs!$C$5),1,AU17/24*Outputs!$C$5),"N/A")</f>
        <v>3</v>
      </c>
      <c r="AV18" s="103">
        <f>IFERROR(IF(AV17&lt;(24/Outputs!$C$5),1,AV17/24*Outputs!$C$5),"N/A")</f>
        <v>3</v>
      </c>
      <c r="AW18" s="103">
        <f>IFERROR(IF(AW17&lt;(24/Outputs!$C$5),1,AW17/24*Outputs!$C$5),"N/A")</f>
        <v>1</v>
      </c>
      <c r="AX18" s="103">
        <f>IFERROR(IF(AX17&lt;(24/Outputs!$C$5),1,AX17/24*Outputs!$C$5),"N/A")</f>
        <v>1</v>
      </c>
      <c r="AY18" s="103">
        <f>IFERROR(IF(AY17&lt;(24/Outputs!$C$5),1,AY17/24*Outputs!$C$5),"N/A")</f>
        <v>1</v>
      </c>
      <c r="AZ18" s="150">
        <f>IFERROR(IF(AZ17&lt;(24/Outputs!$C$5),1,AZ17/24*Outputs!$C$5),"N/A")</f>
        <v>1</v>
      </c>
      <c r="BA18" s="151"/>
      <c r="BB18" s="153"/>
      <c r="BC18" s="153"/>
      <c r="BD18" s="153"/>
      <c r="BE18" s="153"/>
      <c r="BF18" s="153"/>
      <c r="BG18" s="153"/>
    </row>
    <row r="19" spans="1:59" ht="15.75" customHeight="1">
      <c r="A19" s="10"/>
      <c r="B19" s="99" t="s">
        <v>327</v>
      </c>
      <c r="C19" s="88">
        <f>IFERROR(AVERAGE('Raw Data'!B20:B24),0)</f>
        <v>270000</v>
      </c>
      <c r="D19" s="42">
        <f>IFERROR(AVERAGE('Raw Data'!C20:C24),0)</f>
        <v>0</v>
      </c>
      <c r="E19" s="42">
        <f>IFERROR(AVERAGE('Raw Data'!D20:D24),0)</f>
        <v>2500</v>
      </c>
      <c r="F19" s="42">
        <f>IFERROR(AVERAGE('Raw Data'!E20:E24),0)</f>
        <v>0</v>
      </c>
      <c r="G19" s="42">
        <f>IFERROR(AVERAGE('Raw Data'!F20:F24),0)</f>
        <v>0</v>
      </c>
      <c r="H19" s="42">
        <f>IFERROR(AVERAGE('Raw Data'!G20:G24),0)</f>
        <v>140</v>
      </c>
      <c r="I19" s="42">
        <f>IFERROR(AVERAGE('Raw Data'!H20:H24),0)</f>
        <v>0</v>
      </c>
      <c r="J19" s="42">
        <f>IFERROR(AVERAGE('Raw Data'!I20:I24),0)</f>
        <v>484000</v>
      </c>
      <c r="K19" s="42">
        <f>IFERROR(AVERAGE('Raw Data'!J20:J24),0)</f>
        <v>1200000</v>
      </c>
      <c r="L19" s="42">
        <f>IFERROR(AVERAGE('Raw Data'!K20:K24),0)</f>
        <v>0</v>
      </c>
      <c r="M19" s="42">
        <f>IFERROR(AVERAGE('Raw Data'!L20:L24),0)</f>
        <v>638</v>
      </c>
      <c r="N19" s="42">
        <f>IFERROR(AVERAGE('Raw Data'!M20:M24),0)</f>
        <v>250000</v>
      </c>
      <c r="O19" s="42">
        <f>IFERROR(AVERAGE('Raw Data'!N20:N24),0)</f>
        <v>0</v>
      </c>
      <c r="P19" s="42">
        <f>IFERROR(AVERAGE('Raw Data'!O20:O24),0)</f>
        <v>6290</v>
      </c>
      <c r="Q19" s="42">
        <f>IFERROR(AVERAGE('Raw Data'!P20:P24),0)</f>
        <v>2500000</v>
      </c>
      <c r="R19" s="42">
        <f>IFERROR(AVERAGE('Raw Data'!Q20:Q24),0)</f>
        <v>0</v>
      </c>
      <c r="S19" s="42">
        <f>IFERROR(AVERAGE('Raw Data'!R20:R24),0)</f>
        <v>712857</v>
      </c>
      <c r="T19" s="42">
        <f>IFERROR(AVERAGE('Raw Data'!S20:S24),0)</f>
        <v>0</v>
      </c>
      <c r="U19" s="42">
        <f>IFERROR(AVERAGE('Raw Data'!T20:T24),0)</f>
        <v>87750</v>
      </c>
      <c r="V19" s="42">
        <f>IFERROR(AVERAGE('Raw Data'!U20:U24),0)</f>
        <v>33000</v>
      </c>
      <c r="W19" s="42">
        <f>IFERROR(AVERAGE('Raw Data'!V20:V24),0)</f>
        <v>0</v>
      </c>
      <c r="X19" s="42">
        <f>IFERROR(AVERAGE('Raw Data'!W20:W24),0)</f>
        <v>0</v>
      </c>
      <c r="Y19" s="42">
        <f>IFERROR(AVERAGE('Raw Data'!X20:X24),0)</f>
        <v>400000</v>
      </c>
      <c r="Z19" s="42">
        <f>IFERROR(AVERAGE('Raw Data'!Y20:Y24),0)</f>
        <v>0</v>
      </c>
      <c r="AA19" s="42">
        <f>IFERROR(AVERAGE('Raw Data'!Z20:Z24),0)</f>
        <v>0</v>
      </c>
      <c r="AB19" s="42">
        <f>IFERROR(AVERAGE('Raw Data'!AA20:AA24),0)</f>
        <v>0</v>
      </c>
      <c r="AC19" s="42">
        <f>IFERROR(AVERAGE('Raw Data'!AB20:AB24),0)</f>
        <v>0</v>
      </c>
      <c r="AD19" s="42">
        <f>IFERROR(AVERAGE('Raw Data'!AC20:AC24),0)</f>
        <v>0</v>
      </c>
      <c r="AE19" s="42">
        <f>IFERROR(AVERAGE('Raw Data'!AD20:AD24),0)</f>
        <v>3480</v>
      </c>
      <c r="AF19" s="42">
        <f>IFERROR(AVERAGE('Raw Data'!AE20:AE24),0)</f>
        <v>0</v>
      </c>
      <c r="AG19" s="42">
        <f>IFERROR(AVERAGE('Raw Data'!AF20:AF24),0)</f>
        <v>0</v>
      </c>
      <c r="AH19" s="42">
        <f>IFERROR(AVERAGE('Raw Data'!AG20:AG24),0)</f>
        <v>0</v>
      </c>
      <c r="AI19" s="42">
        <f>IFERROR(AVERAGE('Raw Data'!AH20:AH24),0)</f>
        <v>0</v>
      </c>
      <c r="AJ19" s="42">
        <f>IFERROR(AVERAGE('Raw Data'!AI20:AI24),0)</f>
        <v>38400</v>
      </c>
      <c r="AK19" s="42">
        <f>IFERROR(AVERAGE('Raw Data'!AJ20:AJ24),0)</f>
        <v>20000</v>
      </c>
      <c r="AL19" s="42">
        <f>IFERROR(AVERAGE('Raw Data'!AK20:AK24),0)</f>
        <v>0</v>
      </c>
      <c r="AM19" s="42">
        <f>IFERROR(AVERAGE('Raw Data'!AL20:AL24),0)</f>
        <v>0</v>
      </c>
      <c r="AN19" s="42">
        <f>IFERROR(AVERAGE('Raw Data'!AM20:AM24),0)</f>
        <v>0</v>
      </c>
      <c r="AO19" s="42">
        <f>IFERROR(AVERAGE('Raw Data'!AN20:AN24),0)</f>
        <v>0</v>
      </c>
      <c r="AP19" s="42">
        <f>IFERROR(AVERAGE('Raw Data'!AO20:AO24),0)</f>
        <v>4</v>
      </c>
      <c r="AQ19" s="42">
        <f>IFERROR(AVERAGE('Raw Data'!AP20:AP24),0)</f>
        <v>0</v>
      </c>
      <c r="AR19" s="42">
        <f>IFERROR(AVERAGE('Raw Data'!AQ20:AQ24),0)</f>
        <v>0</v>
      </c>
      <c r="AS19" s="42">
        <f>IFERROR(AVERAGE('Raw Data'!AR20:AR24),0)</f>
        <v>0</v>
      </c>
      <c r="AT19" s="42">
        <f>IFERROR(AVERAGE('Raw Data'!AS20:AS24),0)</f>
        <v>4100</v>
      </c>
      <c r="AU19" s="42">
        <f>IFERROR(AVERAGE('Raw Data'!AT20:AT24),0)</f>
        <v>92200</v>
      </c>
      <c r="AV19" s="42">
        <f>IFERROR(AVERAGE('Raw Data'!AU20:AU24),0)</f>
        <v>5000</v>
      </c>
      <c r="AW19" s="42">
        <f>IFERROR(AVERAGE('Raw Data'!AV20:AV24),0)</f>
        <v>0</v>
      </c>
      <c r="AX19" s="42">
        <f>IFERROR(AVERAGE('Raw Data'!AW20:AW24),0)</f>
        <v>0</v>
      </c>
      <c r="AY19" s="42">
        <f>IFERROR(AVERAGE('Raw Data'!AX20:AX24),0)</f>
        <v>0</v>
      </c>
      <c r="AZ19" s="61">
        <f>IFERROR(AVERAGE('Raw Data'!AY20:AY24),0)</f>
        <v>0</v>
      </c>
      <c r="BA19" s="129"/>
      <c r="BB19" s="10"/>
      <c r="BC19" s="10"/>
      <c r="BD19" s="10"/>
      <c r="BE19" s="10"/>
      <c r="BF19" s="10"/>
      <c r="BG19" s="10"/>
    </row>
    <row r="20" spans="1:59" ht="15.75" customHeight="1">
      <c r="A20" s="10"/>
      <c r="B20" s="99"/>
      <c r="C20" s="100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101"/>
      <c r="BA20" s="10"/>
      <c r="BB20" s="10"/>
      <c r="BC20" s="10"/>
      <c r="BD20" s="10"/>
      <c r="BE20" s="10"/>
      <c r="BF20" s="10"/>
      <c r="BG20" s="10"/>
    </row>
    <row r="21" spans="1:59" ht="15.75" customHeight="1">
      <c r="A21" s="133"/>
      <c r="B21" s="102" t="s">
        <v>328</v>
      </c>
      <c r="C21" s="134">
        <v>96</v>
      </c>
      <c r="D21" s="57">
        <v>0</v>
      </c>
      <c r="E21" s="57">
        <v>48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6</v>
      </c>
      <c r="N21" s="57">
        <v>0</v>
      </c>
      <c r="O21" s="57">
        <v>0</v>
      </c>
      <c r="P21" s="57">
        <v>8</v>
      </c>
      <c r="Q21" s="57">
        <v>0</v>
      </c>
      <c r="R21" s="57">
        <v>0</v>
      </c>
      <c r="S21" s="57">
        <v>12</v>
      </c>
      <c r="T21" s="57">
        <v>0</v>
      </c>
      <c r="U21" s="57">
        <v>48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12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136">
        <v>0</v>
      </c>
      <c r="BA21" s="152"/>
      <c r="BB21" s="133"/>
      <c r="BC21" s="133"/>
      <c r="BD21" s="133"/>
      <c r="BE21" s="133"/>
      <c r="BF21" s="133"/>
      <c r="BG21" s="133"/>
    </row>
    <row r="22" spans="1:59" ht="15.75" customHeight="1">
      <c r="A22" s="10"/>
      <c r="B22" s="99" t="s">
        <v>202</v>
      </c>
      <c r="C22" s="138">
        <f>IFERROR(IF(C21&lt;(24/Outputs!$C$5),1,C21/24*Outputs!$C$5),"N/A")</f>
        <v>12</v>
      </c>
      <c r="D22" s="103">
        <f>IFERROR(IF(D21&lt;(24/Outputs!$C$5),1,D21/24*Outputs!$C$5),"N/A")</f>
        <v>1</v>
      </c>
      <c r="E22" s="103">
        <f>IFERROR(IF(E21&lt;(24/Outputs!$C$5),1,E21/24*Outputs!$C$5),"N/A")</f>
        <v>6</v>
      </c>
      <c r="F22" s="103">
        <f>IFERROR(IF(F21&lt;(24/Outputs!$C$5),1,F21/24*Outputs!$C$5),"N/A")</f>
        <v>1</v>
      </c>
      <c r="G22" s="103">
        <f>IFERROR(IF(G21&lt;(24/Outputs!$C$5),1,G21/24*Outputs!$C$5),"N/A")</f>
        <v>1</v>
      </c>
      <c r="H22" s="103">
        <f>IFERROR(IF(H21&lt;(24/Outputs!$C$5),1,H21/24*Outputs!$C$5),"N/A")</f>
        <v>1</v>
      </c>
      <c r="I22" s="103">
        <f>IFERROR(IF(I21&lt;(24/Outputs!$C$5),1,I21/24*Outputs!$C$5),"N/A")</f>
        <v>1</v>
      </c>
      <c r="J22" s="103">
        <f>IFERROR(IF(J21&lt;(24/Outputs!$C$5),1,J21/24*Outputs!$C$5),"N/A")</f>
        <v>1</v>
      </c>
      <c r="K22" s="103">
        <f>IFERROR(IF(K21&lt;(24/Outputs!$C$5),1,K21/24*Outputs!$C$5),"N/A")</f>
        <v>1</v>
      </c>
      <c r="L22" s="103">
        <f>IFERROR(IF(L21&lt;(24/Outputs!$C$5),1,L21/24*Outputs!$C$5),"N/A")</f>
        <v>1</v>
      </c>
      <c r="M22" s="103">
        <f>IFERROR(IF(M21&lt;(24/Outputs!$C$5),1,M21/24*Outputs!$C$5),"N/A")</f>
        <v>1</v>
      </c>
      <c r="N22" s="103">
        <f>IFERROR(IF(N21&lt;(24/Outputs!$C$5),1,N21/24*Outputs!$C$5),"N/A")</f>
        <v>1</v>
      </c>
      <c r="O22" s="103">
        <f>IFERROR(IF(O21&lt;(24/Outputs!$C$5),1,O21/24*Outputs!$C$5),"N/A")</f>
        <v>1</v>
      </c>
      <c r="P22" s="103">
        <f>IFERROR(IF(P21&lt;(24/Outputs!$C$5),1,P21/24*Outputs!$C$5),"N/A")</f>
        <v>1</v>
      </c>
      <c r="Q22" s="103">
        <f>IFERROR(IF(Q21&lt;(24/Outputs!$C$5),1,Q21/24*Outputs!$C$5),"N/A")</f>
        <v>1</v>
      </c>
      <c r="R22" s="103">
        <f>IFERROR(IF(R21&lt;(24/Outputs!$C$5),1,R21/24*Outputs!$C$5),"N/A")</f>
        <v>1</v>
      </c>
      <c r="S22" s="103">
        <f>IFERROR(IF(S21&lt;(24/Outputs!$C$5),1,S21/24*Outputs!$C$5),"N/A")</f>
        <v>1.5</v>
      </c>
      <c r="T22" s="103">
        <f>IFERROR(IF(T21&lt;(24/Outputs!$C$5),1,T21/24*Outputs!$C$5),"N/A")</f>
        <v>1</v>
      </c>
      <c r="U22" s="103">
        <f>IFERROR(IF(U21&lt;(24/Outputs!$C$5),1,U21/24*Outputs!$C$5),"N/A")</f>
        <v>6</v>
      </c>
      <c r="V22" s="103">
        <f>IFERROR(IF(V21&lt;(24/Outputs!$C$5),1,V21/24*Outputs!$C$5),"N/A")</f>
        <v>1</v>
      </c>
      <c r="W22" s="103">
        <f>IFERROR(IF(W21&lt;(24/Outputs!$C$5),1,W21/24*Outputs!$C$5),"N/A")</f>
        <v>1</v>
      </c>
      <c r="X22" s="103">
        <f>IFERROR(IF(X21&lt;(24/Outputs!$C$5),1,X21/24*Outputs!$C$5),"N/A")</f>
        <v>1</v>
      </c>
      <c r="Y22" s="103">
        <f>IFERROR(IF(Y21&lt;(24/Outputs!$C$5),1,Y21/24*Outputs!$C$5),"N/A")</f>
        <v>1</v>
      </c>
      <c r="Z22" s="103">
        <f>IFERROR(IF(Z21&lt;(24/Outputs!$C$5),1,Z21/24*Outputs!$C$5),"N/A")</f>
        <v>1</v>
      </c>
      <c r="AA22" s="103">
        <f>IFERROR(IF(AA21&lt;(24/Outputs!$C$5),1,AA21/24*Outputs!$C$5),"N/A")</f>
        <v>1</v>
      </c>
      <c r="AB22" s="103">
        <f>IFERROR(IF(AB21&lt;(24/Outputs!$C$5),1,AB21/24*Outputs!$C$5),"N/A")</f>
        <v>1</v>
      </c>
      <c r="AC22" s="103">
        <f>IFERROR(IF(AC21&lt;(24/Outputs!$C$5),1,AC21/24*Outputs!$C$5),"N/A")</f>
        <v>1</v>
      </c>
      <c r="AD22" s="103">
        <f>IFERROR(IF(AD21&lt;(24/Outputs!$C$5),1,AD21/24*Outputs!$C$5),"N/A")</f>
        <v>1</v>
      </c>
      <c r="AE22" s="103">
        <f>IFERROR(IF(AE21&lt;(24/Outputs!$C$5),1,AE21/24*Outputs!$C$5),"N/A")</f>
        <v>1.5</v>
      </c>
      <c r="AF22" s="103">
        <f>IFERROR(IF(AF21&lt;(24/Outputs!$C$5),1,AF21/24*Outputs!$C$5),"N/A")</f>
        <v>1</v>
      </c>
      <c r="AG22" s="103">
        <f>IFERROR(IF(AG21&lt;(24/Outputs!$C$5),1,AG21/24*Outputs!$C$5),"N/A")</f>
        <v>1</v>
      </c>
      <c r="AH22" s="103">
        <f>IFERROR(IF(AH21&lt;(24/Outputs!$C$5),1,AH21/24*Outputs!$C$5),"N/A")</f>
        <v>1</v>
      </c>
      <c r="AI22" s="103">
        <f>IFERROR(IF(AI21&lt;(24/Outputs!$C$5),1,AI21/24*Outputs!$C$5),"N/A")</f>
        <v>1</v>
      </c>
      <c r="AJ22" s="103">
        <f>IFERROR(IF(AJ21&lt;(24/Outputs!$C$5),1,AJ21/24*Outputs!$C$5),"N/A")</f>
        <v>1</v>
      </c>
      <c r="AK22" s="103">
        <f>IFERROR(IF(AK21&lt;(24/Outputs!$C$5),1,AK21/24*Outputs!$C$5),"N/A")</f>
        <v>1</v>
      </c>
      <c r="AL22" s="103">
        <f>IFERROR(IF(AL21&lt;(24/Outputs!$C$5),1,AL21/24*Outputs!$C$5),"N/A")</f>
        <v>1</v>
      </c>
      <c r="AM22" s="103">
        <f>IFERROR(IF(AM21&lt;(24/Outputs!$C$5),1,AM21/24*Outputs!$C$5),"N/A")</f>
        <v>1</v>
      </c>
      <c r="AN22" s="103">
        <f>IFERROR(IF(AN21&lt;(24/Outputs!$C$5),1,AN21/24*Outputs!$C$5),"N/A")</f>
        <v>1</v>
      </c>
      <c r="AO22" s="103">
        <f>IFERROR(IF(AO21&lt;(24/Outputs!$C$5),1,AO21/24*Outputs!$C$5),"N/A")</f>
        <v>1</v>
      </c>
      <c r="AP22" s="103">
        <f>IFERROR(IF(AP21&lt;(24/Outputs!$C$5),1,AP21/24*Outputs!$C$5),"N/A")</f>
        <v>1</v>
      </c>
      <c r="AQ22" s="103">
        <f>IFERROR(IF(AQ21&lt;(24/Outputs!$C$5),1,AQ21/24*Outputs!$C$5),"N/A")</f>
        <v>1</v>
      </c>
      <c r="AR22" s="103">
        <f>IFERROR(IF(AR21&lt;(24/Outputs!$C$5),1,AR21/24*Outputs!$C$5),"N/A")</f>
        <v>1</v>
      </c>
      <c r="AS22" s="103">
        <f>IFERROR(IF(AS21&lt;(24/Outputs!$C$5),1,AS21/24*Outputs!$C$5),"N/A")</f>
        <v>1</v>
      </c>
      <c r="AT22" s="103">
        <f>IFERROR(IF(AT21&lt;(24/Outputs!$C$5),1,AT21/24*Outputs!$C$5),"N/A")</f>
        <v>1</v>
      </c>
      <c r="AU22" s="103">
        <f>IFERROR(IF(AU21&lt;(24/Outputs!$C$5),1,AU21/24*Outputs!$C$5),"N/A")</f>
        <v>1</v>
      </c>
      <c r="AV22" s="103">
        <f>IFERROR(IF(AV21&lt;(24/Outputs!$C$5),1,AV21/24*Outputs!$C$5),"N/A")</f>
        <v>1</v>
      </c>
      <c r="AW22" s="103">
        <f>IFERROR(IF(AW21&lt;(24/Outputs!$C$5),1,AW21/24*Outputs!$C$5),"N/A")</f>
        <v>1</v>
      </c>
      <c r="AX22" s="103">
        <f>IFERROR(IF(AX21&lt;(24/Outputs!$C$5),1,AX21/24*Outputs!$C$5),"N/A")</f>
        <v>1</v>
      </c>
      <c r="AY22" s="103">
        <f>IFERROR(IF(AY21&lt;(24/Outputs!$C$5),1,AY21/24*Outputs!$C$5),"N/A")</f>
        <v>1</v>
      </c>
      <c r="AZ22" s="150">
        <f>IFERROR(IF(AZ21&lt;(24/Outputs!$C$5),1,AZ21/24*Outputs!$C$5),"N/A")</f>
        <v>1</v>
      </c>
      <c r="BA22" s="153"/>
      <c r="BB22" s="153"/>
      <c r="BC22" s="153"/>
      <c r="BD22" s="153"/>
      <c r="BE22" s="153"/>
      <c r="BF22" s="153"/>
      <c r="BG22" s="153"/>
    </row>
    <row r="23" spans="1:59" ht="15.75" customHeight="1">
      <c r="A23" s="105"/>
      <c r="B23" s="154" t="s">
        <v>330</v>
      </c>
      <c r="C23" s="88">
        <f>IFERROR(AVERAGE('Raw Data'!B27:B31),0)</f>
        <v>100000</v>
      </c>
      <c r="D23" s="42">
        <f>IFERROR(AVERAGE('Raw Data'!C27:C31),0)</f>
        <v>0</v>
      </c>
      <c r="E23" s="42">
        <f>IFERROR(AVERAGE('Raw Data'!D27:D31),0)</f>
        <v>2070</v>
      </c>
      <c r="F23" s="42">
        <f>IFERROR(AVERAGE('Raw Data'!E27:E31),0)</f>
        <v>0</v>
      </c>
      <c r="G23" s="42">
        <f>IFERROR(AVERAGE('Raw Data'!F27:F31),0)</f>
        <v>0</v>
      </c>
      <c r="H23" s="42">
        <f>IFERROR(AVERAGE('Raw Data'!G27:G31),0)</f>
        <v>0</v>
      </c>
      <c r="I23" s="42">
        <f>IFERROR(AVERAGE('Raw Data'!H27:H31),0)</f>
        <v>0</v>
      </c>
      <c r="J23" s="42">
        <f>IFERROR(AVERAGE('Raw Data'!I27:I31),0)</f>
        <v>0</v>
      </c>
      <c r="K23" s="42">
        <f>IFERROR(AVERAGE('Raw Data'!J27:J31),0)</f>
        <v>0</v>
      </c>
      <c r="L23" s="42">
        <f>IFERROR(AVERAGE('Raw Data'!K27:K31),0)</f>
        <v>0</v>
      </c>
      <c r="M23" s="42">
        <f>IFERROR(AVERAGE('Raw Data'!L27:L31),0)</f>
        <v>100</v>
      </c>
      <c r="N23" s="42">
        <f>IFERROR(AVERAGE('Raw Data'!M27:M31),0)</f>
        <v>0</v>
      </c>
      <c r="O23" s="42">
        <f>IFERROR(AVERAGE('Raw Data'!N27:N31),0)</f>
        <v>0</v>
      </c>
      <c r="P23" s="42">
        <f>IFERROR(AVERAGE('Raw Data'!O27:O31),0)</f>
        <v>1000</v>
      </c>
      <c r="Q23" s="42">
        <f>IFERROR(AVERAGE('Raw Data'!P27:P31),0)</f>
        <v>0</v>
      </c>
      <c r="R23" s="42">
        <f>IFERROR(AVERAGE('Raw Data'!Q27:Q31),0)</f>
        <v>0</v>
      </c>
      <c r="S23" s="42">
        <f>IFERROR(AVERAGE('Raw Data'!R27:R31),0)</f>
        <v>600000</v>
      </c>
      <c r="T23" s="42">
        <f>IFERROR(AVERAGE('Raw Data'!S27:S31),0)</f>
        <v>0</v>
      </c>
      <c r="U23" s="42">
        <f>IFERROR(AVERAGE('Raw Data'!T27:T31),0)</f>
        <v>49500</v>
      </c>
      <c r="V23" s="42">
        <f>IFERROR(AVERAGE('Raw Data'!U27:U31),0)</f>
        <v>0</v>
      </c>
      <c r="W23" s="42">
        <f>IFERROR(AVERAGE('Raw Data'!V27:V31),0)</f>
        <v>0</v>
      </c>
      <c r="X23" s="42">
        <f>IFERROR(AVERAGE('Raw Data'!W27:W31),0)</f>
        <v>0</v>
      </c>
      <c r="Y23" s="42">
        <f>IFERROR(AVERAGE('Raw Data'!X27:X31),0)</f>
        <v>0</v>
      </c>
      <c r="Z23" s="42">
        <f>IFERROR(AVERAGE('Raw Data'!Y27:Y31),0)</f>
        <v>0</v>
      </c>
      <c r="AA23" s="42">
        <f>IFERROR(AVERAGE('Raw Data'!Z27:Z31),0)</f>
        <v>0</v>
      </c>
      <c r="AB23" s="42">
        <f>IFERROR(AVERAGE('Raw Data'!AA27:AA31),0)</f>
        <v>0</v>
      </c>
      <c r="AC23" s="42">
        <f>IFERROR(AVERAGE('Raw Data'!AB27:AB31),0)</f>
        <v>0</v>
      </c>
      <c r="AD23" s="42">
        <f>IFERROR(AVERAGE('Raw Data'!AC27:AC31),0)</f>
        <v>0</v>
      </c>
      <c r="AE23" s="42">
        <f>IFERROR(AVERAGE('Raw Data'!AD27:AD31),0)</f>
        <v>500</v>
      </c>
      <c r="AF23" s="42">
        <f>IFERROR(AVERAGE('Raw Data'!AE27:AE31),0)</f>
        <v>0</v>
      </c>
      <c r="AG23" s="42">
        <f>IFERROR(AVERAGE('Raw Data'!AF27:AF31),0)</f>
        <v>0</v>
      </c>
      <c r="AH23" s="42">
        <f>IFERROR(AVERAGE('Raw Data'!AG27:AG31),0)</f>
        <v>0</v>
      </c>
      <c r="AI23" s="42">
        <f>IFERROR(AVERAGE('Raw Data'!AH27:AH31),0)</f>
        <v>0</v>
      </c>
      <c r="AJ23" s="42">
        <f>IFERROR(AVERAGE('Raw Data'!AI27:AI31),0)</f>
        <v>0</v>
      </c>
      <c r="AK23" s="42">
        <f>IFERROR(AVERAGE('Raw Data'!AJ27:AJ31),0)</f>
        <v>0</v>
      </c>
      <c r="AL23" s="42">
        <f>IFERROR(AVERAGE('Raw Data'!AK27:AK31),0)</f>
        <v>0</v>
      </c>
      <c r="AM23" s="42">
        <f>IFERROR(AVERAGE('Raw Data'!AL27:AL31),0)</f>
        <v>0</v>
      </c>
      <c r="AN23" s="42">
        <f>IFERROR(AVERAGE('Raw Data'!AM27:AM31),0)</f>
        <v>0</v>
      </c>
      <c r="AO23" s="42">
        <f>IFERROR(AVERAGE('Raw Data'!AN27:AN31),0)</f>
        <v>0</v>
      </c>
      <c r="AP23" s="42">
        <f>IFERROR(AVERAGE('Raw Data'!AO27:AO31),0)</f>
        <v>0</v>
      </c>
      <c r="AQ23" s="42">
        <f>IFERROR(AVERAGE('Raw Data'!AP27:AP31),0)</f>
        <v>0</v>
      </c>
      <c r="AR23" s="42">
        <f>IFERROR(AVERAGE('Raw Data'!AQ27:AQ31),0)</f>
        <v>0</v>
      </c>
      <c r="AS23" s="42">
        <f>IFERROR(AVERAGE('Raw Data'!AR27:AR31),0)</f>
        <v>0</v>
      </c>
      <c r="AT23" s="42">
        <f>IFERROR(AVERAGE('Raw Data'!AS27:AS31),0)</f>
        <v>0</v>
      </c>
      <c r="AU23" s="42">
        <f>IFERROR(AVERAGE('Raw Data'!AT27:AT31),0)</f>
        <v>0</v>
      </c>
      <c r="AV23" s="42">
        <f>IFERROR(AVERAGE('Raw Data'!AU27:AU31),0)</f>
        <v>0</v>
      </c>
      <c r="AW23" s="42">
        <f>IFERROR(AVERAGE('Raw Data'!AV27:AV31),0)</f>
        <v>0</v>
      </c>
      <c r="AX23" s="42">
        <f>IFERROR(AVERAGE('Raw Data'!AW27:AW31),0)</f>
        <v>0</v>
      </c>
      <c r="AY23" s="42">
        <f>IFERROR(AVERAGE('Raw Data'!AX27:AX31),0)</f>
        <v>0</v>
      </c>
      <c r="AZ23" s="61">
        <f>IFERROR(AVERAGE('Raw Data'!AY27:AY31),0)</f>
        <v>0</v>
      </c>
      <c r="BA23" s="105"/>
      <c r="BB23" s="105"/>
      <c r="BC23" s="105"/>
      <c r="BD23" s="105"/>
      <c r="BE23" s="105"/>
      <c r="BF23" s="105"/>
      <c r="BG23" s="105"/>
    </row>
    <row r="24" spans="1:59" ht="15.75" customHeight="1">
      <c r="A24" s="10"/>
      <c r="B24" s="99"/>
      <c r="C24" s="100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101"/>
      <c r="BA24" s="10"/>
      <c r="BB24" s="10"/>
      <c r="BC24" s="10"/>
      <c r="BD24" s="10"/>
      <c r="BE24" s="10"/>
      <c r="BF24" s="10"/>
      <c r="BG24" s="10"/>
    </row>
    <row r="25" spans="1:59" ht="15.75" customHeight="1">
      <c r="A25" s="10"/>
      <c r="B25" s="156" t="s">
        <v>331</v>
      </c>
      <c r="C25" s="88">
        <v>9000000</v>
      </c>
      <c r="D25" s="42">
        <v>1000000</v>
      </c>
      <c r="E25" s="42">
        <v>55000</v>
      </c>
      <c r="F25" s="60">
        <v>114000</v>
      </c>
      <c r="G25" s="42">
        <v>900000</v>
      </c>
      <c r="H25" s="42">
        <v>20000</v>
      </c>
      <c r="I25" s="42">
        <v>10000000</v>
      </c>
      <c r="J25" s="42">
        <v>1500000</v>
      </c>
      <c r="K25" s="42">
        <v>55000000</v>
      </c>
      <c r="L25" s="42">
        <v>475000</v>
      </c>
      <c r="M25" s="42">
        <v>15000</v>
      </c>
      <c r="N25" s="42">
        <v>3000000</v>
      </c>
      <c r="O25" s="42">
        <v>5000000</v>
      </c>
      <c r="P25" s="42">
        <v>200000</v>
      </c>
      <c r="Q25" s="42">
        <v>6000000</v>
      </c>
      <c r="R25" s="42">
        <v>1200000</v>
      </c>
      <c r="S25" s="42">
        <v>5000000</v>
      </c>
      <c r="T25" s="42">
        <v>7200000</v>
      </c>
      <c r="U25" s="42">
        <v>1000000</v>
      </c>
      <c r="V25" s="42">
        <v>262500</v>
      </c>
      <c r="W25" s="42">
        <v>12000000</v>
      </c>
      <c r="X25" s="42">
        <v>7500</v>
      </c>
      <c r="Y25" s="42">
        <v>9000000</v>
      </c>
      <c r="Z25" s="42">
        <v>450000</v>
      </c>
      <c r="AA25" s="60">
        <v>144000</v>
      </c>
      <c r="AB25" s="42">
        <v>1600000</v>
      </c>
      <c r="AC25" s="60">
        <v>180000</v>
      </c>
      <c r="AD25" s="42">
        <v>41400</v>
      </c>
      <c r="AE25" s="42">
        <v>25000</v>
      </c>
      <c r="AF25" s="42">
        <v>12000000</v>
      </c>
      <c r="AG25" s="60">
        <v>16200</v>
      </c>
      <c r="AH25" s="42">
        <v>10000</v>
      </c>
      <c r="AI25" s="42">
        <v>7875000</v>
      </c>
      <c r="AJ25" s="42">
        <v>2000000</v>
      </c>
      <c r="AK25" s="42">
        <v>2500000</v>
      </c>
      <c r="AL25" s="42">
        <v>75</v>
      </c>
      <c r="AM25" s="60">
        <v>200</v>
      </c>
      <c r="AN25" s="42">
        <v>500</v>
      </c>
      <c r="AO25" s="42">
        <v>33</v>
      </c>
      <c r="AP25" s="42">
        <v>52</v>
      </c>
      <c r="AQ25" s="42">
        <v>40</v>
      </c>
      <c r="AR25" s="60">
        <v>7500000</v>
      </c>
      <c r="AS25" s="42">
        <v>8250000</v>
      </c>
      <c r="AT25" s="42">
        <v>100000</v>
      </c>
      <c r="AU25" s="42">
        <v>15000000</v>
      </c>
      <c r="AV25" s="42">
        <v>15000000</v>
      </c>
      <c r="AW25" s="42">
        <v>10000000</v>
      </c>
      <c r="AX25" s="42">
        <v>200000</v>
      </c>
      <c r="AY25" s="42">
        <v>7500000</v>
      </c>
      <c r="AZ25" s="61">
        <v>900000</v>
      </c>
      <c r="BA25" s="10"/>
      <c r="BB25" s="10"/>
      <c r="BC25" s="10"/>
      <c r="BD25" s="10"/>
      <c r="BE25" s="10"/>
      <c r="BF25" s="10"/>
      <c r="BG25" s="10"/>
    </row>
    <row r="26" spans="1:59" ht="15.75" customHeight="1">
      <c r="A26" s="10"/>
      <c r="B26" s="156" t="s">
        <v>332</v>
      </c>
      <c r="C26" s="157">
        <v>5</v>
      </c>
      <c r="D26" s="158">
        <v>8</v>
      </c>
      <c r="E26" s="158">
        <v>5</v>
      </c>
      <c r="F26" s="158">
        <v>10</v>
      </c>
      <c r="G26" s="158">
        <v>9</v>
      </c>
      <c r="H26" s="158">
        <v>5</v>
      </c>
      <c r="I26" s="158">
        <v>5</v>
      </c>
      <c r="J26" s="158">
        <v>5</v>
      </c>
      <c r="K26" s="158">
        <v>5</v>
      </c>
      <c r="L26" s="158">
        <v>5</v>
      </c>
      <c r="M26" s="158">
        <v>5</v>
      </c>
      <c r="N26" s="158">
        <v>5</v>
      </c>
      <c r="O26" s="158">
        <v>5</v>
      </c>
      <c r="P26" s="158">
        <v>5</v>
      </c>
      <c r="Q26" s="158">
        <v>5</v>
      </c>
      <c r="R26" s="158">
        <v>5</v>
      </c>
      <c r="S26" s="158">
        <v>5</v>
      </c>
      <c r="T26" s="158">
        <v>5</v>
      </c>
      <c r="U26" s="158">
        <v>5</v>
      </c>
      <c r="V26" s="158">
        <v>5</v>
      </c>
      <c r="W26" s="158">
        <v>5</v>
      </c>
      <c r="X26" s="158">
        <v>5</v>
      </c>
      <c r="Y26" s="158">
        <v>5</v>
      </c>
      <c r="Z26" s="158">
        <v>5</v>
      </c>
      <c r="AA26" s="158">
        <v>5</v>
      </c>
      <c r="AB26" s="158">
        <v>5</v>
      </c>
      <c r="AC26" s="159">
        <v>5</v>
      </c>
      <c r="AD26" s="158">
        <v>5</v>
      </c>
      <c r="AE26" s="158">
        <v>5</v>
      </c>
      <c r="AF26" s="158">
        <v>5</v>
      </c>
      <c r="AG26" s="158">
        <v>5</v>
      </c>
      <c r="AH26" s="158">
        <v>5</v>
      </c>
      <c r="AI26" s="158">
        <v>5</v>
      </c>
      <c r="AJ26" s="158">
        <v>5</v>
      </c>
      <c r="AK26" s="158">
        <v>5</v>
      </c>
      <c r="AL26" s="158">
        <v>5</v>
      </c>
      <c r="AM26" s="158">
        <v>10</v>
      </c>
      <c r="AN26" s="158">
        <v>5</v>
      </c>
      <c r="AO26" s="158">
        <v>5</v>
      </c>
      <c r="AP26" s="158">
        <v>5</v>
      </c>
      <c r="AQ26" s="158">
        <v>5</v>
      </c>
      <c r="AR26" s="158">
        <v>6</v>
      </c>
      <c r="AS26" s="158">
        <v>5</v>
      </c>
      <c r="AT26" s="158">
        <v>5</v>
      </c>
      <c r="AU26" s="158">
        <v>5</v>
      </c>
      <c r="AV26" s="158">
        <v>5</v>
      </c>
      <c r="AW26" s="158">
        <v>10</v>
      </c>
      <c r="AX26" s="158">
        <v>5</v>
      </c>
      <c r="AY26" s="158">
        <v>5</v>
      </c>
      <c r="AZ26" s="161">
        <v>5</v>
      </c>
      <c r="BA26" s="10"/>
      <c r="BB26" s="10"/>
      <c r="BC26" s="10"/>
      <c r="BD26" s="10"/>
      <c r="BE26" s="10"/>
      <c r="BF26" s="10"/>
      <c r="BG26" s="10"/>
    </row>
    <row r="27" spans="1:59" ht="15.75" customHeight="1">
      <c r="A27" s="10"/>
      <c r="B27" s="99"/>
      <c r="C27" s="100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42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101"/>
      <c r="BA27" s="10"/>
      <c r="BB27" s="10"/>
      <c r="BC27" s="10"/>
      <c r="BD27" s="10"/>
      <c r="BE27" s="10"/>
      <c r="BF27" s="10"/>
      <c r="BG27" s="10"/>
    </row>
    <row r="28" spans="1:59" ht="15.75" customHeight="1">
      <c r="A28" s="10"/>
      <c r="B28" s="162" t="s">
        <v>333</v>
      </c>
      <c r="C28" s="88">
        <v>100000</v>
      </c>
      <c r="D28" s="60">
        <v>10000</v>
      </c>
      <c r="E28" s="42">
        <v>625</v>
      </c>
      <c r="F28" s="60">
        <v>400</v>
      </c>
      <c r="G28" s="42" t="s">
        <v>334</v>
      </c>
      <c r="H28" s="42">
        <v>9</v>
      </c>
      <c r="I28" s="42">
        <v>48000</v>
      </c>
      <c r="J28" s="42" t="s">
        <v>334</v>
      </c>
      <c r="K28" s="42">
        <v>50000</v>
      </c>
      <c r="L28" s="42">
        <v>34200</v>
      </c>
      <c r="M28" s="42">
        <v>9</v>
      </c>
      <c r="N28" s="42">
        <v>26250</v>
      </c>
      <c r="O28" s="42">
        <v>24000</v>
      </c>
      <c r="P28" s="42">
        <v>10</v>
      </c>
      <c r="Q28" s="42">
        <v>36000</v>
      </c>
      <c r="R28" s="42">
        <v>6000</v>
      </c>
      <c r="S28" s="42">
        <v>21000</v>
      </c>
      <c r="T28" s="42">
        <v>16000</v>
      </c>
      <c r="U28" s="42">
        <v>2500</v>
      </c>
      <c r="V28" s="42">
        <v>1500</v>
      </c>
      <c r="W28" s="42">
        <v>40000</v>
      </c>
      <c r="X28" s="42">
        <v>50</v>
      </c>
      <c r="Y28" s="42">
        <v>60000</v>
      </c>
      <c r="Z28" s="42">
        <v>600</v>
      </c>
      <c r="AA28" s="60">
        <v>100</v>
      </c>
      <c r="AB28" s="42">
        <v>16000</v>
      </c>
      <c r="AC28" s="60">
        <v>10000</v>
      </c>
      <c r="AD28" s="42">
        <v>2</v>
      </c>
      <c r="AE28" s="42">
        <v>25</v>
      </c>
      <c r="AF28" s="42">
        <v>40000</v>
      </c>
      <c r="AG28" s="42">
        <v>30</v>
      </c>
      <c r="AH28" s="60">
        <v>50</v>
      </c>
      <c r="AI28" s="42">
        <v>45030</v>
      </c>
      <c r="AJ28" s="42" t="s">
        <v>334</v>
      </c>
      <c r="AK28" s="42">
        <v>300</v>
      </c>
      <c r="AL28" s="163" t="s">
        <v>334</v>
      </c>
      <c r="AM28" s="163" t="s">
        <v>334</v>
      </c>
      <c r="AN28" s="163" t="s">
        <v>334</v>
      </c>
      <c r="AO28" s="163" t="s">
        <v>334</v>
      </c>
      <c r="AP28" s="163" t="s">
        <v>334</v>
      </c>
      <c r="AQ28" s="163" t="s">
        <v>334</v>
      </c>
      <c r="AR28" s="60">
        <v>50000</v>
      </c>
      <c r="AS28" s="42">
        <v>500</v>
      </c>
      <c r="AT28" s="42">
        <v>200</v>
      </c>
      <c r="AU28" s="42">
        <v>500000</v>
      </c>
      <c r="AV28" s="42">
        <v>100</v>
      </c>
      <c r="AW28" s="42">
        <v>1000</v>
      </c>
      <c r="AX28" s="42">
        <v>400</v>
      </c>
      <c r="AY28" s="42">
        <v>60000</v>
      </c>
      <c r="AZ28" s="164">
        <v>10000</v>
      </c>
      <c r="BA28" s="10"/>
      <c r="BB28" s="10"/>
      <c r="BC28" s="10"/>
      <c r="BD28" s="10"/>
      <c r="BE28" s="10"/>
      <c r="BF28" s="10"/>
      <c r="BG28" s="10"/>
    </row>
    <row r="29" spans="1:59" ht="15.75" customHeight="1">
      <c r="A29" s="10"/>
      <c r="B29" s="162" t="s">
        <v>335</v>
      </c>
      <c r="C29" s="88">
        <v>1000</v>
      </c>
      <c r="D29" s="60">
        <v>10000</v>
      </c>
      <c r="E29" s="42">
        <v>625</v>
      </c>
      <c r="F29" s="42">
        <v>40</v>
      </c>
      <c r="G29" s="60">
        <v>5000</v>
      </c>
      <c r="H29" s="42">
        <v>9</v>
      </c>
      <c r="I29" s="42">
        <v>48000</v>
      </c>
      <c r="J29" s="42">
        <v>6000</v>
      </c>
      <c r="K29" s="42">
        <v>10000</v>
      </c>
      <c r="L29" s="42">
        <v>34200</v>
      </c>
      <c r="M29" s="42">
        <v>0.9</v>
      </c>
      <c r="N29" s="42">
        <v>14000</v>
      </c>
      <c r="O29" s="42">
        <v>8100</v>
      </c>
      <c r="P29" s="42">
        <v>10</v>
      </c>
      <c r="Q29" s="42">
        <v>12000</v>
      </c>
      <c r="R29" s="42">
        <v>6000</v>
      </c>
      <c r="S29" s="42">
        <v>21000</v>
      </c>
      <c r="T29" s="42">
        <v>16000</v>
      </c>
      <c r="U29" s="42">
        <v>2500</v>
      </c>
      <c r="V29" s="42">
        <v>1500</v>
      </c>
      <c r="W29" s="42">
        <v>40000</v>
      </c>
      <c r="X29" s="42">
        <v>50</v>
      </c>
      <c r="Y29" s="42">
        <v>60000</v>
      </c>
      <c r="Z29" s="42">
        <v>600</v>
      </c>
      <c r="AA29" s="60">
        <v>40</v>
      </c>
      <c r="AB29" s="42">
        <v>4000</v>
      </c>
      <c r="AC29" s="42">
        <v>2.5</v>
      </c>
      <c r="AD29" s="42">
        <v>1</v>
      </c>
      <c r="AE29" s="42">
        <v>25</v>
      </c>
      <c r="AF29" s="42">
        <v>40000</v>
      </c>
      <c r="AG29" s="42">
        <v>30</v>
      </c>
      <c r="AH29" s="42">
        <v>50</v>
      </c>
      <c r="AI29" s="42">
        <v>15010</v>
      </c>
      <c r="AJ29" s="42">
        <v>10000</v>
      </c>
      <c r="AK29" s="42">
        <v>30</v>
      </c>
      <c r="AL29" s="42">
        <v>1</v>
      </c>
      <c r="AM29" s="42">
        <v>1</v>
      </c>
      <c r="AN29" s="42">
        <v>10</v>
      </c>
      <c r="AO29" s="42">
        <v>1</v>
      </c>
      <c r="AP29" s="42">
        <v>1</v>
      </c>
      <c r="AQ29" s="42">
        <v>1</v>
      </c>
      <c r="AR29" s="60">
        <v>1000</v>
      </c>
      <c r="AS29" s="42">
        <v>25</v>
      </c>
      <c r="AT29" s="42">
        <v>100</v>
      </c>
      <c r="AU29" s="42">
        <v>25000</v>
      </c>
      <c r="AV29" s="42">
        <v>5</v>
      </c>
      <c r="AW29" s="42">
        <v>50</v>
      </c>
      <c r="AX29" s="42">
        <v>10</v>
      </c>
      <c r="AY29" s="42">
        <v>60000</v>
      </c>
      <c r="AZ29" s="164">
        <v>1000</v>
      </c>
      <c r="BA29" s="10"/>
      <c r="BB29" s="10"/>
      <c r="BC29" s="10"/>
      <c r="BD29" s="10"/>
      <c r="BE29" s="10"/>
      <c r="BF29" s="10"/>
      <c r="BG29" s="10"/>
    </row>
    <row r="30" spans="1:59" ht="15.75" customHeight="1">
      <c r="A30" s="10"/>
      <c r="B30" s="99"/>
      <c r="C30" s="100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101"/>
      <c r="BA30" s="10"/>
      <c r="BB30" s="10"/>
      <c r="BC30" s="10"/>
      <c r="BD30" s="10"/>
      <c r="BE30" s="10"/>
      <c r="BF30" s="10"/>
      <c r="BG30" s="10"/>
    </row>
    <row r="31" spans="1:59" ht="42">
      <c r="A31" s="165">
        <v>1</v>
      </c>
      <c r="B31" s="237" t="s">
        <v>336</v>
      </c>
      <c r="C31" s="166" t="str">
        <f t="shared" ref="C31:AJ31" si="1">C4</f>
        <v>Huuuge Casino</v>
      </c>
      <c r="D31" s="167" t="str">
        <f t="shared" si="1"/>
        <v>DoubleDown</v>
      </c>
      <c r="E31" s="167" t="str">
        <f t="shared" si="1"/>
        <v>Big Fish Casino</v>
      </c>
      <c r="F31" s="167" t="str">
        <f t="shared" si="1"/>
        <v>GSN Casino</v>
      </c>
      <c r="G31" s="167" t="str">
        <f t="shared" si="1"/>
        <v>Heart of Vegas</v>
      </c>
      <c r="H31" s="167" t="str">
        <f t="shared" si="1"/>
        <v>House of Fun</v>
      </c>
      <c r="I31" s="167" t="str">
        <f t="shared" si="1"/>
        <v>Jackpot Party HD</v>
      </c>
      <c r="J31" s="167" t="str">
        <f t="shared" si="1"/>
        <v>DoubleU Casino</v>
      </c>
      <c r="K31" s="167" t="str">
        <f t="shared" si="1"/>
        <v>Wizard of Oz</v>
      </c>
      <c r="L31" s="167" t="str">
        <f t="shared" si="1"/>
        <v>Hit It Rich</v>
      </c>
      <c r="M31" s="167" t="str">
        <f t="shared" si="1"/>
        <v>Slotomania HD</v>
      </c>
      <c r="N31" s="167" t="str">
        <f t="shared" si="1"/>
        <v>Gold Fish HD</v>
      </c>
      <c r="O31" s="167" t="str">
        <f t="shared" si="1"/>
        <v>Quick Hit Slots</v>
      </c>
      <c r="P31" s="167" t="str">
        <f t="shared" si="1"/>
        <v>Caesars Slots</v>
      </c>
      <c r="Q31" s="167" t="str">
        <f t="shared" si="1"/>
        <v>Wonka Slots</v>
      </c>
      <c r="R31" s="167" t="str">
        <f t="shared" si="1"/>
        <v>my KONAMI</v>
      </c>
      <c r="S31" s="167" t="str">
        <f t="shared" si="1"/>
        <v>Black Diamond Slots</v>
      </c>
      <c r="T31" s="167" t="str">
        <f t="shared" si="1"/>
        <v>Ellen’s Road to Riches</v>
      </c>
      <c r="U31" s="167" t="str">
        <f t="shared" si="1"/>
        <v>Jackpot Magic Slots</v>
      </c>
      <c r="V31" s="167" t="str">
        <f t="shared" si="1"/>
        <v>myVEGAS</v>
      </c>
      <c r="W31" s="167" t="str">
        <f t="shared" si="1"/>
        <v>Scatter Slots</v>
      </c>
      <c r="X31" s="167" t="str">
        <f t="shared" si="1"/>
        <v>Viva Slots Las Vegas</v>
      </c>
      <c r="Y31" s="167" t="str">
        <f t="shared" si="1"/>
        <v>Infinity Slots</v>
      </c>
      <c r="Z31" s="167" t="str">
        <f t="shared" si="1"/>
        <v>POP! Slots</v>
      </c>
      <c r="AA31" s="167" t="str">
        <f t="shared" si="1"/>
        <v>High 5 Casino</v>
      </c>
      <c r="AB31" s="167" t="str">
        <f t="shared" si="1"/>
        <v>Hot Shot Casino</v>
      </c>
      <c r="AC31" s="167" t="str">
        <f t="shared" si="1"/>
        <v>Jackpotjoy Slots</v>
      </c>
      <c r="AD31" s="167" t="str">
        <f t="shared" si="1"/>
        <v>Pharaoh's Way</v>
      </c>
      <c r="AE31" s="167" t="str">
        <f t="shared" si="1"/>
        <v>Slot Bonanza HD</v>
      </c>
      <c r="AF31" s="167" t="str">
        <f t="shared" si="1"/>
        <v>Slots Era</v>
      </c>
      <c r="AG31" s="167" t="str">
        <f t="shared" si="1"/>
        <v>Xtreme Slots</v>
      </c>
      <c r="AH31" s="167" t="str">
        <f t="shared" si="1"/>
        <v>Old Vegas</v>
      </c>
      <c r="AI31" s="167" t="str">
        <f t="shared" si="1"/>
        <v>88 Fortune Slots</v>
      </c>
      <c r="AJ31" s="167" t="str">
        <f t="shared" si="1"/>
        <v>Cashman Casino</v>
      </c>
      <c r="AK31" s="167" t="str">
        <f t="shared" ref="AK31:AX31" si="2">AK4</f>
        <v>Spin to Win Slots</v>
      </c>
      <c r="AL31" s="167" t="str">
        <f t="shared" si="2"/>
        <v>Bingo Bash</v>
      </c>
      <c r="AM31" s="167" t="str">
        <f t="shared" si="2"/>
        <v>Bingo Blitz</v>
      </c>
      <c r="AN31" s="167" t="str">
        <f t="shared" si="2"/>
        <v>Bingo Party</v>
      </c>
      <c r="AO31" s="167" t="str">
        <f t="shared" si="2"/>
        <v>Monopoly Bingo</v>
      </c>
      <c r="AP31" s="167" t="str">
        <f t="shared" si="2"/>
        <v>Bingo Showdown</v>
      </c>
      <c r="AQ31" s="167" t="str">
        <f t="shared" si="2"/>
        <v>Bingo Pop</v>
      </c>
      <c r="AR31" s="167" t="str">
        <f t="shared" si="2"/>
        <v>WSOP</v>
      </c>
      <c r="AS31" s="167" t="str">
        <f t="shared" si="2"/>
        <v>Zynga - Texas Holdem</v>
      </c>
      <c r="AT31" s="167" t="str">
        <f t="shared" si="2"/>
        <v>Poker Heat</v>
      </c>
      <c r="AU31" s="167" t="str">
        <f t="shared" si="2"/>
        <v>Scatter HoldEm Poker</v>
      </c>
      <c r="AV31" s="167" t="str">
        <f t="shared" si="2"/>
        <v>Fresh Deck</v>
      </c>
      <c r="AW31" s="167" t="str">
        <f t="shared" si="2"/>
        <v>Pokerist</v>
      </c>
      <c r="AX31" s="167" t="str">
        <f t="shared" si="2"/>
        <v>Texas Holdem</v>
      </c>
      <c r="AY31" s="167" t="s">
        <v>52</v>
      </c>
      <c r="AZ31" s="168" t="str">
        <f>AZ4</f>
        <v>Monopoly Slots</v>
      </c>
      <c r="BA31" s="70"/>
      <c r="BB31" s="70"/>
      <c r="BC31" s="70"/>
      <c r="BD31" s="70"/>
      <c r="BE31" s="70"/>
      <c r="BF31" s="70"/>
      <c r="BG31" s="70"/>
    </row>
    <row r="32" spans="1:59" ht="15.75" customHeight="1">
      <c r="A32" s="169">
        <v>2</v>
      </c>
      <c r="B32" s="171" t="s">
        <v>337</v>
      </c>
      <c r="C32" s="157">
        <f t="shared" ref="C32:AZ32" si="3">C6/C49</f>
        <v>5.7055555555555557</v>
      </c>
      <c r="D32" s="158">
        <f t="shared" si="3"/>
        <v>8</v>
      </c>
      <c r="E32" s="158">
        <f t="shared" si="3"/>
        <v>9.0909090909090917</v>
      </c>
      <c r="F32" s="158">
        <f t="shared" si="3"/>
        <v>1.0964912280701755</v>
      </c>
      <c r="G32" s="158">
        <f t="shared" si="3"/>
        <v>20</v>
      </c>
      <c r="H32" s="158">
        <f t="shared" si="3"/>
        <v>0.25</v>
      </c>
      <c r="I32" s="158">
        <f t="shared" si="3"/>
        <v>3</v>
      </c>
      <c r="J32" s="158">
        <f t="shared" si="3"/>
        <v>3.3333333333333335</v>
      </c>
      <c r="K32" s="158">
        <f t="shared" si="3"/>
        <v>0.40909090909090912</v>
      </c>
      <c r="L32" s="158">
        <f t="shared" si="3"/>
        <v>16</v>
      </c>
      <c r="M32" s="158">
        <f t="shared" si="3"/>
        <v>3.3333333333333335</v>
      </c>
      <c r="N32" s="158">
        <f t="shared" si="3"/>
        <v>1.6666666666666667</v>
      </c>
      <c r="O32" s="158">
        <f t="shared" si="3"/>
        <v>1.25</v>
      </c>
      <c r="P32" s="158">
        <f t="shared" si="3"/>
        <v>1</v>
      </c>
      <c r="Q32" s="158">
        <f t="shared" si="3"/>
        <v>1.5</v>
      </c>
      <c r="R32" s="158" t="e">
        <f t="shared" si="3"/>
        <v>#REF!</v>
      </c>
      <c r="S32" s="158">
        <f t="shared" si="3"/>
        <v>6</v>
      </c>
      <c r="T32" s="158">
        <f t="shared" si="3"/>
        <v>3.4722222222222223</v>
      </c>
      <c r="U32" s="158">
        <f t="shared" si="3"/>
        <v>5</v>
      </c>
      <c r="V32" s="158">
        <f t="shared" si="3"/>
        <v>0.95238095238095233</v>
      </c>
      <c r="W32" s="158">
        <f t="shared" si="3"/>
        <v>17.475000000000001</v>
      </c>
      <c r="X32" s="158">
        <f t="shared" si="3"/>
        <v>1.3333333333333333</v>
      </c>
      <c r="Y32" s="158">
        <f t="shared" si="3"/>
        <v>1.6666666666666667</v>
      </c>
      <c r="Z32" s="158">
        <f t="shared" si="3"/>
        <v>0.33333333333333331</v>
      </c>
      <c r="AA32" s="158">
        <f t="shared" si="3"/>
        <v>0.34722222222222221</v>
      </c>
      <c r="AB32" s="158">
        <f t="shared" si="3"/>
        <v>4.375</v>
      </c>
      <c r="AC32" s="158">
        <f t="shared" si="3"/>
        <v>8.9791666666666661</v>
      </c>
      <c r="AD32" s="158">
        <f t="shared" si="3"/>
        <v>4.8309178743961354</v>
      </c>
      <c r="AE32" s="158">
        <f t="shared" si="3"/>
        <v>16.018999999999998</v>
      </c>
      <c r="AF32" s="158">
        <f t="shared" si="3"/>
        <v>17.475000000000001</v>
      </c>
      <c r="AG32" s="158">
        <f t="shared" si="3"/>
        <v>1.5496759259259258</v>
      </c>
      <c r="AH32" s="158">
        <f t="shared" si="3"/>
        <v>7.5</v>
      </c>
      <c r="AI32" s="158">
        <f t="shared" si="3"/>
        <v>1.2698412698412698</v>
      </c>
      <c r="AJ32" s="158">
        <f t="shared" si="3"/>
        <v>5</v>
      </c>
      <c r="AK32" s="158">
        <f t="shared" si="3"/>
        <v>0.4</v>
      </c>
      <c r="AL32" s="158">
        <f t="shared" si="3"/>
        <v>5.9776515151515168</v>
      </c>
      <c r="AM32" s="158">
        <f t="shared" si="3"/>
        <v>32.523250000000004</v>
      </c>
      <c r="AN32" s="158">
        <f t="shared" si="3"/>
        <v>16.515384615384615</v>
      </c>
      <c r="AO32" s="158">
        <f t="shared" si="3"/>
        <v>5.8985423197492164</v>
      </c>
      <c r="AP32" s="158">
        <f t="shared" si="3"/>
        <v>3.8151794871794871</v>
      </c>
      <c r="AQ32" s="158">
        <f t="shared" si="3"/>
        <v>25.965</v>
      </c>
      <c r="AR32" s="158">
        <f t="shared" si="3"/>
        <v>0.2</v>
      </c>
      <c r="AS32" s="158">
        <f t="shared" si="3"/>
        <v>0.34908725812340269</v>
      </c>
      <c r="AT32" s="158">
        <f t="shared" si="3"/>
        <v>0.75</v>
      </c>
      <c r="AU32" s="158">
        <f t="shared" si="3"/>
        <v>5.3233333333333333</v>
      </c>
      <c r="AV32" s="158">
        <f t="shared" si="3"/>
        <v>0.11156666666666666</v>
      </c>
      <c r="AW32" s="158">
        <f t="shared" si="3"/>
        <v>0.2545</v>
      </c>
      <c r="AX32" s="158">
        <f t="shared" si="3"/>
        <v>0.02</v>
      </c>
      <c r="AY32" s="158">
        <f t="shared" si="3"/>
        <v>6.658666666666667</v>
      </c>
      <c r="AZ32" s="161">
        <f t="shared" si="3"/>
        <v>2.2222222222222223</v>
      </c>
      <c r="BA32" s="170"/>
      <c r="BB32" s="170"/>
      <c r="BC32" s="170"/>
      <c r="BD32" s="170"/>
      <c r="BE32" s="170"/>
      <c r="BF32" s="170"/>
      <c r="BG32" s="170"/>
    </row>
    <row r="33" spans="1:59" ht="15.75" customHeight="1">
      <c r="A33" s="169">
        <v>3</v>
      </c>
      <c r="B33" s="171"/>
      <c r="C33" s="100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101"/>
      <c r="BA33" s="10"/>
      <c r="BB33" s="10"/>
      <c r="BC33" s="10"/>
      <c r="BD33" s="10"/>
      <c r="BE33" s="10"/>
      <c r="BF33" s="10"/>
      <c r="BG33" s="10"/>
    </row>
    <row r="34" spans="1:59" ht="15.75" customHeight="1">
      <c r="A34" s="169">
        <v>4</v>
      </c>
      <c r="B34" s="171" t="s">
        <v>338</v>
      </c>
      <c r="C34" s="88">
        <f t="shared" ref="C34:AZ34" si="4">C10*C11</f>
        <v>808000</v>
      </c>
      <c r="D34" s="42">
        <f t="shared" si="4"/>
        <v>178000</v>
      </c>
      <c r="E34" s="42">
        <f t="shared" si="4"/>
        <v>42600</v>
      </c>
      <c r="F34" s="42">
        <f t="shared" si="4"/>
        <v>10890</v>
      </c>
      <c r="G34" s="42">
        <f t="shared" si="4"/>
        <v>41800</v>
      </c>
      <c r="H34" s="42">
        <f t="shared" si="4"/>
        <v>420</v>
      </c>
      <c r="I34" s="42">
        <f t="shared" si="4"/>
        <v>1002400</v>
      </c>
      <c r="J34" s="42">
        <f t="shared" si="4"/>
        <v>172400</v>
      </c>
      <c r="K34" s="42">
        <f t="shared" si="4"/>
        <v>361000</v>
      </c>
      <c r="L34" s="42">
        <f t="shared" si="4"/>
        <v>130000</v>
      </c>
      <c r="M34" s="42">
        <f t="shared" si="4"/>
        <v>780</v>
      </c>
      <c r="N34" s="42">
        <f t="shared" si="4"/>
        <v>1252500</v>
      </c>
      <c r="O34" s="42">
        <f t="shared" si="4"/>
        <v>188260</v>
      </c>
      <c r="P34" s="42">
        <f t="shared" si="4"/>
        <v>7500</v>
      </c>
      <c r="Q34" s="42">
        <f t="shared" si="4"/>
        <v>314000</v>
      </c>
      <c r="R34" s="42">
        <f t="shared" si="4"/>
        <v>40208.6</v>
      </c>
      <c r="S34" s="42">
        <f t="shared" si="4"/>
        <v>1200000</v>
      </c>
      <c r="T34" s="42">
        <f t="shared" si="4"/>
        <v>960000</v>
      </c>
      <c r="U34" s="42">
        <f t="shared" si="4"/>
        <v>390000</v>
      </c>
      <c r="V34" s="42">
        <f t="shared" si="4"/>
        <v>0</v>
      </c>
      <c r="W34" s="42">
        <f t="shared" si="4"/>
        <v>360000</v>
      </c>
      <c r="X34" s="42">
        <f t="shared" si="4"/>
        <v>1500</v>
      </c>
      <c r="Y34" s="42">
        <f t="shared" si="4"/>
        <v>1700000</v>
      </c>
      <c r="Z34" s="42">
        <f t="shared" si="4"/>
        <v>30000</v>
      </c>
      <c r="AA34" s="42">
        <f t="shared" si="4"/>
        <v>1220</v>
      </c>
      <c r="AB34" s="42">
        <f t="shared" si="4"/>
        <v>94500</v>
      </c>
      <c r="AC34" s="42">
        <f t="shared" si="4"/>
        <v>486.8</v>
      </c>
      <c r="AD34" s="42">
        <f t="shared" si="4"/>
        <v>6820</v>
      </c>
      <c r="AE34" s="42">
        <f t="shared" si="4"/>
        <v>1000</v>
      </c>
      <c r="AF34" s="42">
        <f t="shared" si="4"/>
        <v>462000</v>
      </c>
      <c r="AG34" s="42">
        <f t="shared" si="4"/>
        <v>560</v>
      </c>
      <c r="AH34" s="42">
        <f t="shared" si="4"/>
        <v>3400</v>
      </c>
      <c r="AI34" s="42">
        <f t="shared" si="4"/>
        <v>514000</v>
      </c>
      <c r="AJ34" s="42">
        <f t="shared" si="4"/>
        <v>222000</v>
      </c>
      <c r="AK34" s="42">
        <f t="shared" si="4"/>
        <v>30000</v>
      </c>
      <c r="AL34" s="42">
        <f t="shared" si="4"/>
        <v>7.4848636363636372</v>
      </c>
      <c r="AM34" s="42">
        <f t="shared" si="4"/>
        <v>55.204000000000008</v>
      </c>
      <c r="AN34" s="42">
        <f t="shared" si="4"/>
        <v>226.76923076923077</v>
      </c>
      <c r="AO34" s="42">
        <f t="shared" si="4"/>
        <v>20</v>
      </c>
      <c r="AP34" s="42">
        <f t="shared" si="4"/>
        <v>3.8919466666666667</v>
      </c>
      <c r="AQ34" s="42">
        <f t="shared" si="4"/>
        <v>14</v>
      </c>
      <c r="AR34" s="174">
        <f t="shared" si="4"/>
        <v>265000</v>
      </c>
      <c r="AS34" s="174">
        <f t="shared" si="4"/>
        <v>366045</v>
      </c>
      <c r="AT34" s="174">
        <f t="shared" si="4"/>
        <v>1000</v>
      </c>
      <c r="AU34" s="42">
        <f t="shared" si="4"/>
        <v>66000</v>
      </c>
      <c r="AV34" s="42">
        <f t="shared" si="4"/>
        <v>35500</v>
      </c>
      <c r="AW34" s="42">
        <f t="shared" si="4"/>
        <v>5400</v>
      </c>
      <c r="AX34" s="42">
        <f t="shared" si="4"/>
        <v>522</v>
      </c>
      <c r="AY34" s="42">
        <f t="shared" si="4"/>
        <v>1135157.2</v>
      </c>
      <c r="AZ34" s="61">
        <f t="shared" si="4"/>
        <v>50000</v>
      </c>
      <c r="BA34" s="170"/>
      <c r="BB34" s="170"/>
      <c r="BC34" s="170"/>
      <c r="BD34" s="170"/>
      <c r="BE34" s="170"/>
      <c r="BF34" s="170"/>
      <c r="BG34" s="170"/>
    </row>
    <row r="35" spans="1:59" ht="15.75" customHeight="1">
      <c r="A35" s="169">
        <v>5</v>
      </c>
      <c r="B35" s="171" t="s">
        <v>339</v>
      </c>
      <c r="C35" s="157">
        <f t="shared" ref="C35:AZ35" si="5">C34/C$49</f>
        <v>0.44888888888888889</v>
      </c>
      <c r="D35" s="158">
        <f t="shared" si="5"/>
        <v>1.4239999999999999</v>
      </c>
      <c r="E35" s="158">
        <f t="shared" si="5"/>
        <v>3.8727272727272726</v>
      </c>
      <c r="F35" s="158">
        <f t="shared" si="5"/>
        <v>0.95526315789473681</v>
      </c>
      <c r="G35" s="158">
        <f t="shared" si="5"/>
        <v>0.41799999999999998</v>
      </c>
      <c r="H35" s="158">
        <f t="shared" si="5"/>
        <v>0.105</v>
      </c>
      <c r="I35" s="158">
        <f t="shared" si="5"/>
        <v>0.50119999999999998</v>
      </c>
      <c r="J35" s="158">
        <f t="shared" si="5"/>
        <v>0.57466666666666666</v>
      </c>
      <c r="K35" s="158">
        <f t="shared" si="5"/>
        <v>3.2818181818181816E-2</v>
      </c>
      <c r="L35" s="158">
        <f t="shared" si="5"/>
        <v>1.368421052631579</v>
      </c>
      <c r="M35" s="158">
        <f t="shared" si="5"/>
        <v>0.26</v>
      </c>
      <c r="N35" s="158">
        <f t="shared" si="5"/>
        <v>2.0874999999999999</v>
      </c>
      <c r="O35" s="158">
        <f t="shared" si="5"/>
        <v>0.18826000000000001</v>
      </c>
      <c r="P35" s="158">
        <f t="shared" si="5"/>
        <v>0.1875</v>
      </c>
      <c r="Q35" s="158">
        <f t="shared" si="5"/>
        <v>0.26166666666666666</v>
      </c>
      <c r="R35" s="158">
        <f t="shared" si="5"/>
        <v>0.16753583333333333</v>
      </c>
      <c r="S35" s="158">
        <f t="shared" si="5"/>
        <v>1.2</v>
      </c>
      <c r="T35" s="158">
        <f t="shared" si="5"/>
        <v>0.66666666666666663</v>
      </c>
      <c r="U35" s="158">
        <f t="shared" si="5"/>
        <v>1.95</v>
      </c>
      <c r="V35" s="158">
        <f t="shared" si="5"/>
        <v>0</v>
      </c>
      <c r="W35" s="158">
        <f t="shared" si="5"/>
        <v>0.15</v>
      </c>
      <c r="X35" s="158">
        <f t="shared" si="5"/>
        <v>1</v>
      </c>
      <c r="Y35" s="158">
        <f t="shared" si="5"/>
        <v>0.94444444444444442</v>
      </c>
      <c r="Z35" s="158">
        <f t="shared" si="5"/>
        <v>0.33333333333333331</v>
      </c>
      <c r="AA35" s="158">
        <f t="shared" si="5"/>
        <v>4.2361111111111113E-2</v>
      </c>
      <c r="AB35" s="158">
        <f t="shared" si="5"/>
        <v>0.29531249999999998</v>
      </c>
      <c r="AC35" s="158">
        <f t="shared" si="5"/>
        <v>1.3522222222222222E-2</v>
      </c>
      <c r="AD35" s="158">
        <f t="shared" si="5"/>
        <v>0.82367149758454106</v>
      </c>
      <c r="AE35" s="158">
        <f t="shared" si="5"/>
        <v>0.2</v>
      </c>
      <c r="AF35" s="158">
        <f t="shared" si="5"/>
        <v>0.1925</v>
      </c>
      <c r="AG35" s="158">
        <f t="shared" si="5"/>
        <v>0.1728395061728395</v>
      </c>
      <c r="AH35" s="158">
        <f t="shared" si="5"/>
        <v>1.7</v>
      </c>
      <c r="AI35" s="158">
        <f t="shared" si="5"/>
        <v>0.32634920634920633</v>
      </c>
      <c r="AJ35" s="158">
        <f t="shared" si="5"/>
        <v>0.55500000000000005</v>
      </c>
      <c r="AK35" s="158">
        <f t="shared" si="5"/>
        <v>0.06</v>
      </c>
      <c r="AL35" s="158">
        <f t="shared" si="5"/>
        <v>0.49899090909090915</v>
      </c>
      <c r="AM35" s="158">
        <f t="shared" si="5"/>
        <v>2.7602000000000002</v>
      </c>
      <c r="AN35" s="158">
        <f t="shared" si="5"/>
        <v>2.2676923076923079</v>
      </c>
      <c r="AO35" s="158">
        <f t="shared" si="5"/>
        <v>3.0303030303030303</v>
      </c>
      <c r="AP35" s="158">
        <f t="shared" si="5"/>
        <v>0.37422564102564099</v>
      </c>
      <c r="AQ35" s="158">
        <f t="shared" si="5"/>
        <v>1.75</v>
      </c>
      <c r="AR35" s="158">
        <f t="shared" si="5"/>
        <v>0.21199999999999999</v>
      </c>
      <c r="AS35" s="158">
        <f t="shared" si="5"/>
        <v>0.22184545454545454</v>
      </c>
      <c r="AT35" s="158">
        <f t="shared" si="5"/>
        <v>0.05</v>
      </c>
      <c r="AU35" s="158">
        <f t="shared" si="5"/>
        <v>2.1999999999999999E-2</v>
      </c>
      <c r="AV35" s="158">
        <f t="shared" si="5"/>
        <v>1.1833333333333333E-2</v>
      </c>
      <c r="AW35" s="158">
        <f t="shared" si="5"/>
        <v>5.4000000000000003E-3</v>
      </c>
      <c r="AX35" s="158">
        <f t="shared" si="5"/>
        <v>1.3050000000000001E-2</v>
      </c>
      <c r="AY35" s="158">
        <f t="shared" si="5"/>
        <v>0.75677146666666661</v>
      </c>
      <c r="AZ35" s="161">
        <f t="shared" si="5"/>
        <v>0.27777777777777779</v>
      </c>
      <c r="BA35" s="170"/>
      <c r="BB35" s="170"/>
      <c r="BC35" s="170"/>
      <c r="BD35" s="170"/>
      <c r="BE35" s="170"/>
      <c r="BF35" s="170"/>
      <c r="BG35" s="170"/>
    </row>
    <row r="36" spans="1:59" ht="15.75" customHeight="1">
      <c r="A36" s="169">
        <v>6</v>
      </c>
      <c r="B36" s="171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61"/>
      <c r="BA36" s="10"/>
      <c r="BB36" s="10"/>
      <c r="BC36" s="10"/>
      <c r="BD36" s="10"/>
      <c r="BE36" s="10"/>
      <c r="BF36" s="10"/>
      <c r="BG36" s="10"/>
    </row>
    <row r="37" spans="1:59" ht="15.75" customHeight="1">
      <c r="A37" s="169">
        <v>7</v>
      </c>
      <c r="B37" s="171" t="s">
        <v>340</v>
      </c>
      <c r="C37" s="88">
        <f t="shared" ref="C37:AZ37" si="6">C14*C15</f>
        <v>100000</v>
      </c>
      <c r="D37" s="42">
        <f t="shared" si="6"/>
        <v>0</v>
      </c>
      <c r="E37" s="42">
        <f t="shared" si="6"/>
        <v>7350</v>
      </c>
      <c r="F37" s="42">
        <f t="shared" si="6"/>
        <v>17460</v>
      </c>
      <c r="G37" s="42">
        <f t="shared" si="6"/>
        <v>30000</v>
      </c>
      <c r="H37" s="42">
        <f t="shared" si="6"/>
        <v>500</v>
      </c>
      <c r="I37" s="42">
        <f t="shared" si="6"/>
        <v>200000</v>
      </c>
      <c r="J37" s="42">
        <f t="shared" si="6"/>
        <v>82000</v>
      </c>
      <c r="K37" s="42">
        <f t="shared" si="6"/>
        <v>600000</v>
      </c>
      <c r="L37" s="42">
        <f t="shared" si="6"/>
        <v>729000</v>
      </c>
      <c r="M37" s="42">
        <f t="shared" si="6"/>
        <v>1000</v>
      </c>
      <c r="N37" s="42">
        <f t="shared" si="6"/>
        <v>550000</v>
      </c>
      <c r="O37" s="42">
        <f t="shared" si="6"/>
        <v>102000</v>
      </c>
      <c r="P37" s="42">
        <f t="shared" si="6"/>
        <v>18940</v>
      </c>
      <c r="Q37" s="42">
        <f t="shared" si="6"/>
        <v>2514000</v>
      </c>
      <c r="R37" s="42">
        <f t="shared" si="6"/>
        <v>8000</v>
      </c>
      <c r="S37" s="42">
        <f t="shared" si="6"/>
        <v>300000</v>
      </c>
      <c r="T37" s="42">
        <f t="shared" si="6"/>
        <v>0</v>
      </c>
      <c r="U37" s="42">
        <f t="shared" si="6"/>
        <v>188750</v>
      </c>
      <c r="V37" s="42">
        <f t="shared" si="6"/>
        <v>2000</v>
      </c>
      <c r="W37" s="42">
        <f t="shared" si="6"/>
        <v>2947200</v>
      </c>
      <c r="X37" s="42">
        <f t="shared" si="6"/>
        <v>1500</v>
      </c>
      <c r="Y37" s="42">
        <f t="shared" si="6"/>
        <v>1618750</v>
      </c>
      <c r="Z37" s="42">
        <f t="shared" si="6"/>
        <v>11250</v>
      </c>
      <c r="AA37" s="42">
        <f t="shared" si="6"/>
        <v>60</v>
      </c>
      <c r="AB37" s="42">
        <f t="shared" si="6"/>
        <v>120000</v>
      </c>
      <c r="AC37" s="42">
        <f t="shared" si="6"/>
        <v>200</v>
      </c>
      <c r="AD37" s="42">
        <f t="shared" si="6"/>
        <v>4140</v>
      </c>
      <c r="AE37" s="42">
        <f t="shared" si="6"/>
        <v>2000</v>
      </c>
      <c r="AF37" s="42">
        <f t="shared" si="6"/>
        <v>4245000</v>
      </c>
      <c r="AG37" s="42">
        <f t="shared" si="6"/>
        <v>750</v>
      </c>
      <c r="AH37" s="42">
        <f t="shared" si="6"/>
        <v>300</v>
      </c>
      <c r="AI37" s="42">
        <f t="shared" si="6"/>
        <v>225000</v>
      </c>
      <c r="AJ37" s="42">
        <f t="shared" si="6"/>
        <v>38000</v>
      </c>
      <c r="AK37" s="42">
        <f t="shared" si="6"/>
        <v>268000</v>
      </c>
      <c r="AL37" s="42">
        <f t="shared" si="6"/>
        <v>16</v>
      </c>
      <c r="AM37" s="42">
        <f t="shared" si="6"/>
        <v>20.995999999999999</v>
      </c>
      <c r="AN37" s="42">
        <f t="shared" si="6"/>
        <v>0</v>
      </c>
      <c r="AO37" s="42">
        <f t="shared" si="6"/>
        <v>1.37225</v>
      </c>
      <c r="AP37" s="42">
        <f t="shared" si="6"/>
        <v>7</v>
      </c>
      <c r="AQ37" s="42">
        <f t="shared" si="6"/>
        <v>0</v>
      </c>
      <c r="AR37" s="174">
        <f t="shared" si="6"/>
        <v>50000</v>
      </c>
      <c r="AS37" s="174">
        <f t="shared" si="6"/>
        <v>0</v>
      </c>
      <c r="AT37" s="174">
        <f t="shared" si="6"/>
        <v>7440</v>
      </c>
      <c r="AU37" s="42">
        <f t="shared" si="6"/>
        <v>4090000</v>
      </c>
      <c r="AV37" s="42">
        <f t="shared" si="6"/>
        <v>22400</v>
      </c>
      <c r="AW37" s="42">
        <f t="shared" si="6"/>
        <v>0</v>
      </c>
      <c r="AX37" s="42">
        <f t="shared" si="6"/>
        <v>0</v>
      </c>
      <c r="AY37" s="42">
        <f t="shared" si="6"/>
        <v>330000</v>
      </c>
      <c r="AZ37" s="61">
        <f t="shared" si="6"/>
        <v>37500</v>
      </c>
      <c r="BA37" s="10"/>
      <c r="BB37" s="10"/>
      <c r="BC37" s="10"/>
      <c r="BD37" s="10"/>
      <c r="BE37" s="10"/>
      <c r="BF37" s="10"/>
      <c r="BG37" s="10"/>
    </row>
    <row r="38" spans="1:59" ht="15.75" customHeight="1">
      <c r="A38" s="169">
        <v>8</v>
      </c>
      <c r="B38" s="171" t="s">
        <v>341</v>
      </c>
      <c r="C38" s="157">
        <f t="shared" ref="C38:AZ38" si="7">C37/C$49</f>
        <v>5.5555555555555552E-2</v>
      </c>
      <c r="D38" s="158">
        <f t="shared" si="7"/>
        <v>0</v>
      </c>
      <c r="E38" s="158">
        <f t="shared" si="7"/>
        <v>0.66818181818181821</v>
      </c>
      <c r="F38" s="158">
        <f t="shared" si="7"/>
        <v>1.5315789473684212</v>
      </c>
      <c r="G38" s="158">
        <f t="shared" si="7"/>
        <v>0.3</v>
      </c>
      <c r="H38" s="158">
        <f t="shared" si="7"/>
        <v>0.125</v>
      </c>
      <c r="I38" s="158">
        <f t="shared" si="7"/>
        <v>0.1</v>
      </c>
      <c r="J38" s="158">
        <f t="shared" si="7"/>
        <v>0.27333333333333332</v>
      </c>
      <c r="K38" s="158">
        <f t="shared" si="7"/>
        <v>5.4545454545454543E-2</v>
      </c>
      <c r="L38" s="158">
        <f t="shared" si="7"/>
        <v>7.6736842105263161</v>
      </c>
      <c r="M38" s="158">
        <f t="shared" si="7"/>
        <v>0.33333333333333331</v>
      </c>
      <c r="N38" s="158">
        <f t="shared" si="7"/>
        <v>0.91666666666666663</v>
      </c>
      <c r="O38" s="158">
        <f t="shared" si="7"/>
        <v>0.10199999999999999</v>
      </c>
      <c r="P38" s="158">
        <f t="shared" si="7"/>
        <v>0.47349999999999998</v>
      </c>
      <c r="Q38" s="158">
        <f t="shared" si="7"/>
        <v>2.0950000000000002</v>
      </c>
      <c r="R38" s="158">
        <f t="shared" si="7"/>
        <v>3.3333333333333333E-2</v>
      </c>
      <c r="S38" s="158">
        <f t="shared" si="7"/>
        <v>0.3</v>
      </c>
      <c r="T38" s="158">
        <f t="shared" si="7"/>
        <v>0</v>
      </c>
      <c r="U38" s="158">
        <f t="shared" si="7"/>
        <v>0.94374999999999998</v>
      </c>
      <c r="V38" s="158">
        <f t="shared" si="7"/>
        <v>3.8095238095238099E-2</v>
      </c>
      <c r="W38" s="158">
        <f t="shared" si="7"/>
        <v>1.228</v>
      </c>
      <c r="X38" s="158">
        <f t="shared" si="7"/>
        <v>1</v>
      </c>
      <c r="Y38" s="158">
        <f t="shared" si="7"/>
        <v>0.89930555555555558</v>
      </c>
      <c r="Z38" s="158">
        <f t="shared" si="7"/>
        <v>0.125</v>
      </c>
      <c r="AA38" s="158">
        <f t="shared" si="7"/>
        <v>2.0833333333333333E-3</v>
      </c>
      <c r="AB38" s="158">
        <f t="shared" si="7"/>
        <v>0.375</v>
      </c>
      <c r="AC38" s="158">
        <f t="shared" si="7"/>
        <v>5.5555555555555558E-3</v>
      </c>
      <c r="AD38" s="158">
        <f t="shared" si="7"/>
        <v>0.5</v>
      </c>
      <c r="AE38" s="158">
        <f t="shared" si="7"/>
        <v>0.4</v>
      </c>
      <c r="AF38" s="158">
        <f t="shared" si="7"/>
        <v>1.76875</v>
      </c>
      <c r="AG38" s="158">
        <f t="shared" si="7"/>
        <v>0.23148148148148148</v>
      </c>
      <c r="AH38" s="158">
        <f t="shared" si="7"/>
        <v>0.15</v>
      </c>
      <c r="AI38" s="158">
        <f t="shared" si="7"/>
        <v>0.14285714285714285</v>
      </c>
      <c r="AJ38" s="158">
        <f t="shared" si="7"/>
        <v>9.5000000000000001E-2</v>
      </c>
      <c r="AK38" s="158">
        <f t="shared" si="7"/>
        <v>0.53600000000000003</v>
      </c>
      <c r="AL38" s="158">
        <f t="shared" si="7"/>
        <v>1.0666666666666667</v>
      </c>
      <c r="AM38" s="158">
        <f t="shared" si="7"/>
        <v>1.0497999999999998</v>
      </c>
      <c r="AN38" s="158">
        <f t="shared" si="7"/>
        <v>0</v>
      </c>
      <c r="AO38" s="158">
        <f t="shared" si="7"/>
        <v>0.20791666666666667</v>
      </c>
      <c r="AP38" s="158">
        <f t="shared" si="7"/>
        <v>0.67307692307692302</v>
      </c>
      <c r="AQ38" s="158">
        <f t="shared" si="7"/>
        <v>0</v>
      </c>
      <c r="AR38" s="158">
        <f t="shared" si="7"/>
        <v>0.04</v>
      </c>
      <c r="AS38" s="158">
        <f t="shared" si="7"/>
        <v>0</v>
      </c>
      <c r="AT38" s="158">
        <f t="shared" si="7"/>
        <v>0.372</v>
      </c>
      <c r="AU38" s="158">
        <f t="shared" si="7"/>
        <v>1.3633333333333333</v>
      </c>
      <c r="AV38" s="158">
        <f t="shared" si="7"/>
        <v>7.4666666666666666E-3</v>
      </c>
      <c r="AW38" s="158">
        <f t="shared" si="7"/>
        <v>0</v>
      </c>
      <c r="AX38" s="158">
        <f t="shared" si="7"/>
        <v>0</v>
      </c>
      <c r="AY38" s="158">
        <f t="shared" si="7"/>
        <v>0.22</v>
      </c>
      <c r="AZ38" s="161">
        <f t="shared" si="7"/>
        <v>0.20833333333333334</v>
      </c>
      <c r="BA38" s="10"/>
      <c r="BB38" s="10"/>
      <c r="BC38" s="10"/>
      <c r="BD38" s="10"/>
      <c r="BE38" s="10"/>
      <c r="BF38" s="10"/>
      <c r="BG38" s="10"/>
    </row>
    <row r="39" spans="1:59" ht="15.75" customHeight="1">
      <c r="A39" s="169">
        <v>9</v>
      </c>
      <c r="B39" s="171"/>
      <c r="C39" s="100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101"/>
      <c r="BA39" s="10"/>
      <c r="BB39" s="10"/>
      <c r="BC39" s="10"/>
      <c r="BD39" s="10"/>
      <c r="BE39" s="10"/>
      <c r="BF39" s="10"/>
      <c r="BG39" s="10"/>
    </row>
    <row r="40" spans="1:59" ht="15.75" customHeight="1">
      <c r="A40" s="169">
        <v>10</v>
      </c>
      <c r="B40" s="171" t="s">
        <v>342</v>
      </c>
      <c r="C40" s="88">
        <f t="shared" ref="C40:AZ40" si="8">C18*C19</f>
        <v>270000</v>
      </c>
      <c r="D40" s="42">
        <f t="shared" si="8"/>
        <v>0</v>
      </c>
      <c r="E40" s="42">
        <f t="shared" si="8"/>
        <v>2500</v>
      </c>
      <c r="F40" s="42">
        <f t="shared" si="8"/>
        <v>0</v>
      </c>
      <c r="G40" s="42">
        <f t="shared" si="8"/>
        <v>0</v>
      </c>
      <c r="H40" s="42">
        <f t="shared" si="8"/>
        <v>140</v>
      </c>
      <c r="I40" s="42">
        <f t="shared" si="8"/>
        <v>0</v>
      </c>
      <c r="J40" s="42">
        <f t="shared" si="8"/>
        <v>484000</v>
      </c>
      <c r="K40" s="42">
        <f t="shared" si="8"/>
        <v>3600000</v>
      </c>
      <c r="L40" s="42">
        <f t="shared" si="8"/>
        <v>0</v>
      </c>
      <c r="M40" s="42">
        <f t="shared" si="8"/>
        <v>638</v>
      </c>
      <c r="N40" s="42">
        <f t="shared" si="8"/>
        <v>375000</v>
      </c>
      <c r="O40" s="42">
        <f t="shared" si="8"/>
        <v>0</v>
      </c>
      <c r="P40" s="42">
        <f t="shared" si="8"/>
        <v>6290</v>
      </c>
      <c r="Q40" s="42">
        <f t="shared" si="8"/>
        <v>2500000</v>
      </c>
      <c r="R40" s="42">
        <f t="shared" si="8"/>
        <v>0</v>
      </c>
      <c r="S40" s="42">
        <f t="shared" si="8"/>
        <v>712857</v>
      </c>
      <c r="T40" s="42">
        <f t="shared" si="8"/>
        <v>0</v>
      </c>
      <c r="U40" s="42">
        <f t="shared" si="8"/>
        <v>87750</v>
      </c>
      <c r="V40" s="42">
        <f t="shared" si="8"/>
        <v>33000</v>
      </c>
      <c r="W40" s="42">
        <f t="shared" si="8"/>
        <v>0</v>
      </c>
      <c r="X40" s="42">
        <f t="shared" si="8"/>
        <v>0</v>
      </c>
      <c r="Y40" s="42">
        <f t="shared" si="8"/>
        <v>600000</v>
      </c>
      <c r="Z40" s="42">
        <f t="shared" si="8"/>
        <v>0</v>
      </c>
      <c r="AA40" s="42">
        <f t="shared" si="8"/>
        <v>0</v>
      </c>
      <c r="AB40" s="42">
        <f t="shared" si="8"/>
        <v>0</v>
      </c>
      <c r="AC40" s="42">
        <f t="shared" si="8"/>
        <v>0</v>
      </c>
      <c r="AD40" s="42">
        <f t="shared" si="8"/>
        <v>0</v>
      </c>
      <c r="AE40" s="42">
        <f t="shared" si="8"/>
        <v>3480</v>
      </c>
      <c r="AF40" s="42">
        <f t="shared" si="8"/>
        <v>0</v>
      </c>
      <c r="AG40" s="42">
        <f t="shared" si="8"/>
        <v>0</v>
      </c>
      <c r="AH40" s="42">
        <f t="shared" si="8"/>
        <v>0</v>
      </c>
      <c r="AI40" s="42">
        <f t="shared" si="8"/>
        <v>0</v>
      </c>
      <c r="AJ40" s="42">
        <f t="shared" si="8"/>
        <v>460800</v>
      </c>
      <c r="AK40" s="42">
        <f t="shared" si="8"/>
        <v>60000</v>
      </c>
      <c r="AL40" s="42">
        <f t="shared" si="8"/>
        <v>0</v>
      </c>
      <c r="AM40" s="42">
        <f t="shared" si="8"/>
        <v>0</v>
      </c>
      <c r="AN40" s="42">
        <f t="shared" si="8"/>
        <v>0</v>
      </c>
      <c r="AO40" s="42">
        <f t="shared" si="8"/>
        <v>0</v>
      </c>
      <c r="AP40" s="42">
        <f t="shared" si="8"/>
        <v>12</v>
      </c>
      <c r="AQ40" s="42">
        <f t="shared" si="8"/>
        <v>0</v>
      </c>
      <c r="AR40" s="42">
        <f t="shared" si="8"/>
        <v>0</v>
      </c>
      <c r="AS40" s="42">
        <f t="shared" si="8"/>
        <v>0</v>
      </c>
      <c r="AT40" s="42">
        <f t="shared" si="8"/>
        <v>4100</v>
      </c>
      <c r="AU40" s="42">
        <f t="shared" si="8"/>
        <v>276600</v>
      </c>
      <c r="AV40" s="42">
        <f t="shared" si="8"/>
        <v>15000</v>
      </c>
      <c r="AW40" s="42">
        <f t="shared" si="8"/>
        <v>0</v>
      </c>
      <c r="AX40" s="42">
        <f t="shared" si="8"/>
        <v>0</v>
      </c>
      <c r="AY40" s="42">
        <f t="shared" si="8"/>
        <v>0</v>
      </c>
      <c r="AZ40" s="61">
        <f t="shared" si="8"/>
        <v>0</v>
      </c>
      <c r="BA40" s="10"/>
      <c r="BB40" s="10"/>
      <c r="BC40" s="10"/>
      <c r="BD40" s="10"/>
      <c r="BE40" s="10"/>
      <c r="BF40" s="10"/>
      <c r="BG40" s="10"/>
    </row>
    <row r="41" spans="1:59" ht="15.75" customHeight="1">
      <c r="A41" s="169">
        <v>11</v>
      </c>
      <c r="B41" s="171" t="s">
        <v>343</v>
      </c>
      <c r="C41" s="157">
        <f t="shared" ref="C41:AZ41" si="9">C40/C$49</f>
        <v>0.15</v>
      </c>
      <c r="D41" s="158">
        <f t="shared" si="9"/>
        <v>0</v>
      </c>
      <c r="E41" s="158">
        <f t="shared" si="9"/>
        <v>0.22727272727272727</v>
      </c>
      <c r="F41" s="158">
        <f t="shared" si="9"/>
        <v>0</v>
      </c>
      <c r="G41" s="158">
        <f t="shared" si="9"/>
        <v>0</v>
      </c>
      <c r="H41" s="158">
        <f t="shared" si="9"/>
        <v>3.5000000000000003E-2</v>
      </c>
      <c r="I41" s="158">
        <f t="shared" si="9"/>
        <v>0</v>
      </c>
      <c r="J41" s="158">
        <f t="shared" si="9"/>
        <v>1.6133333333333333</v>
      </c>
      <c r="K41" s="158">
        <f t="shared" si="9"/>
        <v>0.32727272727272727</v>
      </c>
      <c r="L41" s="158">
        <f t="shared" si="9"/>
        <v>0</v>
      </c>
      <c r="M41" s="158">
        <f t="shared" si="9"/>
        <v>0.21266666666666667</v>
      </c>
      <c r="N41" s="158">
        <f t="shared" si="9"/>
        <v>0.625</v>
      </c>
      <c r="O41" s="158">
        <f t="shared" si="9"/>
        <v>0</v>
      </c>
      <c r="P41" s="158">
        <f t="shared" si="9"/>
        <v>0.15725</v>
      </c>
      <c r="Q41" s="158">
        <f t="shared" si="9"/>
        <v>2.0833333333333335</v>
      </c>
      <c r="R41" s="158">
        <f t="shared" si="9"/>
        <v>0</v>
      </c>
      <c r="S41" s="158">
        <f t="shared" si="9"/>
        <v>0.71285699999999996</v>
      </c>
      <c r="T41" s="158">
        <f t="shared" si="9"/>
        <v>0</v>
      </c>
      <c r="U41" s="158">
        <f t="shared" si="9"/>
        <v>0.43874999999999997</v>
      </c>
      <c r="V41" s="158">
        <f t="shared" si="9"/>
        <v>0.62857142857142856</v>
      </c>
      <c r="W41" s="158">
        <f t="shared" si="9"/>
        <v>0</v>
      </c>
      <c r="X41" s="158">
        <f t="shared" si="9"/>
        <v>0</v>
      </c>
      <c r="Y41" s="158">
        <f t="shared" si="9"/>
        <v>0.33333333333333331</v>
      </c>
      <c r="Z41" s="158">
        <f t="shared" si="9"/>
        <v>0</v>
      </c>
      <c r="AA41" s="158">
        <f t="shared" si="9"/>
        <v>0</v>
      </c>
      <c r="AB41" s="158">
        <f t="shared" si="9"/>
        <v>0</v>
      </c>
      <c r="AC41" s="158">
        <f t="shared" si="9"/>
        <v>0</v>
      </c>
      <c r="AD41" s="158">
        <f t="shared" si="9"/>
        <v>0</v>
      </c>
      <c r="AE41" s="158">
        <f t="shared" si="9"/>
        <v>0.69599999999999995</v>
      </c>
      <c r="AF41" s="158">
        <f t="shared" si="9"/>
        <v>0</v>
      </c>
      <c r="AG41" s="158">
        <f t="shared" si="9"/>
        <v>0</v>
      </c>
      <c r="AH41" s="158">
        <f t="shared" si="9"/>
        <v>0</v>
      </c>
      <c r="AI41" s="158">
        <f t="shared" si="9"/>
        <v>0</v>
      </c>
      <c r="AJ41" s="158">
        <f t="shared" si="9"/>
        <v>1.1519999999999999</v>
      </c>
      <c r="AK41" s="158">
        <f t="shared" si="9"/>
        <v>0.12</v>
      </c>
      <c r="AL41" s="158">
        <f t="shared" si="9"/>
        <v>0</v>
      </c>
      <c r="AM41" s="158">
        <f t="shared" si="9"/>
        <v>0</v>
      </c>
      <c r="AN41" s="158">
        <f t="shared" si="9"/>
        <v>0</v>
      </c>
      <c r="AO41" s="158">
        <f t="shared" si="9"/>
        <v>0</v>
      </c>
      <c r="AP41" s="158">
        <f t="shared" si="9"/>
        <v>1.1538461538461537</v>
      </c>
      <c r="AQ41" s="158">
        <f t="shared" si="9"/>
        <v>0</v>
      </c>
      <c r="AR41" s="158">
        <f t="shared" si="9"/>
        <v>0</v>
      </c>
      <c r="AS41" s="158">
        <f t="shared" si="9"/>
        <v>0</v>
      </c>
      <c r="AT41" s="158">
        <f t="shared" si="9"/>
        <v>0.20499999999999999</v>
      </c>
      <c r="AU41" s="158">
        <f t="shared" si="9"/>
        <v>9.2200000000000004E-2</v>
      </c>
      <c r="AV41" s="158">
        <f t="shared" si="9"/>
        <v>5.0000000000000001E-3</v>
      </c>
      <c r="AW41" s="158">
        <f t="shared" si="9"/>
        <v>0</v>
      </c>
      <c r="AX41" s="158">
        <f t="shared" si="9"/>
        <v>0</v>
      </c>
      <c r="AY41" s="158">
        <f t="shared" si="9"/>
        <v>0</v>
      </c>
      <c r="AZ41" s="161">
        <f t="shared" si="9"/>
        <v>0</v>
      </c>
      <c r="BA41" s="10"/>
      <c r="BB41" s="10"/>
      <c r="BC41" s="10"/>
      <c r="BD41" s="10"/>
      <c r="BE41" s="10"/>
      <c r="BF41" s="10"/>
      <c r="BG41" s="10"/>
    </row>
    <row r="42" spans="1:59" ht="15.75" customHeight="1">
      <c r="A42" s="169">
        <v>12</v>
      </c>
      <c r="B42" s="171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61"/>
      <c r="BA42" s="10"/>
      <c r="BB42" s="10"/>
      <c r="BC42" s="10"/>
      <c r="BD42" s="10"/>
      <c r="BE42" s="10"/>
      <c r="BF42" s="10"/>
      <c r="BG42" s="10"/>
    </row>
    <row r="43" spans="1:59" ht="15.75" customHeight="1">
      <c r="A43" s="169">
        <v>13</v>
      </c>
      <c r="B43" s="171" t="s">
        <v>344</v>
      </c>
      <c r="C43" s="88">
        <f t="shared" ref="C43:AZ43" si="10">C22*C23</f>
        <v>1200000</v>
      </c>
      <c r="D43" s="42">
        <f t="shared" si="10"/>
        <v>0</v>
      </c>
      <c r="E43" s="42">
        <f t="shared" si="10"/>
        <v>12420</v>
      </c>
      <c r="F43" s="42">
        <f t="shared" si="10"/>
        <v>0</v>
      </c>
      <c r="G43" s="42">
        <f t="shared" si="10"/>
        <v>0</v>
      </c>
      <c r="H43" s="42">
        <f t="shared" si="10"/>
        <v>0</v>
      </c>
      <c r="I43" s="42">
        <f t="shared" si="10"/>
        <v>0</v>
      </c>
      <c r="J43" s="42">
        <f t="shared" si="10"/>
        <v>0</v>
      </c>
      <c r="K43" s="42">
        <f t="shared" si="10"/>
        <v>0</v>
      </c>
      <c r="L43" s="42">
        <f t="shared" si="10"/>
        <v>0</v>
      </c>
      <c r="M43" s="42">
        <f t="shared" si="10"/>
        <v>100</v>
      </c>
      <c r="N43" s="42">
        <f t="shared" si="10"/>
        <v>0</v>
      </c>
      <c r="O43" s="42">
        <f t="shared" si="10"/>
        <v>0</v>
      </c>
      <c r="P43" s="42">
        <f t="shared" si="10"/>
        <v>1000</v>
      </c>
      <c r="Q43" s="42">
        <f t="shared" si="10"/>
        <v>0</v>
      </c>
      <c r="R43" s="42">
        <f t="shared" si="10"/>
        <v>0</v>
      </c>
      <c r="S43" s="42">
        <f t="shared" si="10"/>
        <v>900000</v>
      </c>
      <c r="T43" s="42">
        <f t="shared" si="10"/>
        <v>0</v>
      </c>
      <c r="U43" s="42">
        <f t="shared" si="10"/>
        <v>297000</v>
      </c>
      <c r="V43" s="42">
        <f t="shared" si="10"/>
        <v>0</v>
      </c>
      <c r="W43" s="42">
        <f t="shared" si="10"/>
        <v>0</v>
      </c>
      <c r="X43" s="42">
        <f t="shared" si="10"/>
        <v>0</v>
      </c>
      <c r="Y43" s="42">
        <f t="shared" si="10"/>
        <v>0</v>
      </c>
      <c r="Z43" s="42">
        <f t="shared" si="10"/>
        <v>0</v>
      </c>
      <c r="AA43" s="42">
        <f t="shared" si="10"/>
        <v>0</v>
      </c>
      <c r="AB43" s="42">
        <f t="shared" si="10"/>
        <v>0</v>
      </c>
      <c r="AC43" s="42">
        <f t="shared" si="10"/>
        <v>0</v>
      </c>
      <c r="AD43" s="42">
        <f t="shared" si="10"/>
        <v>0</v>
      </c>
      <c r="AE43" s="42">
        <f t="shared" si="10"/>
        <v>750</v>
      </c>
      <c r="AF43" s="42">
        <f t="shared" si="10"/>
        <v>0</v>
      </c>
      <c r="AG43" s="42">
        <f t="shared" si="10"/>
        <v>0</v>
      </c>
      <c r="AH43" s="42">
        <f t="shared" si="10"/>
        <v>0</v>
      </c>
      <c r="AI43" s="42">
        <f t="shared" si="10"/>
        <v>0</v>
      </c>
      <c r="AJ43" s="42">
        <f t="shared" si="10"/>
        <v>0</v>
      </c>
      <c r="AK43" s="42">
        <f t="shared" si="10"/>
        <v>0</v>
      </c>
      <c r="AL43" s="42">
        <f t="shared" si="10"/>
        <v>0</v>
      </c>
      <c r="AM43" s="42">
        <f t="shared" si="10"/>
        <v>0</v>
      </c>
      <c r="AN43" s="42">
        <f t="shared" si="10"/>
        <v>0</v>
      </c>
      <c r="AO43" s="42">
        <f t="shared" si="10"/>
        <v>0</v>
      </c>
      <c r="AP43" s="42">
        <f t="shared" si="10"/>
        <v>0</v>
      </c>
      <c r="AQ43" s="42">
        <f t="shared" si="10"/>
        <v>0</v>
      </c>
      <c r="AR43" s="42">
        <f t="shared" si="10"/>
        <v>0</v>
      </c>
      <c r="AS43" s="42">
        <f t="shared" si="10"/>
        <v>0</v>
      </c>
      <c r="AT43" s="42">
        <f t="shared" si="10"/>
        <v>0</v>
      </c>
      <c r="AU43" s="42">
        <f t="shared" si="10"/>
        <v>0</v>
      </c>
      <c r="AV43" s="42">
        <f t="shared" si="10"/>
        <v>0</v>
      </c>
      <c r="AW43" s="42">
        <f t="shared" si="10"/>
        <v>0</v>
      </c>
      <c r="AX43" s="42">
        <f t="shared" si="10"/>
        <v>0</v>
      </c>
      <c r="AY43" s="42">
        <f t="shared" si="10"/>
        <v>0</v>
      </c>
      <c r="AZ43" s="61">
        <f t="shared" si="10"/>
        <v>0</v>
      </c>
      <c r="BA43" s="10"/>
      <c r="BB43" s="10"/>
      <c r="BC43" s="10"/>
      <c r="BD43" s="10"/>
      <c r="BE43" s="10"/>
      <c r="BF43" s="10"/>
      <c r="BG43" s="10"/>
    </row>
    <row r="44" spans="1:59" ht="15.75" customHeight="1">
      <c r="A44" s="169">
        <v>14</v>
      </c>
      <c r="B44" s="171" t="s">
        <v>345</v>
      </c>
      <c r="C44" s="157">
        <f t="shared" ref="C44:AZ44" si="11">C43/C$49</f>
        <v>0.66666666666666663</v>
      </c>
      <c r="D44" s="158">
        <f t="shared" si="11"/>
        <v>0</v>
      </c>
      <c r="E44" s="158">
        <f t="shared" si="11"/>
        <v>1.1290909090909091</v>
      </c>
      <c r="F44" s="158">
        <f t="shared" si="11"/>
        <v>0</v>
      </c>
      <c r="G44" s="158">
        <f t="shared" si="11"/>
        <v>0</v>
      </c>
      <c r="H44" s="158">
        <f t="shared" si="11"/>
        <v>0</v>
      </c>
      <c r="I44" s="158">
        <f t="shared" si="11"/>
        <v>0</v>
      </c>
      <c r="J44" s="158">
        <f t="shared" si="11"/>
        <v>0</v>
      </c>
      <c r="K44" s="158">
        <f t="shared" si="11"/>
        <v>0</v>
      </c>
      <c r="L44" s="158">
        <f t="shared" si="11"/>
        <v>0</v>
      </c>
      <c r="M44" s="158">
        <f t="shared" si="11"/>
        <v>3.3333333333333333E-2</v>
      </c>
      <c r="N44" s="158">
        <f t="shared" si="11"/>
        <v>0</v>
      </c>
      <c r="O44" s="158">
        <f t="shared" si="11"/>
        <v>0</v>
      </c>
      <c r="P44" s="158">
        <f t="shared" si="11"/>
        <v>2.5000000000000001E-2</v>
      </c>
      <c r="Q44" s="158">
        <f t="shared" si="11"/>
        <v>0</v>
      </c>
      <c r="R44" s="158">
        <f t="shared" si="11"/>
        <v>0</v>
      </c>
      <c r="S44" s="158">
        <f t="shared" si="11"/>
        <v>0.9</v>
      </c>
      <c r="T44" s="158">
        <f t="shared" si="11"/>
        <v>0</v>
      </c>
      <c r="U44" s="158">
        <f t="shared" si="11"/>
        <v>1.4850000000000001</v>
      </c>
      <c r="V44" s="158">
        <f t="shared" si="11"/>
        <v>0</v>
      </c>
      <c r="W44" s="158">
        <f t="shared" si="11"/>
        <v>0</v>
      </c>
      <c r="X44" s="158">
        <f t="shared" si="11"/>
        <v>0</v>
      </c>
      <c r="Y44" s="158">
        <f t="shared" si="11"/>
        <v>0</v>
      </c>
      <c r="Z44" s="158">
        <f t="shared" si="11"/>
        <v>0</v>
      </c>
      <c r="AA44" s="158">
        <f t="shared" si="11"/>
        <v>0</v>
      </c>
      <c r="AB44" s="158">
        <f t="shared" si="11"/>
        <v>0</v>
      </c>
      <c r="AC44" s="158">
        <f t="shared" si="11"/>
        <v>0</v>
      </c>
      <c r="AD44" s="158">
        <f t="shared" si="11"/>
        <v>0</v>
      </c>
      <c r="AE44" s="158">
        <f t="shared" si="11"/>
        <v>0.15</v>
      </c>
      <c r="AF44" s="158">
        <f t="shared" si="11"/>
        <v>0</v>
      </c>
      <c r="AG44" s="158">
        <f t="shared" si="11"/>
        <v>0</v>
      </c>
      <c r="AH44" s="158">
        <f t="shared" si="11"/>
        <v>0</v>
      </c>
      <c r="AI44" s="158">
        <f t="shared" si="11"/>
        <v>0</v>
      </c>
      <c r="AJ44" s="158">
        <f t="shared" si="11"/>
        <v>0</v>
      </c>
      <c r="AK44" s="158">
        <f t="shared" si="11"/>
        <v>0</v>
      </c>
      <c r="AL44" s="158">
        <f t="shared" si="11"/>
        <v>0</v>
      </c>
      <c r="AM44" s="158">
        <f t="shared" si="11"/>
        <v>0</v>
      </c>
      <c r="AN44" s="158">
        <f t="shared" si="11"/>
        <v>0</v>
      </c>
      <c r="AO44" s="158">
        <f t="shared" si="11"/>
        <v>0</v>
      </c>
      <c r="AP44" s="158">
        <f t="shared" si="11"/>
        <v>0</v>
      </c>
      <c r="AQ44" s="158">
        <f t="shared" si="11"/>
        <v>0</v>
      </c>
      <c r="AR44" s="158">
        <f t="shared" si="11"/>
        <v>0</v>
      </c>
      <c r="AS44" s="158">
        <f t="shared" si="11"/>
        <v>0</v>
      </c>
      <c r="AT44" s="158">
        <f t="shared" si="11"/>
        <v>0</v>
      </c>
      <c r="AU44" s="158">
        <f t="shared" si="11"/>
        <v>0</v>
      </c>
      <c r="AV44" s="158">
        <f t="shared" si="11"/>
        <v>0</v>
      </c>
      <c r="AW44" s="158">
        <f t="shared" si="11"/>
        <v>0</v>
      </c>
      <c r="AX44" s="158">
        <f t="shared" si="11"/>
        <v>0</v>
      </c>
      <c r="AY44" s="158">
        <f t="shared" si="11"/>
        <v>0</v>
      </c>
      <c r="AZ44" s="161">
        <f t="shared" si="11"/>
        <v>0</v>
      </c>
      <c r="BA44" s="10"/>
      <c r="BB44" s="10"/>
      <c r="BC44" s="10"/>
      <c r="BD44" s="10"/>
      <c r="BE44" s="10"/>
      <c r="BF44" s="10"/>
      <c r="BG44" s="10"/>
    </row>
    <row r="45" spans="1:59" ht="15.75" customHeight="1">
      <c r="A45" s="169">
        <v>15</v>
      </c>
      <c r="B45" s="171"/>
      <c r="C45" s="100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101"/>
      <c r="BA45" s="10"/>
      <c r="BB45" s="10"/>
      <c r="BC45" s="10"/>
      <c r="BD45" s="10"/>
      <c r="BE45" s="10"/>
      <c r="BF45" s="10"/>
      <c r="BG45" s="10"/>
    </row>
    <row r="46" spans="1:59" ht="15.75" customHeight="1">
      <c r="A46" s="169">
        <v>16</v>
      </c>
      <c r="B46" s="171" t="s">
        <v>346</v>
      </c>
      <c r="C46" s="88">
        <f t="shared" ref="C46:AZ46" si="12">C34+C37+C40+C43</f>
        <v>2378000</v>
      </c>
      <c r="D46" s="42">
        <f t="shared" si="12"/>
        <v>178000</v>
      </c>
      <c r="E46" s="42">
        <f t="shared" si="12"/>
        <v>64870</v>
      </c>
      <c r="F46" s="42">
        <f t="shared" si="12"/>
        <v>28350</v>
      </c>
      <c r="G46" s="42">
        <f t="shared" si="12"/>
        <v>71800</v>
      </c>
      <c r="H46" s="42">
        <f t="shared" si="12"/>
        <v>1060</v>
      </c>
      <c r="I46" s="42">
        <f t="shared" si="12"/>
        <v>1202400</v>
      </c>
      <c r="J46" s="42">
        <f t="shared" si="12"/>
        <v>738400</v>
      </c>
      <c r="K46" s="42">
        <f t="shared" si="12"/>
        <v>4561000</v>
      </c>
      <c r="L46" s="42">
        <f t="shared" si="12"/>
        <v>859000</v>
      </c>
      <c r="M46" s="42">
        <f t="shared" si="12"/>
        <v>2518</v>
      </c>
      <c r="N46" s="42">
        <f t="shared" si="12"/>
        <v>2177500</v>
      </c>
      <c r="O46" s="42">
        <f t="shared" si="12"/>
        <v>290260</v>
      </c>
      <c r="P46" s="42">
        <f t="shared" si="12"/>
        <v>33730</v>
      </c>
      <c r="Q46" s="42">
        <f t="shared" si="12"/>
        <v>5328000</v>
      </c>
      <c r="R46" s="42">
        <f t="shared" si="12"/>
        <v>48208.6</v>
      </c>
      <c r="S46" s="42">
        <f t="shared" si="12"/>
        <v>3112857</v>
      </c>
      <c r="T46" s="42">
        <f t="shared" si="12"/>
        <v>960000</v>
      </c>
      <c r="U46" s="42">
        <f t="shared" si="12"/>
        <v>963500</v>
      </c>
      <c r="V46" s="42">
        <f t="shared" si="12"/>
        <v>35000</v>
      </c>
      <c r="W46" s="42">
        <f t="shared" si="12"/>
        <v>3307200</v>
      </c>
      <c r="X46" s="42">
        <f t="shared" si="12"/>
        <v>3000</v>
      </c>
      <c r="Y46" s="42">
        <f t="shared" si="12"/>
        <v>3918750</v>
      </c>
      <c r="Z46" s="42">
        <f t="shared" si="12"/>
        <v>41250</v>
      </c>
      <c r="AA46" s="42">
        <f t="shared" si="12"/>
        <v>1280</v>
      </c>
      <c r="AB46" s="42">
        <f t="shared" si="12"/>
        <v>214500</v>
      </c>
      <c r="AC46" s="42">
        <f t="shared" si="12"/>
        <v>686.8</v>
      </c>
      <c r="AD46" s="42">
        <f t="shared" si="12"/>
        <v>10960</v>
      </c>
      <c r="AE46" s="42">
        <f t="shared" si="12"/>
        <v>7230</v>
      </c>
      <c r="AF46" s="42">
        <f t="shared" si="12"/>
        <v>4707000</v>
      </c>
      <c r="AG46" s="42">
        <f t="shared" si="12"/>
        <v>1310</v>
      </c>
      <c r="AH46" s="42">
        <f t="shared" si="12"/>
        <v>3700</v>
      </c>
      <c r="AI46" s="42">
        <f t="shared" si="12"/>
        <v>739000</v>
      </c>
      <c r="AJ46" s="42">
        <f t="shared" si="12"/>
        <v>720800</v>
      </c>
      <c r="AK46" s="42">
        <f t="shared" si="12"/>
        <v>358000</v>
      </c>
      <c r="AL46" s="42">
        <f t="shared" si="12"/>
        <v>23.484863636363638</v>
      </c>
      <c r="AM46" s="42">
        <f t="shared" si="12"/>
        <v>76.2</v>
      </c>
      <c r="AN46" s="42">
        <f t="shared" si="12"/>
        <v>226.76923076923077</v>
      </c>
      <c r="AO46" s="42">
        <f t="shared" si="12"/>
        <v>21.372250000000001</v>
      </c>
      <c r="AP46" s="42">
        <f t="shared" si="12"/>
        <v>22.891946666666666</v>
      </c>
      <c r="AQ46" s="42">
        <f t="shared" si="12"/>
        <v>14</v>
      </c>
      <c r="AR46" s="42">
        <f t="shared" si="12"/>
        <v>315000</v>
      </c>
      <c r="AS46" s="42">
        <f>AS34+AS37+AS40+AS43</f>
        <v>366045</v>
      </c>
      <c r="AT46" s="42">
        <f t="shared" si="12"/>
        <v>12540</v>
      </c>
      <c r="AU46" s="42">
        <f t="shared" si="12"/>
        <v>4432600</v>
      </c>
      <c r="AV46" s="42">
        <f t="shared" si="12"/>
        <v>72900</v>
      </c>
      <c r="AW46" s="42">
        <f t="shared" si="12"/>
        <v>5400</v>
      </c>
      <c r="AX46" s="42">
        <f t="shared" si="12"/>
        <v>522</v>
      </c>
      <c r="AY46" s="42">
        <f t="shared" si="12"/>
        <v>1465157.2</v>
      </c>
      <c r="AZ46" s="61">
        <f t="shared" si="12"/>
        <v>87500</v>
      </c>
      <c r="BA46" s="10"/>
      <c r="BB46" s="10"/>
      <c r="BC46" s="10"/>
      <c r="BD46" s="10"/>
      <c r="BE46" s="10"/>
      <c r="BF46" s="10"/>
      <c r="BG46" s="10"/>
    </row>
    <row r="47" spans="1:59" ht="15.75" customHeight="1">
      <c r="A47" s="169">
        <v>17</v>
      </c>
      <c r="B47" s="171" t="s">
        <v>347</v>
      </c>
      <c r="C47" s="157">
        <f t="shared" ref="C47:AZ47" si="13">C46/C49</f>
        <v>1.3211111111111111</v>
      </c>
      <c r="D47" s="158">
        <f t="shared" si="13"/>
        <v>1.4239999999999999</v>
      </c>
      <c r="E47" s="158">
        <f t="shared" si="13"/>
        <v>5.8972727272727274</v>
      </c>
      <c r="F47" s="158">
        <f t="shared" si="13"/>
        <v>2.486842105263158</v>
      </c>
      <c r="G47" s="158">
        <f t="shared" si="13"/>
        <v>0.71799999999999997</v>
      </c>
      <c r="H47" s="158">
        <f t="shared" si="13"/>
        <v>0.26500000000000001</v>
      </c>
      <c r="I47" s="158">
        <f t="shared" si="13"/>
        <v>0.60119999999999996</v>
      </c>
      <c r="J47" s="158">
        <f t="shared" si="13"/>
        <v>2.4613333333333332</v>
      </c>
      <c r="K47" s="158">
        <f t="shared" si="13"/>
        <v>0.41463636363636364</v>
      </c>
      <c r="L47" s="158">
        <f t="shared" si="13"/>
        <v>9.0421052631578949</v>
      </c>
      <c r="M47" s="158">
        <f t="shared" si="13"/>
        <v>0.83933333333333338</v>
      </c>
      <c r="N47" s="158">
        <f t="shared" si="13"/>
        <v>3.6291666666666669</v>
      </c>
      <c r="O47" s="158">
        <f t="shared" si="13"/>
        <v>0.29026000000000002</v>
      </c>
      <c r="P47" s="158">
        <f t="shared" si="13"/>
        <v>0.84325000000000006</v>
      </c>
      <c r="Q47" s="158">
        <f t="shared" si="13"/>
        <v>4.4400000000000004</v>
      </c>
      <c r="R47" s="158">
        <f t="shared" si="13"/>
        <v>0.20086916666666665</v>
      </c>
      <c r="S47" s="158">
        <f t="shared" si="13"/>
        <v>3.112857</v>
      </c>
      <c r="T47" s="158">
        <f t="shared" si="13"/>
        <v>0.66666666666666663</v>
      </c>
      <c r="U47" s="158">
        <f t="shared" si="13"/>
        <v>4.8174999999999999</v>
      </c>
      <c r="V47" s="158">
        <f t="shared" si="13"/>
        <v>0.66666666666666663</v>
      </c>
      <c r="W47" s="158">
        <f t="shared" si="13"/>
        <v>1.3779999999999999</v>
      </c>
      <c r="X47" s="158">
        <f t="shared" si="13"/>
        <v>2</v>
      </c>
      <c r="Y47" s="158">
        <f t="shared" si="13"/>
        <v>2.1770833333333335</v>
      </c>
      <c r="Z47" s="158">
        <f t="shared" si="13"/>
        <v>0.45833333333333331</v>
      </c>
      <c r="AA47" s="158">
        <f t="shared" si="13"/>
        <v>4.4444444444444446E-2</v>
      </c>
      <c r="AB47" s="158">
        <f t="shared" si="13"/>
        <v>0.67031249999999998</v>
      </c>
      <c r="AC47" s="158">
        <f t="shared" si="13"/>
        <v>1.9077777777777777E-2</v>
      </c>
      <c r="AD47" s="158">
        <f t="shared" si="13"/>
        <v>1.3236714975845412</v>
      </c>
      <c r="AE47" s="158">
        <f t="shared" si="13"/>
        <v>1.446</v>
      </c>
      <c r="AF47" s="158">
        <f t="shared" si="13"/>
        <v>1.9612499999999999</v>
      </c>
      <c r="AG47" s="158">
        <f t="shared" si="13"/>
        <v>0.40432098765432101</v>
      </c>
      <c r="AH47" s="158">
        <f t="shared" si="13"/>
        <v>1.85</v>
      </c>
      <c r="AI47" s="158">
        <f t="shared" si="13"/>
        <v>0.46920634920634918</v>
      </c>
      <c r="AJ47" s="158">
        <f t="shared" si="13"/>
        <v>1.802</v>
      </c>
      <c r="AK47" s="158">
        <f t="shared" si="13"/>
        <v>0.71599999999999997</v>
      </c>
      <c r="AL47" s="158">
        <f t="shared" si="13"/>
        <v>1.5656575757575759</v>
      </c>
      <c r="AM47" s="158">
        <f t="shared" si="13"/>
        <v>3.81</v>
      </c>
      <c r="AN47" s="158">
        <f t="shared" si="13"/>
        <v>2.2676923076923079</v>
      </c>
      <c r="AO47" s="158">
        <f t="shared" si="13"/>
        <v>3.2382196969696975</v>
      </c>
      <c r="AP47" s="158">
        <f t="shared" si="13"/>
        <v>2.2011487179487177</v>
      </c>
      <c r="AQ47" s="158">
        <f t="shared" si="13"/>
        <v>1.75</v>
      </c>
      <c r="AR47" s="158">
        <f t="shared" si="13"/>
        <v>0.252</v>
      </c>
      <c r="AS47" s="158">
        <f t="shared" si="13"/>
        <v>0.22184545454545454</v>
      </c>
      <c r="AT47" s="158">
        <f t="shared" si="13"/>
        <v>0.627</v>
      </c>
      <c r="AU47" s="158">
        <f t="shared" si="13"/>
        <v>1.4775333333333334</v>
      </c>
      <c r="AV47" s="158">
        <f t="shared" si="13"/>
        <v>2.4299999999999999E-2</v>
      </c>
      <c r="AW47" s="158">
        <f t="shared" si="13"/>
        <v>5.4000000000000003E-3</v>
      </c>
      <c r="AX47" s="158">
        <f t="shared" si="13"/>
        <v>1.3050000000000001E-2</v>
      </c>
      <c r="AY47" s="158">
        <f t="shared" si="13"/>
        <v>0.97677146666666659</v>
      </c>
      <c r="AZ47" s="161">
        <f t="shared" si="13"/>
        <v>0.4861111111111111</v>
      </c>
      <c r="BA47" s="10"/>
      <c r="BB47" s="10"/>
      <c r="BC47" s="10"/>
      <c r="BD47" s="10"/>
      <c r="BE47" s="10"/>
      <c r="BF47" s="10"/>
      <c r="BG47" s="10"/>
    </row>
    <row r="48" spans="1:59" ht="15.75" customHeight="1">
      <c r="A48" s="169">
        <v>18</v>
      </c>
      <c r="B48" s="171"/>
      <c r="C48" s="100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101"/>
      <c r="BA48" s="10"/>
      <c r="BB48" s="10"/>
      <c r="BC48" s="10"/>
      <c r="BD48" s="10"/>
      <c r="BE48" s="10"/>
      <c r="BF48" s="10"/>
      <c r="BG48" s="10"/>
    </row>
    <row r="49" spans="1:59" ht="15.75" customHeight="1">
      <c r="A49" s="169">
        <v>19</v>
      </c>
      <c r="B49" s="171" t="s">
        <v>348</v>
      </c>
      <c r="C49" s="88">
        <f t="shared" ref="C49:AZ49" si="14">C25/C26</f>
        <v>1800000</v>
      </c>
      <c r="D49" s="42">
        <f t="shared" si="14"/>
        <v>125000</v>
      </c>
      <c r="E49" s="42">
        <f t="shared" si="14"/>
        <v>11000</v>
      </c>
      <c r="F49" s="42">
        <f t="shared" si="14"/>
        <v>11400</v>
      </c>
      <c r="G49" s="42">
        <f t="shared" si="14"/>
        <v>100000</v>
      </c>
      <c r="H49" s="42">
        <f t="shared" si="14"/>
        <v>4000</v>
      </c>
      <c r="I49" s="42">
        <f t="shared" si="14"/>
        <v>2000000</v>
      </c>
      <c r="J49" s="42">
        <f t="shared" si="14"/>
        <v>300000</v>
      </c>
      <c r="K49" s="42">
        <f t="shared" si="14"/>
        <v>11000000</v>
      </c>
      <c r="L49" s="42">
        <f t="shared" si="14"/>
        <v>95000</v>
      </c>
      <c r="M49" s="42">
        <f t="shared" si="14"/>
        <v>3000</v>
      </c>
      <c r="N49" s="42">
        <f t="shared" si="14"/>
        <v>600000</v>
      </c>
      <c r="O49" s="42">
        <f t="shared" si="14"/>
        <v>1000000</v>
      </c>
      <c r="P49" s="42">
        <f t="shared" si="14"/>
        <v>40000</v>
      </c>
      <c r="Q49" s="42">
        <f t="shared" si="14"/>
        <v>1200000</v>
      </c>
      <c r="R49" s="42">
        <f t="shared" si="14"/>
        <v>240000</v>
      </c>
      <c r="S49" s="42">
        <f t="shared" si="14"/>
        <v>1000000</v>
      </c>
      <c r="T49" s="42">
        <f t="shared" si="14"/>
        <v>1440000</v>
      </c>
      <c r="U49" s="42">
        <f t="shared" si="14"/>
        <v>200000</v>
      </c>
      <c r="V49" s="42">
        <f t="shared" si="14"/>
        <v>52500</v>
      </c>
      <c r="W49" s="42">
        <f t="shared" si="14"/>
        <v>2400000</v>
      </c>
      <c r="X49" s="42">
        <f t="shared" si="14"/>
        <v>1500</v>
      </c>
      <c r="Y49" s="42">
        <f t="shared" si="14"/>
        <v>1800000</v>
      </c>
      <c r="Z49" s="42">
        <f t="shared" si="14"/>
        <v>90000</v>
      </c>
      <c r="AA49" s="42">
        <f t="shared" si="14"/>
        <v>28800</v>
      </c>
      <c r="AB49" s="42">
        <f t="shared" si="14"/>
        <v>320000</v>
      </c>
      <c r="AC49" s="42">
        <f t="shared" si="14"/>
        <v>36000</v>
      </c>
      <c r="AD49" s="42">
        <f t="shared" si="14"/>
        <v>8280</v>
      </c>
      <c r="AE49" s="42">
        <f t="shared" si="14"/>
        <v>5000</v>
      </c>
      <c r="AF49" s="42">
        <f t="shared" si="14"/>
        <v>2400000</v>
      </c>
      <c r="AG49" s="42">
        <f t="shared" si="14"/>
        <v>3240</v>
      </c>
      <c r="AH49" s="42">
        <f t="shared" si="14"/>
        <v>2000</v>
      </c>
      <c r="AI49" s="42">
        <f t="shared" si="14"/>
        <v>1575000</v>
      </c>
      <c r="AJ49" s="42">
        <f t="shared" si="14"/>
        <v>400000</v>
      </c>
      <c r="AK49" s="42">
        <f t="shared" si="14"/>
        <v>500000</v>
      </c>
      <c r="AL49" s="42">
        <f t="shared" si="14"/>
        <v>15</v>
      </c>
      <c r="AM49" s="42">
        <f t="shared" si="14"/>
        <v>20</v>
      </c>
      <c r="AN49" s="42">
        <f t="shared" si="14"/>
        <v>100</v>
      </c>
      <c r="AO49" s="42">
        <f t="shared" si="14"/>
        <v>6.6</v>
      </c>
      <c r="AP49" s="42">
        <f t="shared" si="14"/>
        <v>10.4</v>
      </c>
      <c r="AQ49" s="42">
        <f t="shared" si="14"/>
        <v>8</v>
      </c>
      <c r="AR49" s="42">
        <f t="shared" si="14"/>
        <v>1250000</v>
      </c>
      <c r="AS49" s="42">
        <f t="shared" si="14"/>
        <v>1650000</v>
      </c>
      <c r="AT49" s="42">
        <f t="shared" si="14"/>
        <v>20000</v>
      </c>
      <c r="AU49" s="42">
        <f t="shared" si="14"/>
        <v>3000000</v>
      </c>
      <c r="AV49" s="42">
        <f t="shared" si="14"/>
        <v>3000000</v>
      </c>
      <c r="AW49" s="42">
        <f t="shared" si="14"/>
        <v>1000000</v>
      </c>
      <c r="AX49" s="42">
        <f t="shared" si="14"/>
        <v>40000</v>
      </c>
      <c r="AY49" s="42">
        <f t="shared" si="14"/>
        <v>1500000</v>
      </c>
      <c r="AZ49" s="61">
        <f t="shared" si="14"/>
        <v>180000</v>
      </c>
      <c r="BA49" s="10"/>
      <c r="BB49" s="10"/>
      <c r="BC49" s="10"/>
      <c r="BD49" s="10"/>
      <c r="BE49" s="10"/>
      <c r="BF49" s="10"/>
      <c r="BG49" s="10"/>
    </row>
    <row r="50" spans="1:59" ht="15.75" customHeight="1">
      <c r="A50" s="169">
        <v>20</v>
      </c>
      <c r="B50" s="172"/>
      <c r="C50" s="10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101"/>
      <c r="BA50" s="10"/>
      <c r="BB50" s="10"/>
      <c r="BC50" s="10"/>
      <c r="BD50" s="10"/>
      <c r="BE50" s="10"/>
      <c r="BF50" s="10"/>
      <c r="BG50" s="10"/>
    </row>
    <row r="51" spans="1:59" ht="15.75" customHeight="1">
      <c r="A51" s="169">
        <v>21</v>
      </c>
      <c r="B51" s="171" t="s">
        <v>349</v>
      </c>
      <c r="C51" s="157">
        <f t="shared" ref="C51:AK51" si="15">IFERROR(C28/C49,"N/A")</f>
        <v>5.5555555555555552E-2</v>
      </c>
      <c r="D51" s="158">
        <f t="shared" si="15"/>
        <v>0.08</v>
      </c>
      <c r="E51" s="158">
        <f t="shared" si="15"/>
        <v>5.6818181818181816E-2</v>
      </c>
      <c r="F51" s="158">
        <f t="shared" si="15"/>
        <v>3.5087719298245612E-2</v>
      </c>
      <c r="G51" s="158" t="str">
        <f t="shared" si="15"/>
        <v>N/A</v>
      </c>
      <c r="H51" s="158">
        <f t="shared" si="15"/>
        <v>2.2499999999999998E-3</v>
      </c>
      <c r="I51" s="158">
        <f t="shared" si="15"/>
        <v>2.4E-2</v>
      </c>
      <c r="J51" s="158" t="str">
        <f t="shared" si="15"/>
        <v>N/A</v>
      </c>
      <c r="K51" s="158">
        <f t="shared" si="15"/>
        <v>4.5454545454545452E-3</v>
      </c>
      <c r="L51" s="158">
        <f t="shared" si="15"/>
        <v>0.36</v>
      </c>
      <c r="M51" s="158">
        <f t="shared" si="15"/>
        <v>3.0000000000000001E-3</v>
      </c>
      <c r="N51" s="158">
        <f t="shared" si="15"/>
        <v>4.3749999999999997E-2</v>
      </c>
      <c r="O51" s="158">
        <f t="shared" si="15"/>
        <v>2.4E-2</v>
      </c>
      <c r="P51" s="158">
        <f t="shared" si="15"/>
        <v>2.5000000000000001E-4</v>
      </c>
      <c r="Q51" s="158">
        <f t="shared" si="15"/>
        <v>0.03</v>
      </c>
      <c r="R51" s="158">
        <f t="shared" si="15"/>
        <v>2.5000000000000001E-2</v>
      </c>
      <c r="S51" s="158">
        <f t="shared" si="15"/>
        <v>2.1000000000000001E-2</v>
      </c>
      <c r="T51" s="158">
        <f t="shared" si="15"/>
        <v>1.1111111111111112E-2</v>
      </c>
      <c r="U51" s="158">
        <f t="shared" si="15"/>
        <v>1.2500000000000001E-2</v>
      </c>
      <c r="V51" s="158">
        <f t="shared" si="15"/>
        <v>2.8571428571428571E-2</v>
      </c>
      <c r="W51" s="158">
        <f t="shared" si="15"/>
        <v>1.6666666666666666E-2</v>
      </c>
      <c r="X51" s="158">
        <f t="shared" si="15"/>
        <v>3.3333333333333333E-2</v>
      </c>
      <c r="Y51" s="158">
        <f t="shared" si="15"/>
        <v>3.3333333333333333E-2</v>
      </c>
      <c r="Z51" s="158">
        <f t="shared" si="15"/>
        <v>6.6666666666666671E-3</v>
      </c>
      <c r="AA51" s="158">
        <f t="shared" si="15"/>
        <v>3.472222222222222E-3</v>
      </c>
      <c r="AB51" s="158">
        <f t="shared" si="15"/>
        <v>0.05</v>
      </c>
      <c r="AC51" s="158">
        <f t="shared" si="15"/>
        <v>0.27777777777777779</v>
      </c>
      <c r="AD51" s="158">
        <f t="shared" si="15"/>
        <v>2.4154589371980676E-4</v>
      </c>
      <c r="AE51" s="158">
        <f t="shared" si="15"/>
        <v>5.0000000000000001E-3</v>
      </c>
      <c r="AF51" s="158">
        <f t="shared" si="15"/>
        <v>1.6666666666666666E-2</v>
      </c>
      <c r="AG51" s="158">
        <f t="shared" si="15"/>
        <v>9.2592592592592587E-3</v>
      </c>
      <c r="AH51" s="158">
        <f t="shared" si="15"/>
        <v>2.5000000000000001E-2</v>
      </c>
      <c r="AI51" s="158">
        <f t="shared" si="15"/>
        <v>2.859047619047619E-2</v>
      </c>
      <c r="AJ51" s="158" t="str">
        <f t="shared" si="15"/>
        <v>N/A</v>
      </c>
      <c r="AK51" s="158">
        <f t="shared" si="15"/>
        <v>5.9999999999999995E-4</v>
      </c>
      <c r="AL51" s="158" t="str">
        <f t="shared" ref="AL51:AQ51" si="16">IFERROR(AL28/AL49,"Choose Bet")</f>
        <v>Choose Bet</v>
      </c>
      <c r="AM51" s="158" t="str">
        <f t="shared" si="16"/>
        <v>Choose Bet</v>
      </c>
      <c r="AN51" s="158" t="str">
        <f t="shared" si="16"/>
        <v>Choose Bet</v>
      </c>
      <c r="AO51" s="158" t="str">
        <f t="shared" si="16"/>
        <v>Choose Bet</v>
      </c>
      <c r="AP51" s="158" t="str">
        <f t="shared" si="16"/>
        <v>Choose Bet</v>
      </c>
      <c r="AQ51" s="158" t="str">
        <f t="shared" si="16"/>
        <v>Choose Bet</v>
      </c>
      <c r="AR51" s="158">
        <f t="shared" ref="AR51:AZ51" si="17">IFERROR(AR28/AR49,"N/A")</f>
        <v>0.04</v>
      </c>
      <c r="AS51" s="158">
        <f t="shared" si="17"/>
        <v>3.0303030303030303E-4</v>
      </c>
      <c r="AT51" s="158">
        <f t="shared" si="17"/>
        <v>0.01</v>
      </c>
      <c r="AU51" s="158">
        <f t="shared" si="17"/>
        <v>0.16666666666666666</v>
      </c>
      <c r="AV51" s="158">
        <f t="shared" si="17"/>
        <v>3.3333333333333335E-5</v>
      </c>
      <c r="AW51" s="158">
        <f t="shared" si="17"/>
        <v>1E-3</v>
      </c>
      <c r="AX51" s="158">
        <f t="shared" si="17"/>
        <v>0.01</v>
      </c>
      <c r="AY51" s="158">
        <f t="shared" si="17"/>
        <v>0.04</v>
      </c>
      <c r="AZ51" s="161">
        <f t="shared" si="17"/>
        <v>5.5555555555555552E-2</v>
      </c>
      <c r="BA51" s="10"/>
      <c r="BB51" s="10"/>
      <c r="BC51" s="10"/>
      <c r="BD51" s="10"/>
      <c r="BE51" s="10"/>
      <c r="BF51" s="10"/>
      <c r="BG51" s="10"/>
    </row>
    <row r="52" spans="1:59" ht="15.75" customHeight="1">
      <c r="A52" s="169">
        <v>22</v>
      </c>
      <c r="B52" s="171" t="s">
        <v>350</v>
      </c>
      <c r="C52" s="157">
        <f t="shared" ref="C52:AZ52" si="18">IFERROR(C29/C49,"N/A")</f>
        <v>5.5555555555555556E-4</v>
      </c>
      <c r="D52" s="158">
        <f t="shared" si="18"/>
        <v>0.08</v>
      </c>
      <c r="E52" s="158">
        <f t="shared" si="18"/>
        <v>5.6818181818181816E-2</v>
      </c>
      <c r="F52" s="158">
        <f t="shared" si="18"/>
        <v>3.5087719298245615E-3</v>
      </c>
      <c r="G52" s="158">
        <f t="shared" si="18"/>
        <v>0.05</v>
      </c>
      <c r="H52" s="158">
        <f t="shared" si="18"/>
        <v>2.2499999999999998E-3</v>
      </c>
      <c r="I52" s="158">
        <f t="shared" si="18"/>
        <v>2.4E-2</v>
      </c>
      <c r="J52" s="158">
        <f t="shared" si="18"/>
        <v>0.02</v>
      </c>
      <c r="K52" s="158">
        <f t="shared" si="18"/>
        <v>9.0909090909090909E-4</v>
      </c>
      <c r="L52" s="158">
        <f t="shared" si="18"/>
        <v>0.36</v>
      </c>
      <c r="M52" s="158">
        <f t="shared" si="18"/>
        <v>3.0000000000000003E-4</v>
      </c>
      <c r="N52" s="158">
        <f t="shared" si="18"/>
        <v>2.3333333333333334E-2</v>
      </c>
      <c r="O52" s="158">
        <f t="shared" si="18"/>
        <v>8.0999999999999996E-3</v>
      </c>
      <c r="P52" s="158">
        <f t="shared" si="18"/>
        <v>2.5000000000000001E-4</v>
      </c>
      <c r="Q52" s="158">
        <f t="shared" si="18"/>
        <v>0.01</v>
      </c>
      <c r="R52" s="158">
        <f t="shared" si="18"/>
        <v>2.5000000000000001E-2</v>
      </c>
      <c r="S52" s="158">
        <f t="shared" si="18"/>
        <v>2.1000000000000001E-2</v>
      </c>
      <c r="T52" s="158">
        <f t="shared" si="18"/>
        <v>1.1111111111111112E-2</v>
      </c>
      <c r="U52" s="158">
        <f t="shared" si="18"/>
        <v>1.2500000000000001E-2</v>
      </c>
      <c r="V52" s="158">
        <f t="shared" si="18"/>
        <v>2.8571428571428571E-2</v>
      </c>
      <c r="W52" s="158">
        <f t="shared" si="18"/>
        <v>1.6666666666666666E-2</v>
      </c>
      <c r="X52" s="158">
        <f t="shared" si="18"/>
        <v>3.3333333333333333E-2</v>
      </c>
      <c r="Y52" s="158">
        <f t="shared" si="18"/>
        <v>3.3333333333333333E-2</v>
      </c>
      <c r="Z52" s="158">
        <f t="shared" si="18"/>
        <v>6.6666666666666671E-3</v>
      </c>
      <c r="AA52" s="158">
        <f t="shared" si="18"/>
        <v>1.3888888888888889E-3</v>
      </c>
      <c r="AB52" s="158">
        <f t="shared" si="18"/>
        <v>1.2500000000000001E-2</v>
      </c>
      <c r="AC52" s="158">
        <f t="shared" si="18"/>
        <v>6.9444444444444444E-5</v>
      </c>
      <c r="AD52" s="158">
        <f t="shared" si="18"/>
        <v>1.2077294685990338E-4</v>
      </c>
      <c r="AE52" s="158">
        <f t="shared" si="18"/>
        <v>5.0000000000000001E-3</v>
      </c>
      <c r="AF52" s="158">
        <f t="shared" si="18"/>
        <v>1.6666666666666666E-2</v>
      </c>
      <c r="AG52" s="158">
        <f t="shared" si="18"/>
        <v>9.2592592592592587E-3</v>
      </c>
      <c r="AH52" s="158">
        <f t="shared" si="18"/>
        <v>2.5000000000000001E-2</v>
      </c>
      <c r="AI52" s="158">
        <f t="shared" si="18"/>
        <v>9.5301587301587307E-3</v>
      </c>
      <c r="AJ52" s="158">
        <f t="shared" si="18"/>
        <v>2.5000000000000001E-2</v>
      </c>
      <c r="AK52" s="158">
        <f t="shared" si="18"/>
        <v>6.0000000000000002E-5</v>
      </c>
      <c r="AL52" s="158">
        <f t="shared" si="18"/>
        <v>6.6666666666666666E-2</v>
      </c>
      <c r="AM52" s="158">
        <f t="shared" si="18"/>
        <v>0.05</v>
      </c>
      <c r="AN52" s="158">
        <f t="shared" si="18"/>
        <v>0.1</v>
      </c>
      <c r="AO52" s="158">
        <f t="shared" si="18"/>
        <v>0.15151515151515152</v>
      </c>
      <c r="AP52" s="158">
        <f t="shared" si="18"/>
        <v>9.6153846153846145E-2</v>
      </c>
      <c r="AQ52" s="158">
        <f t="shared" si="18"/>
        <v>0.125</v>
      </c>
      <c r="AR52" s="158">
        <f t="shared" si="18"/>
        <v>8.0000000000000004E-4</v>
      </c>
      <c r="AS52" s="158">
        <f t="shared" si="18"/>
        <v>1.5151515151515151E-5</v>
      </c>
      <c r="AT52" s="158">
        <f t="shared" si="18"/>
        <v>5.0000000000000001E-3</v>
      </c>
      <c r="AU52" s="158">
        <f t="shared" si="18"/>
        <v>8.3333333333333332E-3</v>
      </c>
      <c r="AV52" s="158">
        <f t="shared" si="18"/>
        <v>1.6666666666666667E-6</v>
      </c>
      <c r="AW52" s="158">
        <f t="shared" si="18"/>
        <v>5.0000000000000002E-5</v>
      </c>
      <c r="AX52" s="158">
        <f t="shared" si="18"/>
        <v>2.5000000000000001E-4</v>
      </c>
      <c r="AY52" s="158">
        <f t="shared" si="18"/>
        <v>0.04</v>
      </c>
      <c r="AZ52" s="161">
        <f t="shared" si="18"/>
        <v>5.5555555555555558E-3</v>
      </c>
      <c r="BA52" s="10"/>
      <c r="BB52" s="10"/>
      <c r="BC52" s="10"/>
      <c r="BD52" s="10"/>
      <c r="BE52" s="10"/>
      <c r="BF52" s="10"/>
      <c r="BG52" s="10"/>
    </row>
    <row r="53" spans="1:59" ht="15.75" customHeight="1">
      <c r="A53" s="169">
        <v>23</v>
      </c>
      <c r="B53" s="171"/>
      <c r="C53" s="100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101"/>
      <c r="BA53" s="10"/>
      <c r="BB53" s="10"/>
      <c r="BC53" s="10"/>
      <c r="BD53" s="10"/>
      <c r="BE53" s="10"/>
      <c r="BF53" s="10"/>
      <c r="BG53" s="10"/>
    </row>
    <row r="54" spans="1:59" ht="15.75" customHeight="1">
      <c r="A54" s="169">
        <v>24</v>
      </c>
      <c r="B54" s="171" t="s">
        <v>351</v>
      </c>
      <c r="C54" s="88">
        <f t="shared" ref="C54:F54" si="19">IFERROR(C$6/C28/(1-0.9)-1,"")</f>
        <v>1026.0000000000002</v>
      </c>
      <c r="D54" s="42">
        <f t="shared" si="19"/>
        <v>999.00000000000023</v>
      </c>
      <c r="E54" s="42">
        <f t="shared" si="19"/>
        <v>1599.0000000000005</v>
      </c>
      <c r="F54" s="42">
        <f t="shared" si="19"/>
        <v>311.50000000000006</v>
      </c>
      <c r="G54" s="174" t="str">
        <f>IFERROR(G$6/G28/(1-0.9)-1,"Choose Bet")</f>
        <v>Choose Bet</v>
      </c>
      <c r="H54" s="42">
        <f t="shared" ref="H54:I54" si="20">IFERROR(H$6/H28/(1-0.9)-1,"")</f>
        <v>1110.1111111111113</v>
      </c>
      <c r="I54" s="42">
        <f t="shared" si="20"/>
        <v>1249.0000000000002</v>
      </c>
      <c r="J54" s="42" t="str">
        <f>IFERROR(J$6/J28/(1-0.9)-1,"Choose Bet")</f>
        <v>Choose Bet</v>
      </c>
      <c r="K54" s="42">
        <f t="shared" ref="K54:AI54" si="21">IFERROR(K$6/K28/(1-0.9)-1,"")</f>
        <v>899.00000000000023</v>
      </c>
      <c r="L54" s="42">
        <f t="shared" si="21"/>
        <v>443.44444444444451</v>
      </c>
      <c r="M54" s="42">
        <f t="shared" si="21"/>
        <v>11110.111111111113</v>
      </c>
      <c r="N54" s="42">
        <f t="shared" si="21"/>
        <v>379.95238095238102</v>
      </c>
      <c r="O54" s="42">
        <f t="shared" si="21"/>
        <v>519.83333333333348</v>
      </c>
      <c r="P54" s="42">
        <f t="shared" si="21"/>
        <v>39999.000000000007</v>
      </c>
      <c r="Q54" s="42">
        <f t="shared" si="21"/>
        <v>499.00000000000011</v>
      </c>
      <c r="R54" s="42" t="str">
        <f t="shared" si="21"/>
        <v/>
      </c>
      <c r="S54" s="42">
        <f t="shared" si="21"/>
        <v>2856.1428571428578</v>
      </c>
      <c r="T54" s="42">
        <f t="shared" si="21"/>
        <v>3124.0000000000009</v>
      </c>
      <c r="U54" s="42">
        <f t="shared" si="21"/>
        <v>3999.0000000000009</v>
      </c>
      <c r="V54" s="42">
        <f t="shared" si="21"/>
        <v>332.33333333333343</v>
      </c>
      <c r="W54" s="42">
        <f t="shared" si="21"/>
        <v>10484.000000000002</v>
      </c>
      <c r="X54" s="42">
        <f t="shared" si="21"/>
        <v>399.00000000000011</v>
      </c>
      <c r="Y54" s="42">
        <f t="shared" si="21"/>
        <v>499.00000000000011</v>
      </c>
      <c r="Z54" s="42">
        <f t="shared" si="21"/>
        <v>499.00000000000011</v>
      </c>
      <c r="AA54" s="42">
        <f t="shared" si="21"/>
        <v>999.00000000000023</v>
      </c>
      <c r="AB54" s="42">
        <f t="shared" si="21"/>
        <v>874.00000000000023</v>
      </c>
      <c r="AC54" s="42">
        <f t="shared" si="21"/>
        <v>322.25000000000011</v>
      </c>
      <c r="AD54" s="42">
        <f t="shared" si="21"/>
        <v>199999.00000000006</v>
      </c>
      <c r="AE54" s="42">
        <f t="shared" si="21"/>
        <v>32037.000000000007</v>
      </c>
      <c r="AF54" s="42">
        <f t="shared" si="21"/>
        <v>10484.000000000002</v>
      </c>
      <c r="AG54" s="42">
        <f t="shared" si="21"/>
        <v>1672.65</v>
      </c>
      <c r="AH54" s="42">
        <f t="shared" si="21"/>
        <v>2999.0000000000005</v>
      </c>
      <c r="AI54" s="42">
        <f t="shared" si="21"/>
        <v>443.14834554741293</v>
      </c>
      <c r="AJ54" s="42" t="str">
        <f>IFERROR(AJ$6/AJ28/(1-0.9)-1,"Choose Bet")</f>
        <v>Choose Bet</v>
      </c>
      <c r="AK54" s="42">
        <f t="shared" ref="AK54" si="22">IFERROR(AK$6/AK28/(1-0.9)-1,"")</f>
        <v>6665.6666666666679</v>
      </c>
      <c r="AL54" s="42" t="str">
        <f t="shared" ref="AL54:AQ54" si="23">IFERROR(AL$6/AL28/(1-0.9)-1,"Choose Bet")</f>
        <v>Choose Bet</v>
      </c>
      <c r="AM54" s="42" t="str">
        <f t="shared" si="23"/>
        <v>Choose Bet</v>
      </c>
      <c r="AN54" s="42" t="str">
        <f t="shared" si="23"/>
        <v>Choose Bet</v>
      </c>
      <c r="AO54" s="42" t="str">
        <f t="shared" si="23"/>
        <v>Choose Bet</v>
      </c>
      <c r="AP54" s="42" t="str">
        <f t="shared" si="23"/>
        <v>Choose Bet</v>
      </c>
      <c r="AQ54" s="42" t="str">
        <f t="shared" si="23"/>
        <v>Choose Bet</v>
      </c>
      <c r="AR54" s="42">
        <f t="shared" ref="AR54:AZ54" si="24">IFERROR(AR$6/AR28/(1-0.9)-1,"")</f>
        <v>49.000000000000014</v>
      </c>
      <c r="AS54" s="42">
        <f t="shared" si="24"/>
        <v>11518.879518072292</v>
      </c>
      <c r="AT54" s="42">
        <f t="shared" si="24"/>
        <v>749.00000000000011</v>
      </c>
      <c r="AU54" s="42">
        <f t="shared" si="24"/>
        <v>318.40000000000009</v>
      </c>
      <c r="AV54" s="42">
        <f t="shared" si="24"/>
        <v>33469.000000000007</v>
      </c>
      <c r="AW54" s="42">
        <f t="shared" si="24"/>
        <v>2544.0000000000005</v>
      </c>
      <c r="AX54" s="42">
        <f t="shared" si="24"/>
        <v>19.000000000000004</v>
      </c>
      <c r="AY54" s="42">
        <f t="shared" si="24"/>
        <v>1663.666666666667</v>
      </c>
      <c r="AZ54" s="61">
        <f t="shared" si="24"/>
        <v>399.00000000000011</v>
      </c>
      <c r="BA54" s="10"/>
      <c r="BB54" s="10"/>
      <c r="BC54" s="10"/>
      <c r="BD54" s="10"/>
      <c r="BE54" s="10"/>
      <c r="BF54" s="10"/>
      <c r="BG54" s="10"/>
    </row>
    <row r="55" spans="1:59" ht="15.75" customHeight="1">
      <c r="A55" s="169">
        <v>25</v>
      </c>
      <c r="B55" s="171" t="s">
        <v>352</v>
      </c>
      <c r="C55" s="88">
        <f t="shared" ref="C55:AZ55" si="25">IFERROR(C$6/C29/(1-0.9)-1,"")</f>
        <v>102699.00000000003</v>
      </c>
      <c r="D55" s="42">
        <f t="shared" si="25"/>
        <v>999.00000000000023</v>
      </c>
      <c r="E55" s="42">
        <f t="shared" si="25"/>
        <v>1599.0000000000005</v>
      </c>
      <c r="F55" s="42">
        <f t="shared" si="25"/>
        <v>3124.0000000000009</v>
      </c>
      <c r="G55" s="42">
        <f t="shared" si="25"/>
        <v>3999.0000000000009</v>
      </c>
      <c r="H55" s="42">
        <f t="shared" si="25"/>
        <v>1110.1111111111113</v>
      </c>
      <c r="I55" s="42">
        <f t="shared" si="25"/>
        <v>1249.0000000000002</v>
      </c>
      <c r="J55" s="42">
        <f t="shared" si="25"/>
        <v>1665.666666666667</v>
      </c>
      <c r="K55" s="42">
        <f t="shared" si="25"/>
        <v>4499.0000000000009</v>
      </c>
      <c r="L55" s="42">
        <f t="shared" si="25"/>
        <v>443.44444444444451</v>
      </c>
      <c r="M55" s="42">
        <f t="shared" si="25"/>
        <v>111110.11111111114</v>
      </c>
      <c r="N55" s="42">
        <f t="shared" si="25"/>
        <v>713.28571428571445</v>
      </c>
      <c r="O55" s="42">
        <f t="shared" si="25"/>
        <v>1542.2098765432102</v>
      </c>
      <c r="P55" s="42">
        <f t="shared" si="25"/>
        <v>39999.000000000007</v>
      </c>
      <c r="Q55" s="42">
        <f t="shared" si="25"/>
        <v>1499.0000000000002</v>
      </c>
      <c r="R55" s="42" t="str">
        <f t="shared" si="25"/>
        <v/>
      </c>
      <c r="S55" s="42">
        <f t="shared" si="25"/>
        <v>2856.1428571428578</v>
      </c>
      <c r="T55" s="42">
        <f t="shared" si="25"/>
        <v>3124.0000000000009</v>
      </c>
      <c r="U55" s="42">
        <f t="shared" si="25"/>
        <v>3999.0000000000009</v>
      </c>
      <c r="V55" s="42">
        <f t="shared" si="25"/>
        <v>332.33333333333343</v>
      </c>
      <c r="W55" s="42">
        <f t="shared" si="25"/>
        <v>10484.000000000002</v>
      </c>
      <c r="X55" s="42">
        <f t="shared" si="25"/>
        <v>399.00000000000011</v>
      </c>
      <c r="Y55" s="42">
        <f t="shared" si="25"/>
        <v>499.00000000000011</v>
      </c>
      <c r="Z55" s="42">
        <f t="shared" si="25"/>
        <v>499.00000000000011</v>
      </c>
      <c r="AA55" s="42">
        <f t="shared" si="25"/>
        <v>2499.0000000000005</v>
      </c>
      <c r="AB55" s="42">
        <f t="shared" si="25"/>
        <v>3499.0000000000009</v>
      </c>
      <c r="AC55" s="42">
        <f t="shared" si="25"/>
        <v>1292999.0000000002</v>
      </c>
      <c r="AD55" s="42">
        <f t="shared" si="25"/>
        <v>399999.00000000012</v>
      </c>
      <c r="AE55" s="42">
        <f t="shared" si="25"/>
        <v>32037.000000000007</v>
      </c>
      <c r="AF55" s="42">
        <f t="shared" si="25"/>
        <v>10484.000000000002</v>
      </c>
      <c r="AG55" s="42">
        <f t="shared" si="25"/>
        <v>1672.65</v>
      </c>
      <c r="AH55" s="42">
        <f t="shared" si="25"/>
        <v>2999.0000000000005</v>
      </c>
      <c r="AI55" s="42">
        <f t="shared" si="25"/>
        <v>1331.4450366422388</v>
      </c>
      <c r="AJ55" s="42">
        <f t="shared" si="25"/>
        <v>1999.0000000000005</v>
      </c>
      <c r="AK55" s="42">
        <f t="shared" si="25"/>
        <v>66665.666666666686</v>
      </c>
      <c r="AL55" s="42">
        <f t="shared" si="25"/>
        <v>895.64772727272771</v>
      </c>
      <c r="AM55" s="42">
        <f t="shared" si="25"/>
        <v>6503.6500000000015</v>
      </c>
      <c r="AN55" s="42">
        <f t="shared" si="25"/>
        <v>1650.5384615384617</v>
      </c>
      <c r="AO55" s="42">
        <f t="shared" si="25"/>
        <v>388.30379310344836</v>
      </c>
      <c r="AP55" s="42">
        <f t="shared" si="25"/>
        <v>395.77866666666677</v>
      </c>
      <c r="AQ55" s="42">
        <f t="shared" si="25"/>
        <v>2076.2000000000003</v>
      </c>
      <c r="AR55" s="42">
        <f t="shared" si="25"/>
        <v>2499.0000000000005</v>
      </c>
      <c r="AS55" s="42">
        <f t="shared" si="25"/>
        <v>230396.59036144582</v>
      </c>
      <c r="AT55" s="42">
        <f t="shared" si="25"/>
        <v>1499.0000000000002</v>
      </c>
      <c r="AU55" s="42">
        <f t="shared" si="25"/>
        <v>6387.0000000000009</v>
      </c>
      <c r="AV55" s="42">
        <f t="shared" si="25"/>
        <v>669399.00000000012</v>
      </c>
      <c r="AW55" s="42">
        <f t="shared" si="25"/>
        <v>50899.000000000015</v>
      </c>
      <c r="AX55" s="42">
        <f t="shared" si="25"/>
        <v>799.00000000000023</v>
      </c>
      <c r="AY55" s="42">
        <f t="shared" si="25"/>
        <v>1663.666666666667</v>
      </c>
      <c r="AZ55" s="61">
        <f t="shared" si="25"/>
        <v>3999.0000000000009</v>
      </c>
      <c r="BA55" s="10"/>
      <c r="BB55" s="10"/>
      <c r="BC55" s="10"/>
      <c r="BD55" s="10"/>
      <c r="BE55" s="10"/>
      <c r="BF55" s="10"/>
      <c r="BG55" s="10"/>
    </row>
    <row r="56" spans="1:59" ht="15.75" customHeight="1">
      <c r="A56" s="169">
        <v>26</v>
      </c>
      <c r="B56" s="99"/>
      <c r="C56" s="100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101"/>
      <c r="BA56" s="10"/>
      <c r="BB56" s="10"/>
      <c r="BC56" s="10"/>
      <c r="BD56" s="10"/>
      <c r="BE56" s="10"/>
      <c r="BF56" s="10"/>
      <c r="BG56" s="10"/>
    </row>
    <row r="57" spans="1:59" ht="15.75" customHeight="1">
      <c r="A57" s="169">
        <v>27</v>
      </c>
      <c r="B57" s="171" t="s">
        <v>353</v>
      </c>
      <c r="C57" s="173">
        <f t="shared" ref="C57:AZ57" si="26">IFERROR(C49/C28/(1-0.95),"N/A")</f>
        <v>359.99999999999966</v>
      </c>
      <c r="D57" s="174">
        <f t="shared" si="26"/>
        <v>249.99999999999977</v>
      </c>
      <c r="E57" s="174">
        <f t="shared" si="26"/>
        <v>351.99999999999972</v>
      </c>
      <c r="F57" s="174">
        <f t="shared" si="26"/>
        <v>569.99999999999955</v>
      </c>
      <c r="G57" s="174" t="str">
        <f t="shared" si="26"/>
        <v>N/A</v>
      </c>
      <c r="H57" s="174">
        <f t="shared" si="26"/>
        <v>8888.8888888888814</v>
      </c>
      <c r="I57" s="174">
        <f t="shared" si="26"/>
        <v>833.33333333333258</v>
      </c>
      <c r="J57" s="174" t="str">
        <f t="shared" si="26"/>
        <v>N/A</v>
      </c>
      <c r="K57" s="174">
        <f t="shared" si="26"/>
        <v>4399.9999999999964</v>
      </c>
      <c r="L57" s="174">
        <f t="shared" si="26"/>
        <v>55.555555555555507</v>
      </c>
      <c r="M57" s="174">
        <f t="shared" si="26"/>
        <v>6666.6666666666606</v>
      </c>
      <c r="N57" s="174">
        <f t="shared" si="26"/>
        <v>457.14285714285677</v>
      </c>
      <c r="O57" s="174">
        <f t="shared" si="26"/>
        <v>833.33333333333258</v>
      </c>
      <c r="P57" s="174">
        <f t="shared" si="26"/>
        <v>79999.999999999927</v>
      </c>
      <c r="Q57" s="174">
        <f t="shared" si="26"/>
        <v>666.66666666666617</v>
      </c>
      <c r="R57" s="174">
        <f t="shared" si="26"/>
        <v>799.99999999999932</v>
      </c>
      <c r="S57" s="174">
        <f t="shared" si="26"/>
        <v>952.38095238095161</v>
      </c>
      <c r="T57" s="174">
        <f t="shared" si="26"/>
        <v>1799.9999999999984</v>
      </c>
      <c r="U57" s="174">
        <f t="shared" si="26"/>
        <v>1599.9999999999986</v>
      </c>
      <c r="V57" s="174">
        <f t="shared" si="26"/>
        <v>699.99999999999943</v>
      </c>
      <c r="W57" s="174">
        <f t="shared" si="26"/>
        <v>1199.9999999999989</v>
      </c>
      <c r="X57" s="174">
        <f t="shared" si="26"/>
        <v>599.99999999999943</v>
      </c>
      <c r="Y57" s="174">
        <f t="shared" si="26"/>
        <v>599.99999999999943</v>
      </c>
      <c r="Z57" s="174">
        <f t="shared" si="26"/>
        <v>2999.9999999999973</v>
      </c>
      <c r="AA57" s="174">
        <f t="shared" si="26"/>
        <v>5759.9999999999945</v>
      </c>
      <c r="AB57" s="174">
        <f t="shared" si="26"/>
        <v>399.99999999999966</v>
      </c>
      <c r="AC57" s="174">
        <f t="shared" si="26"/>
        <v>71.999999999999943</v>
      </c>
      <c r="AD57" s="174">
        <f t="shared" si="26"/>
        <v>82799.999999999927</v>
      </c>
      <c r="AE57" s="174">
        <f t="shared" si="26"/>
        <v>3999.9999999999964</v>
      </c>
      <c r="AF57" s="174">
        <f t="shared" si="26"/>
        <v>1199.9999999999989</v>
      </c>
      <c r="AG57" s="174">
        <f t="shared" si="26"/>
        <v>2159.9999999999982</v>
      </c>
      <c r="AH57" s="174">
        <f t="shared" si="26"/>
        <v>799.99999999999932</v>
      </c>
      <c r="AI57" s="174">
        <f t="shared" si="26"/>
        <v>699.5336442371746</v>
      </c>
      <c r="AJ57" s="174" t="str">
        <f t="shared" si="26"/>
        <v>N/A</v>
      </c>
      <c r="AK57" s="174">
        <f t="shared" si="26"/>
        <v>33333.333333333307</v>
      </c>
      <c r="AL57" s="174" t="str">
        <f t="shared" si="26"/>
        <v>N/A</v>
      </c>
      <c r="AM57" s="174" t="str">
        <f t="shared" si="26"/>
        <v>N/A</v>
      </c>
      <c r="AN57" s="174" t="str">
        <f t="shared" si="26"/>
        <v>N/A</v>
      </c>
      <c r="AO57" s="174" t="str">
        <f t="shared" si="26"/>
        <v>N/A</v>
      </c>
      <c r="AP57" s="174" t="str">
        <f t="shared" si="26"/>
        <v>N/A</v>
      </c>
      <c r="AQ57" s="174" t="str">
        <f t="shared" si="26"/>
        <v>N/A</v>
      </c>
      <c r="AR57" s="174">
        <f t="shared" si="26"/>
        <v>499.99999999999955</v>
      </c>
      <c r="AS57" s="174">
        <f t="shared" si="26"/>
        <v>65999.999999999942</v>
      </c>
      <c r="AT57" s="174">
        <f t="shared" si="26"/>
        <v>1999.9999999999982</v>
      </c>
      <c r="AU57" s="174">
        <f t="shared" si="26"/>
        <v>119.99999999999989</v>
      </c>
      <c r="AV57" s="174">
        <f t="shared" si="26"/>
        <v>599999.99999999942</v>
      </c>
      <c r="AW57" s="174">
        <f t="shared" si="26"/>
        <v>19999.999999999982</v>
      </c>
      <c r="AX57" s="174">
        <f t="shared" si="26"/>
        <v>1999.9999999999982</v>
      </c>
      <c r="AY57" s="174">
        <f t="shared" si="26"/>
        <v>499.99999999999955</v>
      </c>
      <c r="AZ57" s="61">
        <f t="shared" si="26"/>
        <v>359.99999999999966</v>
      </c>
      <c r="BA57" s="10"/>
      <c r="BB57" s="10"/>
      <c r="BC57" s="10"/>
      <c r="BD57" s="10"/>
      <c r="BE57" s="10"/>
      <c r="BF57" s="10"/>
      <c r="BG57" s="10"/>
    </row>
    <row r="58" spans="1:59" ht="15.75" customHeight="1">
      <c r="A58" s="169">
        <v>28</v>
      </c>
      <c r="B58" s="171" t="s">
        <v>354</v>
      </c>
      <c r="C58" s="173">
        <f t="shared" ref="C58:AZ58" si="27">IFERROR(C49/C29/(1-0.95),"")</f>
        <v>35999.999999999971</v>
      </c>
      <c r="D58" s="174">
        <f t="shared" si="27"/>
        <v>249.99999999999977</v>
      </c>
      <c r="E58" s="174">
        <f t="shared" si="27"/>
        <v>351.99999999999972</v>
      </c>
      <c r="F58" s="174">
        <f t="shared" si="27"/>
        <v>5699.9999999999945</v>
      </c>
      <c r="G58" s="174">
        <f t="shared" si="27"/>
        <v>399.99999999999966</v>
      </c>
      <c r="H58" s="174">
        <f t="shared" si="27"/>
        <v>8888.8888888888814</v>
      </c>
      <c r="I58" s="174">
        <f t="shared" si="27"/>
        <v>833.33333333333258</v>
      </c>
      <c r="J58" s="174">
        <f t="shared" si="27"/>
        <v>999.99999999999909</v>
      </c>
      <c r="K58" s="174">
        <f t="shared" si="27"/>
        <v>21999.999999999982</v>
      </c>
      <c r="L58" s="174">
        <f t="shared" si="27"/>
        <v>55.555555555555507</v>
      </c>
      <c r="M58" s="174">
        <f t="shared" si="27"/>
        <v>66666.666666666599</v>
      </c>
      <c r="N58" s="174">
        <f t="shared" si="27"/>
        <v>857.14285714285631</v>
      </c>
      <c r="O58" s="174">
        <f t="shared" si="27"/>
        <v>2469.1358024691335</v>
      </c>
      <c r="P58" s="174">
        <f t="shared" si="27"/>
        <v>79999.999999999927</v>
      </c>
      <c r="Q58" s="174">
        <f t="shared" si="27"/>
        <v>1999.9999999999982</v>
      </c>
      <c r="R58" s="174">
        <f t="shared" si="27"/>
        <v>799.99999999999932</v>
      </c>
      <c r="S58" s="174">
        <f t="shared" si="27"/>
        <v>952.38095238095161</v>
      </c>
      <c r="T58" s="174">
        <f t="shared" si="27"/>
        <v>1799.9999999999984</v>
      </c>
      <c r="U58" s="174">
        <f t="shared" si="27"/>
        <v>1599.9999999999986</v>
      </c>
      <c r="V58" s="174">
        <f t="shared" si="27"/>
        <v>699.99999999999943</v>
      </c>
      <c r="W58" s="174">
        <f t="shared" si="27"/>
        <v>1199.9999999999989</v>
      </c>
      <c r="X58" s="174">
        <f t="shared" si="27"/>
        <v>599.99999999999943</v>
      </c>
      <c r="Y58" s="174">
        <f t="shared" si="27"/>
        <v>599.99999999999943</v>
      </c>
      <c r="Z58" s="174">
        <f t="shared" si="27"/>
        <v>2999.9999999999973</v>
      </c>
      <c r="AA58" s="174">
        <f t="shared" si="27"/>
        <v>14399.999999999987</v>
      </c>
      <c r="AB58" s="174">
        <f t="shared" si="27"/>
        <v>1599.9999999999986</v>
      </c>
      <c r="AC58" s="174">
        <f t="shared" si="27"/>
        <v>287999.99999999977</v>
      </c>
      <c r="AD58" s="174">
        <f t="shared" si="27"/>
        <v>165599.99999999985</v>
      </c>
      <c r="AE58" s="174">
        <f t="shared" si="27"/>
        <v>3999.9999999999964</v>
      </c>
      <c r="AF58" s="174">
        <f t="shared" si="27"/>
        <v>1199.9999999999989</v>
      </c>
      <c r="AG58" s="174">
        <f t="shared" si="27"/>
        <v>2159.9999999999982</v>
      </c>
      <c r="AH58" s="174">
        <f t="shared" si="27"/>
        <v>799.99999999999932</v>
      </c>
      <c r="AI58" s="174">
        <f t="shared" si="27"/>
        <v>2098.6009327115239</v>
      </c>
      <c r="AJ58" s="174">
        <f t="shared" si="27"/>
        <v>799.99999999999932</v>
      </c>
      <c r="AK58" s="174">
        <f t="shared" si="27"/>
        <v>333333.33333333308</v>
      </c>
      <c r="AL58" s="174">
        <f t="shared" si="27"/>
        <v>299.99999999999972</v>
      </c>
      <c r="AM58" s="174">
        <f t="shared" si="27"/>
        <v>399.99999999999966</v>
      </c>
      <c r="AN58" s="174">
        <f t="shared" si="27"/>
        <v>199.99999999999983</v>
      </c>
      <c r="AO58" s="174">
        <f t="shared" si="27"/>
        <v>131.99999999999989</v>
      </c>
      <c r="AP58" s="174">
        <f t="shared" si="27"/>
        <v>207.99999999999983</v>
      </c>
      <c r="AQ58" s="174">
        <f t="shared" si="27"/>
        <v>159.99999999999986</v>
      </c>
      <c r="AR58" s="174">
        <f t="shared" si="27"/>
        <v>24999.999999999978</v>
      </c>
      <c r="AS58" s="174">
        <f t="shared" si="27"/>
        <v>1319999.9999999988</v>
      </c>
      <c r="AT58" s="174">
        <f t="shared" si="27"/>
        <v>3999.9999999999964</v>
      </c>
      <c r="AU58" s="174">
        <f t="shared" si="27"/>
        <v>2399.9999999999977</v>
      </c>
      <c r="AV58" s="174">
        <f t="shared" si="27"/>
        <v>11999999.999999989</v>
      </c>
      <c r="AW58" s="174">
        <f t="shared" si="27"/>
        <v>399999.99999999965</v>
      </c>
      <c r="AX58" s="174">
        <f t="shared" si="27"/>
        <v>79999.999999999927</v>
      </c>
      <c r="AY58" s="174">
        <f t="shared" si="27"/>
        <v>499.99999999999955</v>
      </c>
      <c r="AZ58" s="61">
        <f t="shared" si="27"/>
        <v>3599.9999999999968</v>
      </c>
      <c r="BA58" s="10"/>
      <c r="BB58" s="10"/>
      <c r="BC58" s="10"/>
      <c r="BD58" s="10"/>
      <c r="BE58" s="10"/>
      <c r="BF58" s="10"/>
      <c r="BG58" s="10"/>
    </row>
    <row r="59" spans="1:59" ht="15.75" customHeight="1">
      <c r="A59" s="169">
        <v>29</v>
      </c>
      <c r="B59" s="99"/>
      <c r="C59" s="100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101"/>
      <c r="BA59" s="10"/>
      <c r="BB59" s="10"/>
      <c r="BC59" s="10"/>
      <c r="BD59" s="10"/>
      <c r="BE59" s="10"/>
      <c r="BF59" s="10"/>
      <c r="BG59" s="10"/>
    </row>
    <row r="60" spans="1:59" ht="15.75" customHeight="1">
      <c r="A60" s="169">
        <v>30</v>
      </c>
      <c r="B60" s="171" t="s">
        <v>355</v>
      </c>
      <c r="C60" s="88">
        <f t="shared" ref="C60:F60" si="28">IFERROR(C$7/C28,"")</f>
        <v>100</v>
      </c>
      <c r="D60" s="42">
        <f t="shared" si="28"/>
        <v>100</v>
      </c>
      <c r="E60" s="42">
        <f t="shared" si="28"/>
        <v>160</v>
      </c>
      <c r="F60" s="42">
        <f t="shared" si="28"/>
        <v>31.25</v>
      </c>
      <c r="G60" s="42" t="str">
        <f>IFERROR(G$7/G28,"Choose Bet")</f>
        <v>Choose Bet</v>
      </c>
      <c r="H60" s="42">
        <f t="shared" ref="H60:I60" si="29">IFERROR(H$7/H28,"")</f>
        <v>111.11111111111111</v>
      </c>
      <c r="I60" s="42">
        <f t="shared" si="29"/>
        <v>125</v>
      </c>
      <c r="J60" s="42" t="str">
        <f>IFERROR(J$7/J28,"Choose Bet")</f>
        <v>Choose Bet</v>
      </c>
      <c r="K60" s="42">
        <f t="shared" ref="K60:AI60" si="30">IFERROR(K$7/K28,"")</f>
        <v>90</v>
      </c>
      <c r="L60" s="42">
        <f t="shared" si="30"/>
        <v>44.444444444444443</v>
      </c>
      <c r="M60" s="42">
        <f t="shared" si="30"/>
        <v>1111.1111111111111</v>
      </c>
      <c r="N60" s="42">
        <f t="shared" si="30"/>
        <v>38.095238095238095</v>
      </c>
      <c r="O60" s="42">
        <f t="shared" si="30"/>
        <v>52.083333333333336</v>
      </c>
      <c r="P60" s="42">
        <f t="shared" si="30"/>
        <v>4000</v>
      </c>
      <c r="Q60" s="42">
        <f t="shared" si="30"/>
        <v>50</v>
      </c>
      <c r="R60" s="42">
        <f t="shared" si="30"/>
        <v>16.666666666666668</v>
      </c>
      <c r="S60" s="42">
        <f t="shared" si="30"/>
        <v>285.71428571428572</v>
      </c>
      <c r="T60" s="42">
        <f t="shared" si="30"/>
        <v>312.5</v>
      </c>
      <c r="U60" s="42">
        <f t="shared" si="30"/>
        <v>400</v>
      </c>
      <c r="V60" s="42">
        <f t="shared" si="30"/>
        <v>33.333333333333336</v>
      </c>
      <c r="W60" s="42">
        <f t="shared" si="30"/>
        <v>300</v>
      </c>
      <c r="X60" s="42">
        <f t="shared" si="30"/>
        <v>40</v>
      </c>
      <c r="Y60" s="42">
        <f t="shared" si="30"/>
        <v>50</v>
      </c>
      <c r="Z60" s="42">
        <f t="shared" si="30"/>
        <v>50</v>
      </c>
      <c r="AA60" s="42">
        <f t="shared" si="30"/>
        <v>100</v>
      </c>
      <c r="AB60" s="42">
        <f t="shared" si="30"/>
        <v>87.5</v>
      </c>
      <c r="AC60" s="42">
        <f t="shared" si="30"/>
        <v>32.325000000000003</v>
      </c>
      <c r="AD60" s="42">
        <f t="shared" si="30"/>
        <v>20000</v>
      </c>
      <c r="AE60" s="42">
        <f t="shared" si="30"/>
        <v>6</v>
      </c>
      <c r="AF60" s="42">
        <f t="shared" si="30"/>
        <v>300</v>
      </c>
      <c r="AG60" s="42">
        <f t="shared" si="30"/>
        <v>100</v>
      </c>
      <c r="AH60" s="42">
        <f t="shared" si="30"/>
        <v>300</v>
      </c>
      <c r="AI60" s="42">
        <f t="shared" si="30"/>
        <v>44.414834554741283</v>
      </c>
      <c r="AJ60" s="42" t="str">
        <f>IFERROR(AJ$7/AJ28,"Choose Bet")</f>
        <v>Choose Bet</v>
      </c>
      <c r="AK60" s="42">
        <f t="shared" ref="AK60" si="31">IFERROR(AK$7/AK28,"")</f>
        <v>666.66666666666663</v>
      </c>
      <c r="AL60" s="42" t="str">
        <f t="shared" ref="AL60:AQ60" si="32">IFERROR(AL$7/AL28,"Choose Bet")</f>
        <v>Choose Bet</v>
      </c>
      <c r="AM60" s="42" t="str">
        <f t="shared" si="32"/>
        <v>Choose Bet</v>
      </c>
      <c r="AN60" s="42" t="str">
        <f t="shared" si="32"/>
        <v>Choose Bet</v>
      </c>
      <c r="AO60" s="42" t="str">
        <f t="shared" si="32"/>
        <v>Choose Bet</v>
      </c>
      <c r="AP60" s="42" t="str">
        <f t="shared" si="32"/>
        <v>Choose Bet</v>
      </c>
      <c r="AQ60" s="42" t="str">
        <f t="shared" si="32"/>
        <v>Choose Bet</v>
      </c>
      <c r="AR60" s="42">
        <f t="shared" ref="AR60:AZ60" si="33">IFERROR(AR$7/AR28,"")</f>
        <v>5</v>
      </c>
      <c r="AS60" s="42">
        <f t="shared" si="33"/>
        <v>160</v>
      </c>
      <c r="AT60" s="42">
        <f t="shared" si="33"/>
        <v>75</v>
      </c>
      <c r="AU60" s="42">
        <f t="shared" si="33"/>
        <v>2</v>
      </c>
      <c r="AV60" s="42">
        <f t="shared" si="33"/>
        <v>350</v>
      </c>
      <c r="AW60" s="42">
        <f t="shared" si="33"/>
        <v>5</v>
      </c>
      <c r="AX60" s="42">
        <f t="shared" si="33"/>
        <v>2</v>
      </c>
      <c r="AY60" s="42">
        <f t="shared" si="33"/>
        <v>66.666666666666671</v>
      </c>
      <c r="AZ60" s="61">
        <f t="shared" si="33"/>
        <v>40</v>
      </c>
      <c r="BA60" s="10"/>
      <c r="BB60" s="10"/>
      <c r="BC60" s="10"/>
      <c r="BD60" s="10"/>
      <c r="BE60" s="10"/>
      <c r="BF60" s="10"/>
      <c r="BG60" s="10"/>
    </row>
    <row r="61" spans="1:59" ht="15.75" customHeight="1">
      <c r="A61" s="169">
        <v>31</v>
      </c>
      <c r="B61" s="171" t="s">
        <v>356</v>
      </c>
      <c r="C61" s="88">
        <f t="shared" ref="C61:AZ61" si="34">IFERROR(C$7/C29,"")</f>
        <v>10000</v>
      </c>
      <c r="D61" s="42">
        <f t="shared" si="34"/>
        <v>100</v>
      </c>
      <c r="E61" s="42">
        <f t="shared" si="34"/>
        <v>160</v>
      </c>
      <c r="F61" s="42">
        <f t="shared" si="34"/>
        <v>312.5</v>
      </c>
      <c r="G61" s="42">
        <f t="shared" si="34"/>
        <v>400</v>
      </c>
      <c r="H61" s="42">
        <f t="shared" si="34"/>
        <v>111.11111111111111</v>
      </c>
      <c r="I61" s="42">
        <f t="shared" si="34"/>
        <v>125</v>
      </c>
      <c r="J61" s="42">
        <f t="shared" si="34"/>
        <v>166.66666666666666</v>
      </c>
      <c r="K61" s="42">
        <f t="shared" si="34"/>
        <v>450</v>
      </c>
      <c r="L61" s="42">
        <f t="shared" si="34"/>
        <v>44.444444444444443</v>
      </c>
      <c r="M61" s="42">
        <f t="shared" si="34"/>
        <v>11111.111111111111</v>
      </c>
      <c r="N61" s="42">
        <f t="shared" si="34"/>
        <v>71.428571428571431</v>
      </c>
      <c r="O61" s="42">
        <f t="shared" si="34"/>
        <v>154.32098765432099</v>
      </c>
      <c r="P61" s="42">
        <f t="shared" si="34"/>
        <v>4000</v>
      </c>
      <c r="Q61" s="42">
        <f t="shared" si="34"/>
        <v>150</v>
      </c>
      <c r="R61" s="42">
        <f t="shared" si="34"/>
        <v>16.666666666666668</v>
      </c>
      <c r="S61" s="42">
        <f t="shared" si="34"/>
        <v>285.71428571428572</v>
      </c>
      <c r="T61" s="42">
        <f t="shared" si="34"/>
        <v>312.5</v>
      </c>
      <c r="U61" s="42">
        <f t="shared" si="34"/>
        <v>400</v>
      </c>
      <c r="V61" s="42">
        <f t="shared" si="34"/>
        <v>33.333333333333336</v>
      </c>
      <c r="W61" s="42">
        <f t="shared" si="34"/>
        <v>300</v>
      </c>
      <c r="X61" s="42">
        <f t="shared" si="34"/>
        <v>40</v>
      </c>
      <c r="Y61" s="42">
        <f t="shared" si="34"/>
        <v>50</v>
      </c>
      <c r="Z61" s="42">
        <f t="shared" si="34"/>
        <v>50</v>
      </c>
      <c r="AA61" s="42">
        <f t="shared" si="34"/>
        <v>250</v>
      </c>
      <c r="AB61" s="42">
        <f t="shared" si="34"/>
        <v>350</v>
      </c>
      <c r="AC61" s="42">
        <f t="shared" si="34"/>
        <v>129300</v>
      </c>
      <c r="AD61" s="42">
        <f t="shared" si="34"/>
        <v>40000</v>
      </c>
      <c r="AE61" s="42">
        <f t="shared" si="34"/>
        <v>6</v>
      </c>
      <c r="AF61" s="42">
        <f t="shared" si="34"/>
        <v>300</v>
      </c>
      <c r="AG61" s="42">
        <f t="shared" si="34"/>
        <v>100</v>
      </c>
      <c r="AH61" s="42">
        <f t="shared" si="34"/>
        <v>300</v>
      </c>
      <c r="AI61" s="42">
        <f t="shared" si="34"/>
        <v>133.24450366422386</v>
      </c>
      <c r="AJ61" s="42">
        <f t="shared" si="34"/>
        <v>200</v>
      </c>
      <c r="AK61" s="42">
        <f t="shared" si="34"/>
        <v>6666.666666666667</v>
      </c>
      <c r="AL61" s="42">
        <f t="shared" si="34"/>
        <v>30</v>
      </c>
      <c r="AM61" s="42">
        <f t="shared" si="34"/>
        <v>50</v>
      </c>
      <c r="AN61" s="42">
        <f t="shared" si="34"/>
        <v>50</v>
      </c>
      <c r="AO61" s="42">
        <f t="shared" si="34"/>
        <v>30</v>
      </c>
      <c r="AP61" s="42">
        <f t="shared" si="34"/>
        <v>12</v>
      </c>
      <c r="AQ61" s="42">
        <f t="shared" si="34"/>
        <v>68</v>
      </c>
      <c r="AR61" s="42">
        <f t="shared" si="34"/>
        <v>250</v>
      </c>
      <c r="AS61" s="42">
        <f t="shared" si="34"/>
        <v>3200</v>
      </c>
      <c r="AT61" s="42">
        <f t="shared" si="34"/>
        <v>150</v>
      </c>
      <c r="AU61" s="42">
        <f t="shared" si="34"/>
        <v>40</v>
      </c>
      <c r="AV61" s="42">
        <f t="shared" si="34"/>
        <v>7000</v>
      </c>
      <c r="AW61" s="42">
        <f t="shared" si="34"/>
        <v>100</v>
      </c>
      <c r="AX61" s="42">
        <f t="shared" si="34"/>
        <v>80</v>
      </c>
      <c r="AY61" s="42">
        <f t="shared" si="34"/>
        <v>66.666666666666671</v>
      </c>
      <c r="AZ61" s="61">
        <f t="shared" si="34"/>
        <v>400</v>
      </c>
      <c r="BA61" s="10"/>
      <c r="BB61" s="10"/>
      <c r="BC61" s="10"/>
      <c r="BD61" s="10"/>
      <c r="BE61" s="10"/>
      <c r="BF61" s="10"/>
      <c r="BG61" s="10"/>
    </row>
    <row r="62" spans="1:59" ht="15.75" customHeight="1">
      <c r="A62" s="10"/>
      <c r="B62" s="99"/>
      <c r="C62" s="100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101"/>
      <c r="BA62" s="10"/>
      <c r="BB62" s="10"/>
      <c r="BC62" s="10"/>
      <c r="BD62" s="10"/>
      <c r="BE62" s="10"/>
      <c r="BF62" s="10"/>
      <c r="BG62" s="10"/>
    </row>
    <row r="63" spans="1:59" ht="15.75" customHeight="1">
      <c r="A63" s="10"/>
      <c r="B63" s="171" t="s">
        <v>357</v>
      </c>
      <c r="C63" s="173">
        <f t="shared" ref="C63:F63" si="35">IFERROR(C46/C28/(1-0.95)-1,"")</f>
        <v>474.59999999999962</v>
      </c>
      <c r="D63" s="174">
        <f t="shared" si="35"/>
        <v>354.99999999999972</v>
      </c>
      <c r="E63" s="174">
        <f t="shared" si="35"/>
        <v>2074.8399999999983</v>
      </c>
      <c r="F63" s="174">
        <f t="shared" si="35"/>
        <v>1416.4999999999986</v>
      </c>
      <c r="G63" s="174" t="str">
        <f>IFERROR(G46/G28/(1-0.95)-1,"Choose Bet")</f>
        <v>Choose Bet</v>
      </c>
      <c r="H63" s="174">
        <f t="shared" ref="H63:I63" si="36">IFERROR(H46/H28/(1-0.95)-1,"")</f>
        <v>2354.5555555555534</v>
      </c>
      <c r="I63" s="174">
        <f t="shared" si="36"/>
        <v>499.99999999999955</v>
      </c>
      <c r="J63" s="174" t="str">
        <f>IFERROR(J46/J28/(1-0.95)-1,"Choose Bet")</f>
        <v>Choose Bet</v>
      </c>
      <c r="K63" s="174">
        <f t="shared" ref="K63:AI63" si="37">IFERROR(K46/K28/(1-0.95)-1,"")</f>
        <v>1823.3999999999983</v>
      </c>
      <c r="L63" s="174">
        <f t="shared" si="37"/>
        <v>501.33918128654926</v>
      </c>
      <c r="M63" s="174">
        <f t="shared" si="37"/>
        <v>5594.5555555555502</v>
      </c>
      <c r="N63" s="174">
        <f t="shared" si="37"/>
        <v>1658.0476190476174</v>
      </c>
      <c r="O63" s="174">
        <f t="shared" si="37"/>
        <v>240.8833333333331</v>
      </c>
      <c r="P63" s="174">
        <f t="shared" si="37"/>
        <v>67458.999999999942</v>
      </c>
      <c r="Q63" s="174">
        <f t="shared" si="37"/>
        <v>2958.9999999999973</v>
      </c>
      <c r="R63" s="174">
        <f t="shared" si="37"/>
        <v>159.69533333333317</v>
      </c>
      <c r="S63" s="174">
        <f t="shared" si="37"/>
        <v>2963.6257142857116</v>
      </c>
      <c r="T63" s="174">
        <f t="shared" si="37"/>
        <v>1198.9999999999989</v>
      </c>
      <c r="U63" s="174">
        <f t="shared" si="37"/>
        <v>7706.9999999999927</v>
      </c>
      <c r="V63" s="174">
        <f t="shared" si="37"/>
        <v>465.66666666666623</v>
      </c>
      <c r="W63" s="174">
        <f t="shared" si="37"/>
        <v>1652.5999999999988</v>
      </c>
      <c r="X63" s="174">
        <f t="shared" si="37"/>
        <v>1198.9999999999989</v>
      </c>
      <c r="Y63" s="174">
        <f t="shared" si="37"/>
        <v>1305.2499999999989</v>
      </c>
      <c r="Z63" s="174">
        <f t="shared" si="37"/>
        <v>1373.9999999999989</v>
      </c>
      <c r="AA63" s="174">
        <f t="shared" si="37"/>
        <v>254.99999999999977</v>
      </c>
      <c r="AB63" s="174">
        <f t="shared" si="37"/>
        <v>267.12499999999977</v>
      </c>
      <c r="AC63" s="174">
        <f t="shared" si="37"/>
        <v>0.3735999999999986</v>
      </c>
      <c r="AD63" s="174">
        <f t="shared" si="37"/>
        <v>109598.9999999999</v>
      </c>
      <c r="AE63" s="174">
        <f t="shared" si="37"/>
        <v>5782.9999999999945</v>
      </c>
      <c r="AF63" s="174">
        <f t="shared" si="37"/>
        <v>2352.4999999999977</v>
      </c>
      <c r="AG63" s="174">
        <f t="shared" si="37"/>
        <v>872.33333333333246</v>
      </c>
      <c r="AH63" s="174">
        <f t="shared" si="37"/>
        <v>1478.9999999999986</v>
      </c>
      <c r="AI63" s="174">
        <f t="shared" si="37"/>
        <v>327.22562735953778</v>
      </c>
      <c r="AJ63" s="174" t="str">
        <f>IFERROR(AJ46/AJ28/(1-0.95)-1,"Choose Bet")</f>
        <v>Choose Bet</v>
      </c>
      <c r="AK63" s="174">
        <f t="shared" ref="AK63" si="38">IFERROR(AK46/AK28/(1-0.95)-1,"")</f>
        <v>23865.666666666642</v>
      </c>
      <c r="AL63" s="174" t="str">
        <f t="shared" ref="AL63:AQ63" si="39">IFERROR(AL46/AL28/(1-0.95)-1,"Choose Bet")</f>
        <v>Choose Bet</v>
      </c>
      <c r="AM63" s="174" t="str">
        <f t="shared" si="39"/>
        <v>Choose Bet</v>
      </c>
      <c r="AN63" s="174" t="str">
        <f t="shared" si="39"/>
        <v>Choose Bet</v>
      </c>
      <c r="AO63" s="174" t="str">
        <f t="shared" si="39"/>
        <v>Choose Bet</v>
      </c>
      <c r="AP63" s="174" t="str">
        <f t="shared" si="39"/>
        <v>Choose Bet</v>
      </c>
      <c r="AQ63" s="174" t="str">
        <f t="shared" si="39"/>
        <v>Choose Bet</v>
      </c>
      <c r="AR63" s="174">
        <f t="shared" ref="AR63:AZ63" si="40">IFERROR(AR46/AR28/(1-0.95)-1,"")</f>
        <v>124.99999999999989</v>
      </c>
      <c r="AS63" s="174">
        <f t="shared" si="40"/>
        <v>14640.799999999988</v>
      </c>
      <c r="AT63" s="174">
        <f t="shared" si="40"/>
        <v>1252.9999999999989</v>
      </c>
      <c r="AU63" s="174">
        <f t="shared" si="40"/>
        <v>176.30399999999983</v>
      </c>
      <c r="AV63" s="174">
        <f t="shared" si="40"/>
        <v>14578.999999999987</v>
      </c>
      <c r="AW63" s="174">
        <f t="shared" si="40"/>
        <v>106.99999999999991</v>
      </c>
      <c r="AX63" s="174">
        <f t="shared" si="40"/>
        <v>25.099999999999977</v>
      </c>
      <c r="AY63" s="174">
        <f t="shared" si="40"/>
        <v>487.38573333333284</v>
      </c>
      <c r="AZ63" s="61">
        <f t="shared" si="40"/>
        <v>173.99999999999986</v>
      </c>
      <c r="BA63" s="10"/>
      <c r="BB63" s="10"/>
      <c r="BC63" s="10"/>
      <c r="BD63" s="10"/>
      <c r="BE63" s="10"/>
      <c r="BF63" s="10"/>
      <c r="BG63" s="10"/>
    </row>
    <row r="64" spans="1:59" ht="15.75" customHeight="1">
      <c r="A64" s="10"/>
      <c r="B64" s="99"/>
      <c r="C64" s="100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101"/>
      <c r="BA64" s="10"/>
      <c r="BB64" s="10"/>
      <c r="BC64" s="10"/>
      <c r="BD64" s="10"/>
      <c r="BE64" s="10"/>
      <c r="BF64" s="10"/>
      <c r="BG64" s="10"/>
    </row>
    <row r="65" spans="1:59" ht="15.75" customHeight="1">
      <c r="A65" s="10"/>
      <c r="B65" s="171" t="s">
        <v>358</v>
      </c>
      <c r="C65" s="175">
        <f t="shared" ref="C65:AZ65" si="41">C35/C$68</f>
        <v>0.33978132884777124</v>
      </c>
      <c r="D65" s="177">
        <f t="shared" si="41"/>
        <v>1</v>
      </c>
      <c r="E65" s="177">
        <f t="shared" si="41"/>
        <v>0.65669801140743023</v>
      </c>
      <c r="F65" s="177">
        <f t="shared" si="41"/>
        <v>0.38412698412698409</v>
      </c>
      <c r="G65" s="177">
        <f t="shared" si="41"/>
        <v>0.5821727019498607</v>
      </c>
      <c r="H65" s="177">
        <f t="shared" si="41"/>
        <v>0.39622641509433959</v>
      </c>
      <c r="I65" s="177">
        <f t="shared" si="41"/>
        <v>0.83366600133067204</v>
      </c>
      <c r="J65" s="177">
        <f t="shared" si="41"/>
        <v>0.23347778981581799</v>
      </c>
      <c r="K65" s="177">
        <f t="shared" si="41"/>
        <v>7.9149309361982015E-2</v>
      </c>
      <c r="L65" s="177">
        <f t="shared" si="41"/>
        <v>0.15133876600698487</v>
      </c>
      <c r="M65" s="177">
        <f t="shared" si="41"/>
        <v>0.30976965845909449</v>
      </c>
      <c r="N65" s="177">
        <f t="shared" si="41"/>
        <v>0.5752009184845005</v>
      </c>
      <c r="O65" s="177">
        <f t="shared" si="41"/>
        <v>0.64859091848687378</v>
      </c>
      <c r="P65" s="177">
        <f t="shared" si="41"/>
        <v>0.22235398754817667</v>
      </c>
      <c r="Q65" s="177">
        <f t="shared" si="41"/>
        <v>5.8933933933933924E-2</v>
      </c>
      <c r="R65" s="177">
        <f t="shared" si="41"/>
        <v>0.83405450479789911</v>
      </c>
      <c r="S65" s="177">
        <f t="shared" si="41"/>
        <v>0.38549795252399965</v>
      </c>
      <c r="T65" s="177">
        <f t="shared" si="41"/>
        <v>1</v>
      </c>
      <c r="U65" s="177">
        <f t="shared" si="41"/>
        <v>0.40477426050856252</v>
      </c>
      <c r="V65" s="177">
        <f t="shared" si="41"/>
        <v>0</v>
      </c>
      <c r="W65" s="177">
        <f t="shared" si="41"/>
        <v>0.1088534107402032</v>
      </c>
      <c r="X65" s="177">
        <f t="shared" si="41"/>
        <v>0.5</v>
      </c>
      <c r="Y65" s="177">
        <f t="shared" si="41"/>
        <v>0.43381180223285482</v>
      </c>
      <c r="Z65" s="177">
        <f t="shared" si="41"/>
        <v>0.72727272727272729</v>
      </c>
      <c r="AA65" s="177">
        <f t="shared" si="41"/>
        <v>0.953125</v>
      </c>
      <c r="AB65" s="177">
        <f t="shared" si="41"/>
        <v>0.44055944055944052</v>
      </c>
      <c r="AC65" s="177">
        <f t="shared" si="41"/>
        <v>0.70879440885264999</v>
      </c>
      <c r="AD65" s="177">
        <f t="shared" si="41"/>
        <v>0.62226277372262773</v>
      </c>
      <c r="AE65" s="177">
        <f t="shared" si="41"/>
        <v>0.13831258644536654</v>
      </c>
      <c r="AF65" s="177">
        <f t="shared" si="41"/>
        <v>9.8151688973868709E-2</v>
      </c>
      <c r="AG65" s="177">
        <f t="shared" si="41"/>
        <v>0.42748091603053429</v>
      </c>
      <c r="AH65" s="177">
        <f t="shared" si="41"/>
        <v>0.91891891891891886</v>
      </c>
      <c r="AI65" s="177">
        <f t="shared" si="41"/>
        <v>0.69553450608930989</v>
      </c>
      <c r="AJ65" s="177">
        <f t="shared" si="41"/>
        <v>0.30799112097669257</v>
      </c>
      <c r="AK65" s="177">
        <f t="shared" si="41"/>
        <v>8.3798882681564241E-2</v>
      </c>
      <c r="AL65" s="177">
        <f t="shared" si="41"/>
        <v>0.31871011696121487</v>
      </c>
      <c r="AM65" s="177">
        <f t="shared" si="41"/>
        <v>0.72446194225721794</v>
      </c>
      <c r="AN65" s="177">
        <f t="shared" si="41"/>
        <v>1</v>
      </c>
      <c r="AO65" s="177">
        <f t="shared" si="41"/>
        <v>0.93579290902923162</v>
      </c>
      <c r="AP65" s="177">
        <f t="shared" si="41"/>
        <v>0.17001379233220881</v>
      </c>
      <c r="AQ65" s="177">
        <f t="shared" si="41"/>
        <v>1</v>
      </c>
      <c r="AR65" s="177">
        <f t="shared" si="41"/>
        <v>0.84126984126984128</v>
      </c>
      <c r="AS65" s="177">
        <f t="shared" si="41"/>
        <v>1</v>
      </c>
      <c r="AT65" s="177">
        <f t="shared" si="41"/>
        <v>7.9744816586921854E-2</v>
      </c>
      <c r="AU65" s="177">
        <f t="shared" si="41"/>
        <v>1.4889680999864638E-2</v>
      </c>
      <c r="AV65" s="177">
        <f t="shared" si="41"/>
        <v>0.48696844993141292</v>
      </c>
      <c r="AW65" s="177">
        <f t="shared" si="41"/>
        <v>1</v>
      </c>
      <c r="AX65" s="177">
        <f t="shared" si="41"/>
        <v>1</v>
      </c>
      <c r="AY65" s="177">
        <f t="shared" si="41"/>
        <v>0.77476819552195497</v>
      </c>
      <c r="AZ65" s="178">
        <f t="shared" si="41"/>
        <v>0.57142857142857151</v>
      </c>
      <c r="BA65" s="10"/>
      <c r="BB65" s="10"/>
      <c r="BC65" s="10"/>
      <c r="BD65" s="10"/>
      <c r="BE65" s="10"/>
      <c r="BF65" s="10"/>
      <c r="BG65" s="10"/>
    </row>
    <row r="66" spans="1:59" ht="15.75" customHeight="1">
      <c r="A66" s="10"/>
      <c r="B66" s="171" t="s">
        <v>359</v>
      </c>
      <c r="C66" s="175">
        <f t="shared" ref="C66:AZ66" si="42">C38/C68</f>
        <v>4.2052144659377629E-2</v>
      </c>
      <c r="D66" s="177">
        <f t="shared" si="42"/>
        <v>0</v>
      </c>
      <c r="E66" s="177">
        <f t="shared" si="42"/>
        <v>0.11330353013719748</v>
      </c>
      <c r="F66" s="177">
        <f t="shared" si="42"/>
        <v>0.61587301587301591</v>
      </c>
      <c r="G66" s="177">
        <f t="shared" si="42"/>
        <v>0.4178272980501393</v>
      </c>
      <c r="H66" s="177">
        <f t="shared" si="42"/>
        <v>0.47169811320754712</v>
      </c>
      <c r="I66" s="177">
        <f t="shared" si="42"/>
        <v>0.16633399866932802</v>
      </c>
      <c r="J66" s="177">
        <f t="shared" si="42"/>
        <v>0.11105092091007585</v>
      </c>
      <c r="K66" s="177">
        <f t="shared" si="42"/>
        <v>0.131550098662574</v>
      </c>
      <c r="L66" s="177">
        <f t="shared" si="42"/>
        <v>0.84866123399301518</v>
      </c>
      <c r="M66" s="177">
        <f t="shared" si="42"/>
        <v>0.39714058776806987</v>
      </c>
      <c r="N66" s="177">
        <f t="shared" si="42"/>
        <v>0.2525832376578645</v>
      </c>
      <c r="O66" s="177">
        <f t="shared" si="42"/>
        <v>0.35140908151312611</v>
      </c>
      <c r="P66" s="177">
        <f t="shared" si="42"/>
        <v>0.56151793655499549</v>
      </c>
      <c r="Q66" s="177">
        <f t="shared" si="42"/>
        <v>0.47184684684684686</v>
      </c>
      <c r="R66" s="177">
        <f t="shared" si="42"/>
        <v>0.16594549520210089</v>
      </c>
      <c r="S66" s="177">
        <f t="shared" si="42"/>
        <v>9.6374488130999914E-2</v>
      </c>
      <c r="T66" s="177">
        <f t="shared" si="42"/>
        <v>0</v>
      </c>
      <c r="U66" s="177">
        <f t="shared" si="42"/>
        <v>0.19590036325895174</v>
      </c>
      <c r="V66" s="177">
        <f t="shared" si="42"/>
        <v>5.7142857142857148E-2</v>
      </c>
      <c r="W66" s="177">
        <f t="shared" si="42"/>
        <v>0.89114658925979684</v>
      </c>
      <c r="X66" s="177">
        <f t="shared" si="42"/>
        <v>0.5</v>
      </c>
      <c r="Y66" s="177">
        <f t="shared" si="42"/>
        <v>0.41307814992025516</v>
      </c>
      <c r="Z66" s="177">
        <f t="shared" si="42"/>
        <v>0.27272727272727276</v>
      </c>
      <c r="AA66" s="177">
        <f t="shared" si="42"/>
        <v>4.6875E-2</v>
      </c>
      <c r="AB66" s="177">
        <f t="shared" si="42"/>
        <v>0.55944055944055948</v>
      </c>
      <c r="AC66" s="177">
        <f t="shared" si="42"/>
        <v>0.29120559114735006</v>
      </c>
      <c r="AD66" s="177">
        <f t="shared" si="42"/>
        <v>0.37773722627737222</v>
      </c>
      <c r="AE66" s="177">
        <f t="shared" si="42"/>
        <v>0.27662517289073307</v>
      </c>
      <c r="AF66" s="177">
        <f t="shared" si="42"/>
        <v>0.90184831102613139</v>
      </c>
      <c r="AG66" s="177">
        <f t="shared" si="42"/>
        <v>0.5725190839694656</v>
      </c>
      <c r="AH66" s="177">
        <f t="shared" si="42"/>
        <v>8.1081081081081072E-2</v>
      </c>
      <c r="AI66" s="177">
        <f t="shared" si="42"/>
        <v>0.30446549391069011</v>
      </c>
      <c r="AJ66" s="177">
        <f t="shared" si="42"/>
        <v>5.2719200887902329E-2</v>
      </c>
      <c r="AK66" s="177">
        <f t="shared" si="42"/>
        <v>0.74860335195530736</v>
      </c>
      <c r="AL66" s="177">
        <f t="shared" si="42"/>
        <v>0.68128988303878502</v>
      </c>
      <c r="AM66" s="177">
        <f t="shared" si="42"/>
        <v>0.27553805774278212</v>
      </c>
      <c r="AN66" s="177">
        <f t="shared" si="42"/>
        <v>0</v>
      </c>
      <c r="AO66" s="177">
        <f t="shared" si="42"/>
        <v>6.4207090970768155E-2</v>
      </c>
      <c r="AP66" s="177">
        <f t="shared" si="42"/>
        <v>0.30578439229865989</v>
      </c>
      <c r="AQ66" s="177">
        <f t="shared" si="42"/>
        <v>0</v>
      </c>
      <c r="AR66" s="177">
        <f t="shared" si="42"/>
        <v>0.15873015873015872</v>
      </c>
      <c r="AS66" s="177">
        <f t="shared" si="42"/>
        <v>0</v>
      </c>
      <c r="AT66" s="177">
        <f t="shared" si="42"/>
        <v>0.59330143540669855</v>
      </c>
      <c r="AU66" s="177">
        <f t="shared" si="42"/>
        <v>0.92270901953706619</v>
      </c>
      <c r="AV66" s="177">
        <f t="shared" si="42"/>
        <v>0.30727023319615915</v>
      </c>
      <c r="AW66" s="177">
        <f t="shared" si="42"/>
        <v>0</v>
      </c>
      <c r="AX66" s="177">
        <f t="shared" si="42"/>
        <v>0</v>
      </c>
      <c r="AY66" s="177">
        <f t="shared" si="42"/>
        <v>0.22523180447804511</v>
      </c>
      <c r="AZ66" s="178">
        <f t="shared" si="42"/>
        <v>0.4285714285714286</v>
      </c>
      <c r="BA66" s="10"/>
      <c r="BB66" s="10"/>
      <c r="BC66" s="10"/>
      <c r="BD66" s="10"/>
      <c r="BE66" s="10"/>
      <c r="BF66" s="10"/>
      <c r="BG66" s="10"/>
    </row>
    <row r="67" spans="1:59" ht="15.75" customHeight="1">
      <c r="A67" s="10"/>
      <c r="B67" s="171" t="s">
        <v>360</v>
      </c>
      <c r="C67" s="175">
        <f t="shared" ref="C67:AZ67" si="43">C44/C68</f>
        <v>0.50462573591253146</v>
      </c>
      <c r="D67" s="177">
        <f t="shared" si="43"/>
        <v>0</v>
      </c>
      <c r="E67" s="177">
        <f t="shared" si="43"/>
        <v>0.19145984276244798</v>
      </c>
      <c r="F67" s="177">
        <f t="shared" si="43"/>
        <v>0</v>
      </c>
      <c r="G67" s="177">
        <f t="shared" si="43"/>
        <v>0</v>
      </c>
      <c r="H67" s="177">
        <f t="shared" si="43"/>
        <v>0</v>
      </c>
      <c r="I67" s="177">
        <f t="shared" si="43"/>
        <v>0</v>
      </c>
      <c r="J67" s="177">
        <f t="shared" si="43"/>
        <v>0</v>
      </c>
      <c r="K67" s="177">
        <f t="shared" si="43"/>
        <v>0</v>
      </c>
      <c r="L67" s="177">
        <f t="shared" si="43"/>
        <v>0</v>
      </c>
      <c r="M67" s="177">
        <f t="shared" si="43"/>
        <v>3.971405877680699E-2</v>
      </c>
      <c r="N67" s="177">
        <f t="shared" si="43"/>
        <v>0</v>
      </c>
      <c r="O67" s="177">
        <f t="shared" si="43"/>
        <v>0</v>
      </c>
      <c r="P67" s="177">
        <f t="shared" si="43"/>
        <v>2.9647198339756892E-2</v>
      </c>
      <c r="Q67" s="177">
        <f t="shared" si="43"/>
        <v>0</v>
      </c>
      <c r="R67" s="177">
        <f t="shared" si="43"/>
        <v>0</v>
      </c>
      <c r="S67" s="177">
        <f t="shared" si="43"/>
        <v>0.28912346439299974</v>
      </c>
      <c r="T67" s="177">
        <f t="shared" si="43"/>
        <v>0</v>
      </c>
      <c r="U67" s="177">
        <f t="shared" si="43"/>
        <v>0.30825116761805921</v>
      </c>
      <c r="V67" s="177">
        <f t="shared" si="43"/>
        <v>0</v>
      </c>
      <c r="W67" s="177">
        <f t="shared" si="43"/>
        <v>0</v>
      </c>
      <c r="X67" s="177">
        <f t="shared" si="43"/>
        <v>0</v>
      </c>
      <c r="Y67" s="177">
        <f t="shared" si="43"/>
        <v>0</v>
      </c>
      <c r="Z67" s="177">
        <f t="shared" si="43"/>
        <v>0</v>
      </c>
      <c r="AA67" s="177">
        <f t="shared" si="43"/>
        <v>0</v>
      </c>
      <c r="AB67" s="177">
        <f t="shared" si="43"/>
        <v>0</v>
      </c>
      <c r="AC67" s="177">
        <f t="shared" si="43"/>
        <v>0</v>
      </c>
      <c r="AD67" s="177">
        <f t="shared" si="43"/>
        <v>0</v>
      </c>
      <c r="AE67" s="177">
        <f t="shared" si="43"/>
        <v>0.1037344398340249</v>
      </c>
      <c r="AF67" s="177">
        <f t="shared" si="43"/>
        <v>0</v>
      </c>
      <c r="AG67" s="177">
        <f t="shared" si="43"/>
        <v>0</v>
      </c>
      <c r="AH67" s="177">
        <f t="shared" si="43"/>
        <v>0</v>
      </c>
      <c r="AI67" s="177">
        <f t="shared" si="43"/>
        <v>0</v>
      </c>
      <c r="AJ67" s="177">
        <f t="shared" si="43"/>
        <v>0</v>
      </c>
      <c r="AK67" s="177">
        <f t="shared" si="43"/>
        <v>0</v>
      </c>
      <c r="AL67" s="177">
        <f t="shared" si="43"/>
        <v>0</v>
      </c>
      <c r="AM67" s="177">
        <f t="shared" si="43"/>
        <v>0</v>
      </c>
      <c r="AN67" s="177">
        <f t="shared" si="43"/>
        <v>0</v>
      </c>
      <c r="AO67" s="177">
        <f t="shared" si="43"/>
        <v>0</v>
      </c>
      <c r="AP67" s="177">
        <f t="shared" si="43"/>
        <v>0</v>
      </c>
      <c r="AQ67" s="177">
        <f t="shared" si="43"/>
        <v>0</v>
      </c>
      <c r="AR67" s="177">
        <f t="shared" si="43"/>
        <v>0</v>
      </c>
      <c r="AS67" s="177">
        <f t="shared" si="43"/>
        <v>0</v>
      </c>
      <c r="AT67" s="177">
        <f t="shared" si="43"/>
        <v>0</v>
      </c>
      <c r="AU67" s="177">
        <f t="shared" si="43"/>
        <v>0</v>
      </c>
      <c r="AV67" s="177">
        <f t="shared" si="43"/>
        <v>0</v>
      </c>
      <c r="AW67" s="177">
        <f t="shared" si="43"/>
        <v>0</v>
      </c>
      <c r="AX67" s="177">
        <f t="shared" si="43"/>
        <v>0</v>
      </c>
      <c r="AY67" s="177">
        <f t="shared" si="43"/>
        <v>0</v>
      </c>
      <c r="AZ67" s="178">
        <f t="shared" si="43"/>
        <v>0</v>
      </c>
      <c r="BA67" s="10"/>
      <c r="BB67" s="10"/>
      <c r="BC67" s="10"/>
      <c r="BD67" s="10"/>
      <c r="BE67" s="10"/>
      <c r="BF67" s="10"/>
      <c r="BG67" s="10"/>
    </row>
    <row r="68" spans="1:59" ht="15.75" customHeight="1">
      <c r="A68" s="10"/>
      <c r="B68" s="179" t="s">
        <v>361</v>
      </c>
      <c r="C68" s="180">
        <f t="shared" ref="C68:AZ68" si="44">C47</f>
        <v>1.3211111111111111</v>
      </c>
      <c r="D68" s="181">
        <f t="shared" si="44"/>
        <v>1.4239999999999999</v>
      </c>
      <c r="E68" s="181">
        <f t="shared" si="44"/>
        <v>5.8972727272727274</v>
      </c>
      <c r="F68" s="181">
        <f t="shared" si="44"/>
        <v>2.486842105263158</v>
      </c>
      <c r="G68" s="181">
        <f t="shared" si="44"/>
        <v>0.71799999999999997</v>
      </c>
      <c r="H68" s="181">
        <f t="shared" si="44"/>
        <v>0.26500000000000001</v>
      </c>
      <c r="I68" s="181">
        <f t="shared" si="44"/>
        <v>0.60119999999999996</v>
      </c>
      <c r="J68" s="181">
        <f t="shared" si="44"/>
        <v>2.4613333333333332</v>
      </c>
      <c r="K68" s="181">
        <f t="shared" si="44"/>
        <v>0.41463636363636364</v>
      </c>
      <c r="L68" s="181">
        <f t="shared" si="44"/>
        <v>9.0421052631578949</v>
      </c>
      <c r="M68" s="181">
        <f t="shared" si="44"/>
        <v>0.83933333333333338</v>
      </c>
      <c r="N68" s="181">
        <f t="shared" si="44"/>
        <v>3.6291666666666669</v>
      </c>
      <c r="O68" s="181">
        <f t="shared" si="44"/>
        <v>0.29026000000000002</v>
      </c>
      <c r="P68" s="181">
        <f t="shared" si="44"/>
        <v>0.84325000000000006</v>
      </c>
      <c r="Q68" s="181">
        <f t="shared" si="44"/>
        <v>4.4400000000000004</v>
      </c>
      <c r="R68" s="181">
        <f t="shared" si="44"/>
        <v>0.20086916666666665</v>
      </c>
      <c r="S68" s="181">
        <f t="shared" si="44"/>
        <v>3.112857</v>
      </c>
      <c r="T68" s="181">
        <f t="shared" si="44"/>
        <v>0.66666666666666663</v>
      </c>
      <c r="U68" s="181">
        <f t="shared" si="44"/>
        <v>4.8174999999999999</v>
      </c>
      <c r="V68" s="181">
        <f t="shared" si="44"/>
        <v>0.66666666666666663</v>
      </c>
      <c r="W68" s="181">
        <f t="shared" si="44"/>
        <v>1.3779999999999999</v>
      </c>
      <c r="X68" s="181">
        <f t="shared" si="44"/>
        <v>2</v>
      </c>
      <c r="Y68" s="181">
        <f t="shared" si="44"/>
        <v>2.1770833333333335</v>
      </c>
      <c r="Z68" s="181">
        <f t="shared" si="44"/>
        <v>0.45833333333333331</v>
      </c>
      <c r="AA68" s="181">
        <f t="shared" si="44"/>
        <v>4.4444444444444446E-2</v>
      </c>
      <c r="AB68" s="181">
        <f t="shared" si="44"/>
        <v>0.67031249999999998</v>
      </c>
      <c r="AC68" s="181">
        <f t="shared" si="44"/>
        <v>1.9077777777777777E-2</v>
      </c>
      <c r="AD68" s="181">
        <f t="shared" si="44"/>
        <v>1.3236714975845412</v>
      </c>
      <c r="AE68" s="181">
        <f t="shared" si="44"/>
        <v>1.446</v>
      </c>
      <c r="AF68" s="181">
        <f t="shared" si="44"/>
        <v>1.9612499999999999</v>
      </c>
      <c r="AG68" s="181">
        <f t="shared" si="44"/>
        <v>0.40432098765432101</v>
      </c>
      <c r="AH68" s="181">
        <f t="shared" si="44"/>
        <v>1.85</v>
      </c>
      <c r="AI68" s="181">
        <f t="shared" si="44"/>
        <v>0.46920634920634918</v>
      </c>
      <c r="AJ68" s="181">
        <f t="shared" si="44"/>
        <v>1.802</v>
      </c>
      <c r="AK68" s="181">
        <f t="shared" si="44"/>
        <v>0.71599999999999997</v>
      </c>
      <c r="AL68" s="181">
        <f t="shared" si="44"/>
        <v>1.5656575757575759</v>
      </c>
      <c r="AM68" s="181">
        <f t="shared" si="44"/>
        <v>3.81</v>
      </c>
      <c r="AN68" s="181">
        <f t="shared" si="44"/>
        <v>2.2676923076923079</v>
      </c>
      <c r="AO68" s="181">
        <f t="shared" si="44"/>
        <v>3.2382196969696975</v>
      </c>
      <c r="AP68" s="181">
        <f t="shared" si="44"/>
        <v>2.2011487179487177</v>
      </c>
      <c r="AQ68" s="181">
        <f t="shared" si="44"/>
        <v>1.75</v>
      </c>
      <c r="AR68" s="181">
        <f t="shared" si="44"/>
        <v>0.252</v>
      </c>
      <c r="AS68" s="181">
        <f t="shared" si="44"/>
        <v>0.22184545454545454</v>
      </c>
      <c r="AT68" s="181">
        <f t="shared" si="44"/>
        <v>0.627</v>
      </c>
      <c r="AU68" s="181">
        <f t="shared" si="44"/>
        <v>1.4775333333333334</v>
      </c>
      <c r="AV68" s="181">
        <f t="shared" si="44"/>
        <v>2.4299999999999999E-2</v>
      </c>
      <c r="AW68" s="181">
        <f t="shared" si="44"/>
        <v>5.4000000000000003E-3</v>
      </c>
      <c r="AX68" s="181">
        <f t="shared" si="44"/>
        <v>1.3050000000000001E-2</v>
      </c>
      <c r="AY68" s="181">
        <f t="shared" si="44"/>
        <v>0.97677146666666659</v>
      </c>
      <c r="AZ68" s="182">
        <f t="shared" si="44"/>
        <v>0.4861111111111111</v>
      </c>
      <c r="BA68" s="10"/>
      <c r="BB68" s="10"/>
      <c r="BC68" s="10"/>
      <c r="BD68" s="10"/>
      <c r="BE68" s="10"/>
      <c r="BF68" s="10"/>
      <c r="BG68" s="10"/>
    </row>
    <row r="69" spans="1:59" ht="15.75" customHeight="1">
      <c r="A69" s="10"/>
      <c r="B69" s="18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</row>
    <row r="70" spans="1:59" ht="15.75" customHeight="1">
      <c r="A70" s="10"/>
      <c r="B70" s="18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</row>
    <row r="71" spans="1:59" ht="15.75" customHeight="1">
      <c r="A71" s="10"/>
      <c r="B71" s="18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</row>
    <row r="72" spans="1:59" ht="15.75" customHeight="1">
      <c r="A72" s="10"/>
      <c r="B72" s="18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 spans="1:59" ht="15.75" customHeight="1">
      <c r="A73" s="10"/>
      <c r="B73" s="18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</row>
    <row r="74" spans="1:59" ht="15.75" customHeight="1">
      <c r="A74" s="10"/>
      <c r="B74" s="18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</row>
    <row r="75" spans="1:59" ht="15.75" customHeight="1">
      <c r="A75" s="10"/>
      <c r="B75" s="18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</row>
    <row r="76" spans="1:59" ht="15.75" customHeight="1">
      <c r="A76" s="10"/>
      <c r="B76" s="18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</row>
    <row r="77" spans="1:59" ht="15.75" customHeight="1">
      <c r="A77" s="10"/>
      <c r="B77" s="18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</row>
    <row r="78" spans="1:59" ht="15.75" customHeight="1">
      <c r="A78" s="10"/>
      <c r="B78" s="18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</row>
    <row r="79" spans="1:59" ht="15.75" customHeight="1">
      <c r="A79" s="10"/>
      <c r="B79" s="18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</row>
    <row r="80" spans="1:59" ht="15.75" customHeight="1">
      <c r="A80" s="10"/>
      <c r="B80" s="184"/>
      <c r="C80" s="185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spans="1:59" ht="15.75" customHeight="1">
      <c r="A81" s="10"/>
      <c r="B81" s="184"/>
      <c r="C81" s="185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</row>
    <row r="82" spans="1:59" ht="15.75" customHeight="1">
      <c r="A82" s="10"/>
      <c r="B82" s="184"/>
      <c r="C82" s="12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</row>
    <row r="83" spans="1:59" ht="15.75" customHeight="1">
      <c r="A83" s="10"/>
      <c r="B83" s="184"/>
      <c r="C83" s="185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</row>
    <row r="84" spans="1:59" ht="15.75" customHeight="1">
      <c r="A84" s="10"/>
      <c r="B84" s="18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spans="1:59" ht="15.75" customHeight="1">
      <c r="A85" s="10"/>
      <c r="B85" s="184"/>
      <c r="C85" s="12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59" ht="15.75" customHeight="1">
      <c r="A86" s="10"/>
      <c r="B86" s="184"/>
      <c r="C86" s="185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spans="1:59" ht="15.75" customHeight="1">
      <c r="A87" s="10"/>
      <c r="B87" s="18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</row>
    <row r="88" spans="1:59" ht="15.75" customHeight="1">
      <c r="A88" s="10"/>
      <c r="B88" s="184"/>
      <c r="C88" s="12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</row>
    <row r="89" spans="1:59" ht="15.75" customHeight="1">
      <c r="A89" s="10"/>
      <c r="B89" s="18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</row>
    <row r="90" spans="1:59" ht="15.75" customHeight="1">
      <c r="A90" s="10"/>
      <c r="B90" s="184"/>
      <c r="C90" s="185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</row>
    <row r="91" spans="1:59" ht="15.75" customHeight="1">
      <c r="A91" s="10"/>
      <c r="B91" s="184"/>
      <c r="C91" s="18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</row>
    <row r="92" spans="1:59" ht="15.75" customHeight="1">
      <c r="A92" s="10"/>
      <c r="B92" s="18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</row>
    <row r="93" spans="1:59" ht="15.75" customHeight="1">
      <c r="A93" s="10"/>
      <c r="B93" s="184"/>
      <c r="C93" s="12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</row>
    <row r="94" spans="1:59" ht="15.75" customHeight="1">
      <c r="A94" s="10"/>
      <c r="B94" s="184"/>
      <c r="C94" s="12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</row>
    <row r="95" spans="1:59" ht="15.75" customHeight="1">
      <c r="A95" s="10"/>
      <c r="B95" s="18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</row>
    <row r="96" spans="1:59" ht="15.75" customHeight="1">
      <c r="A96" s="10"/>
      <c r="B96" s="184"/>
      <c r="C96" s="12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</row>
    <row r="97" spans="1:59" ht="15.75" customHeight="1">
      <c r="A97" s="10"/>
      <c r="B97" s="184"/>
      <c r="C97" s="12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</row>
    <row r="98" spans="1:59" ht="15.75" customHeight="1">
      <c r="A98" s="10"/>
      <c r="B98" s="18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  <row r="99" spans="1:59" ht="15.75" customHeight="1">
      <c r="A99" s="10"/>
      <c r="B99" s="184"/>
      <c r="C99" s="12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</row>
    <row r="100" spans="1:59" ht="15.75" customHeight="1">
      <c r="A100" s="10"/>
      <c r="B100" s="184"/>
      <c r="C100" s="12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</row>
    <row r="101" spans="1:59" ht="15.75" customHeight="1">
      <c r="A101" s="10"/>
      <c r="B101" s="18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</row>
    <row r="102" spans="1:59" ht="15.75" customHeight="1">
      <c r="A102" s="10"/>
      <c r="B102" s="184"/>
      <c r="C102" s="12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</row>
    <row r="103" spans="1:59" ht="15.75" customHeight="1">
      <c r="A103" s="10"/>
      <c r="B103" s="18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</row>
    <row r="104" spans="1:59" ht="15.75" customHeight="1">
      <c r="A104" s="10"/>
      <c r="B104" s="184"/>
      <c r="C104" s="18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</row>
    <row r="105" spans="1:59" ht="15.75" customHeight="1">
      <c r="A105" s="10"/>
      <c r="B105" s="184"/>
      <c r="C105" s="18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</row>
    <row r="106" spans="1:59" ht="15.75" customHeight="1">
      <c r="A106" s="10"/>
      <c r="B106" s="184"/>
      <c r="C106" s="18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</row>
    <row r="107" spans="1:59" ht="15.75" customHeight="1">
      <c r="A107" s="10"/>
      <c r="B107" s="184"/>
      <c r="C107" s="187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</row>
    <row r="108" spans="1:59" ht="15.75" customHeight="1">
      <c r="A108" s="10"/>
      <c r="B108" s="18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</row>
    <row r="109" spans="1:59" ht="15.75" customHeight="1">
      <c r="A109" s="10"/>
      <c r="B109" s="18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 spans="1:59" ht="15.75" customHeight="1">
      <c r="A110" s="10"/>
      <c r="B110" s="183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spans="1:59" ht="15.75" customHeight="1">
      <c r="A111" s="10"/>
      <c r="B111" s="183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spans="1:59" ht="15.75" customHeight="1">
      <c r="A112" s="10"/>
      <c r="B112" s="183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 spans="1:59" ht="15.75" customHeight="1">
      <c r="A113" s="10"/>
      <c r="B113" s="18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 spans="1:59" ht="15.75" customHeight="1">
      <c r="A114" s="10"/>
      <c r="B114" s="183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 spans="1:59" ht="15.75" customHeight="1">
      <c r="A115" s="10"/>
      <c r="B115" s="183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 spans="1:59" ht="15.75" customHeight="1">
      <c r="A116" s="10"/>
      <c r="B116" s="183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 spans="1:59" ht="15.75" customHeight="1">
      <c r="A117" s="10"/>
      <c r="B117" s="183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 spans="1:59" ht="15.75" customHeight="1">
      <c r="A118" s="10"/>
      <c r="B118" s="183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 spans="1:59" ht="15.75" customHeight="1">
      <c r="A119" s="10"/>
      <c r="B119" s="183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 spans="1:59" ht="15.75" customHeight="1">
      <c r="A120" s="10"/>
      <c r="B120" s="183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 spans="1:59" ht="15.75" customHeight="1">
      <c r="A121" s="10"/>
      <c r="B121" s="183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 spans="1:59" ht="15.75" customHeight="1">
      <c r="A122" s="10"/>
      <c r="B122" s="183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 spans="1:59" ht="15.75" customHeight="1">
      <c r="A123" s="10"/>
      <c r="B123" s="183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 spans="1:59" ht="15.75" customHeight="1">
      <c r="A124" s="10"/>
      <c r="B124" s="183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</row>
    <row r="125" spans="1:59" ht="15.75" customHeight="1">
      <c r="A125" s="10"/>
      <c r="B125" s="18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</row>
    <row r="126" spans="1:59" ht="15.75" customHeight="1">
      <c r="A126" s="10"/>
      <c r="B126" s="183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</row>
    <row r="127" spans="1:59" ht="15.75" customHeight="1">
      <c r="A127" s="10"/>
      <c r="B127" s="183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</row>
    <row r="128" spans="1:59" ht="15.75" customHeight="1">
      <c r="A128" s="10"/>
      <c r="B128" s="183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</row>
    <row r="129" spans="1:59" ht="15.75" customHeight="1">
      <c r="A129" s="10"/>
      <c r="B129" s="183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</row>
    <row r="130" spans="1:59" ht="15.75" customHeight="1">
      <c r="A130" s="10"/>
      <c r="B130" s="183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</row>
    <row r="131" spans="1:59" ht="15.75" customHeight="1">
      <c r="A131" s="10"/>
      <c r="B131" s="183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</row>
    <row r="132" spans="1:59" ht="15.75" customHeight="1">
      <c r="A132" s="10"/>
      <c r="B132" s="18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</row>
    <row r="133" spans="1:59" ht="15.75" customHeight="1">
      <c r="A133" s="10"/>
      <c r="B133" s="183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</row>
    <row r="134" spans="1:59" ht="15.75" customHeight="1">
      <c r="A134" s="10"/>
      <c r="B134" s="183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</row>
    <row r="135" spans="1:59" ht="15.75" customHeight="1">
      <c r="A135" s="10"/>
      <c r="B135" s="183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</row>
    <row r="136" spans="1:59" ht="15.75" customHeight="1">
      <c r="A136" s="10"/>
      <c r="B136" s="183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</row>
    <row r="137" spans="1:59" ht="15.75" customHeight="1">
      <c r="A137" s="10"/>
      <c r="B137" s="183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</row>
    <row r="138" spans="1:59" ht="15.75" customHeight="1">
      <c r="A138" s="10"/>
      <c r="B138" s="183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</row>
    <row r="139" spans="1:59" ht="15.75" customHeight="1">
      <c r="A139" s="10"/>
      <c r="B139" s="183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</row>
    <row r="140" spans="1:59" ht="15.75" customHeight="1">
      <c r="A140" s="10"/>
      <c r="B140" s="18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</row>
    <row r="141" spans="1:59" ht="15.75" customHeight="1">
      <c r="A141" s="10"/>
      <c r="B141" s="18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</row>
    <row r="142" spans="1:59" ht="15.75" customHeight="1">
      <c r="A142" s="10"/>
      <c r="B142" s="18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</row>
    <row r="143" spans="1:59" ht="15.75" customHeight="1">
      <c r="A143" s="10"/>
      <c r="B143" s="18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</row>
    <row r="144" spans="1:59" ht="15.75" customHeight="1">
      <c r="A144" s="10"/>
      <c r="B144" s="18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</row>
    <row r="145" spans="1:59" ht="15.75" customHeight="1">
      <c r="A145" s="10"/>
      <c r="B145" s="18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</row>
    <row r="146" spans="1:59" ht="15.75" customHeight="1">
      <c r="A146" s="10"/>
      <c r="B146" s="18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</row>
    <row r="147" spans="1:59" ht="15.75" customHeight="1">
      <c r="A147" s="10"/>
      <c r="B147" s="18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</row>
    <row r="148" spans="1:59" ht="15.75" customHeight="1">
      <c r="A148" s="10"/>
      <c r="B148" s="18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</row>
    <row r="149" spans="1:59" ht="15.75" customHeight="1">
      <c r="A149" s="10"/>
      <c r="B149" s="183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</row>
    <row r="150" spans="1:59" ht="15.75" customHeight="1">
      <c r="A150" s="10"/>
      <c r="B150" s="183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</row>
    <row r="151" spans="1:59" ht="15.75" customHeight="1">
      <c r="A151" s="10"/>
      <c r="B151" s="183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</row>
    <row r="152" spans="1:59" ht="15.75" customHeight="1">
      <c r="A152" s="10"/>
      <c r="B152" s="183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</row>
    <row r="153" spans="1:59" ht="15.75" customHeight="1">
      <c r="A153" s="10"/>
      <c r="B153" s="183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</row>
    <row r="154" spans="1:59" ht="15.75" customHeight="1">
      <c r="A154" s="10"/>
      <c r="B154" s="183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</row>
    <row r="155" spans="1:59" ht="15.75" customHeight="1">
      <c r="A155" s="10"/>
      <c r="B155" s="18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</row>
    <row r="156" spans="1:59" ht="15.75" customHeight="1">
      <c r="A156" s="10"/>
      <c r="B156" s="18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</row>
    <row r="157" spans="1:59" ht="15.75" customHeight="1">
      <c r="A157" s="10"/>
      <c r="B157" s="18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</row>
    <row r="158" spans="1:59" ht="15.75" customHeight="1">
      <c r="A158" s="10"/>
      <c r="B158" s="18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</row>
    <row r="159" spans="1:59" ht="15.75" customHeight="1">
      <c r="A159" s="10"/>
      <c r="B159" s="183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</row>
    <row r="160" spans="1:59" ht="15.75" customHeight="1">
      <c r="A160" s="10"/>
      <c r="B160" s="183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</row>
    <row r="161" spans="1:59" ht="15.75" customHeight="1">
      <c r="A161" s="10"/>
      <c r="B161" s="183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</row>
    <row r="162" spans="1:59" ht="15.75" customHeight="1">
      <c r="A162" s="10"/>
      <c r="B162" s="183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</row>
    <row r="163" spans="1:59" ht="15.75" customHeight="1">
      <c r="A163" s="10"/>
      <c r="B163" s="183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</row>
    <row r="164" spans="1:59" ht="15.75" customHeight="1">
      <c r="A164" s="10"/>
      <c r="B164" s="183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</row>
    <row r="165" spans="1:59" ht="15.75" customHeight="1">
      <c r="A165" s="10"/>
      <c r="B165" s="183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</row>
    <row r="166" spans="1:59" ht="15.75" customHeight="1">
      <c r="A166" s="10"/>
      <c r="B166" s="183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</row>
    <row r="167" spans="1:59" ht="15.75" customHeight="1">
      <c r="A167" s="10"/>
      <c r="B167" s="183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</row>
    <row r="168" spans="1:59" ht="15.75" customHeight="1">
      <c r="A168" s="10"/>
      <c r="B168" s="183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</row>
    <row r="169" spans="1:59" ht="15.75" customHeight="1">
      <c r="A169" s="10"/>
      <c r="B169" s="18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</row>
    <row r="170" spans="1:59" ht="15.75" customHeight="1">
      <c r="A170" s="10"/>
      <c r="B170" s="183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</row>
    <row r="171" spans="1:59" ht="15.75" customHeight="1">
      <c r="A171" s="10"/>
      <c r="B171" s="183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</row>
    <row r="172" spans="1:59" ht="15.75" customHeight="1">
      <c r="A172" s="10"/>
      <c r="B172" s="183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</row>
    <row r="173" spans="1:59" ht="15.75" customHeight="1">
      <c r="A173" s="10"/>
      <c r="B173" s="183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</row>
    <row r="174" spans="1:59" ht="15.75" customHeight="1">
      <c r="A174" s="10"/>
      <c r="B174" s="183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</row>
    <row r="175" spans="1:59" ht="15.75" customHeight="1">
      <c r="A175" s="10"/>
      <c r="B175" s="183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</row>
    <row r="176" spans="1:59" ht="15.75" customHeight="1">
      <c r="A176" s="10"/>
      <c r="B176" s="183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</row>
    <row r="177" spans="1:59" ht="15.75" customHeight="1">
      <c r="A177" s="10"/>
      <c r="B177" s="183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</row>
    <row r="178" spans="1:59" ht="15.75" customHeight="1">
      <c r="A178" s="10"/>
      <c r="B178" s="183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</row>
    <row r="179" spans="1:59" ht="15.75" customHeight="1">
      <c r="A179" s="10"/>
      <c r="B179" s="183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</row>
    <row r="180" spans="1:59" ht="15.75" customHeight="1">
      <c r="A180" s="10"/>
      <c r="B180" s="183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</row>
    <row r="181" spans="1:59" ht="15.75" customHeight="1">
      <c r="A181" s="10"/>
      <c r="B181" s="183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</row>
    <row r="182" spans="1:59" ht="15.75" customHeight="1">
      <c r="A182" s="10"/>
      <c r="B182" s="183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</row>
    <row r="183" spans="1:59" ht="15.75" customHeight="1">
      <c r="A183" s="10"/>
      <c r="B183" s="183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</row>
    <row r="184" spans="1:59" ht="15.75" customHeight="1">
      <c r="A184" s="10"/>
      <c r="B184" s="183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 spans="1:59" ht="15.75" customHeight="1">
      <c r="A185" s="10"/>
      <c r="B185" s="18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 spans="1:59" ht="15.75" customHeight="1">
      <c r="A186" s="10"/>
      <c r="B186" s="183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 spans="1:59" ht="15.75" customHeight="1">
      <c r="A187" s="10"/>
      <c r="B187" s="183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 spans="1:59" ht="15.75" customHeight="1">
      <c r="A188" s="10"/>
      <c r="B188" s="183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 spans="1:59" ht="15.75" customHeight="1">
      <c r="A189" s="10"/>
      <c r="B189" s="183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 spans="1:59" ht="15.75" customHeight="1">
      <c r="A190" s="10"/>
      <c r="B190" s="183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 spans="1:59" ht="15.75" customHeight="1">
      <c r="A191" s="10"/>
      <c r="B191" s="183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 spans="1:59" ht="15.75" customHeight="1">
      <c r="A192" s="10"/>
      <c r="B192" s="183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 spans="1:59" ht="15.75" customHeight="1">
      <c r="A193" s="10"/>
      <c r="B193" s="183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</row>
    <row r="194" spans="1:59" ht="15.75" customHeight="1">
      <c r="A194" s="10"/>
      <c r="B194" s="183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</row>
    <row r="195" spans="1:59" ht="15.75" customHeight="1">
      <c r="A195" s="10"/>
      <c r="B195" s="183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 spans="1:59" ht="15.75" customHeight="1">
      <c r="A196" s="10"/>
      <c r="B196" s="183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 spans="1:59" ht="15.75" customHeight="1">
      <c r="A197" s="10"/>
      <c r="B197" s="183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 spans="1:59" ht="15.75" customHeight="1">
      <c r="A198" s="10"/>
      <c r="B198" s="183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 spans="1:59" ht="15.75" customHeight="1">
      <c r="A199" s="10"/>
      <c r="B199" s="183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</row>
    <row r="200" spans="1:59" ht="15.75" customHeight="1">
      <c r="A200" s="10"/>
      <c r="B200" s="183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</row>
    <row r="201" spans="1:59" ht="15.75" customHeight="1">
      <c r="A201" s="10"/>
      <c r="B201" s="183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</row>
    <row r="202" spans="1:59" ht="15.75" customHeight="1">
      <c r="A202" s="10"/>
      <c r="B202" s="183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</row>
    <row r="203" spans="1:59" ht="15.75" customHeight="1">
      <c r="A203" s="10"/>
      <c r="B203" s="183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</row>
    <row r="204" spans="1:59" ht="15.75" customHeight="1">
      <c r="A204" s="10"/>
      <c r="B204" s="183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</row>
    <row r="205" spans="1:59" ht="15.75" customHeight="1">
      <c r="A205" s="10"/>
      <c r="B205" s="183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</row>
    <row r="206" spans="1:59" ht="15.75" customHeight="1">
      <c r="A206" s="10"/>
      <c r="B206" s="183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</row>
    <row r="207" spans="1:59" ht="15.75" customHeight="1">
      <c r="A207" s="10"/>
      <c r="B207" s="183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</row>
    <row r="208" spans="1:59" ht="15.75" customHeight="1">
      <c r="A208" s="10"/>
      <c r="B208" s="183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</row>
    <row r="209" spans="1:59" ht="15.75" customHeight="1">
      <c r="A209" s="10"/>
      <c r="B209" s="183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</row>
    <row r="210" spans="1:59" ht="15.75" customHeight="1">
      <c r="A210" s="10"/>
      <c r="B210" s="183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59" ht="15.75" customHeight="1">
      <c r="A211" s="10"/>
      <c r="B211" s="183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59" ht="15.75" customHeight="1">
      <c r="A212" s="10"/>
      <c r="B212" s="183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59" ht="15.75" customHeight="1">
      <c r="A213" s="10"/>
      <c r="B213" s="183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59" ht="15.75" customHeight="1">
      <c r="A214" s="10"/>
      <c r="B214" s="183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</row>
    <row r="215" spans="1:59" ht="15.75" customHeight="1">
      <c r="A215" s="10"/>
      <c r="B215" s="183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</row>
    <row r="216" spans="1:59" ht="15.75" customHeight="1">
      <c r="A216" s="10"/>
      <c r="B216" s="183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</row>
    <row r="217" spans="1:59" ht="15.75" customHeight="1">
      <c r="A217" s="10"/>
      <c r="B217" s="183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</row>
    <row r="218" spans="1:59" ht="15.75" customHeight="1">
      <c r="A218" s="10"/>
      <c r="B218" s="183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</row>
    <row r="219" spans="1:59" ht="15.75" customHeight="1">
      <c r="A219" s="10"/>
      <c r="B219" s="183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</row>
    <row r="220" spans="1:59" ht="15.75" customHeight="1">
      <c r="A220" s="10"/>
      <c r="B220" s="183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</row>
    <row r="221" spans="1:59" ht="15.75" customHeight="1">
      <c r="A221" s="10"/>
      <c r="B221" s="183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59" ht="15.75" customHeight="1">
      <c r="A222" s="10"/>
      <c r="B222" s="183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59" ht="15.75" customHeight="1">
      <c r="A223" s="10"/>
      <c r="B223" s="183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59" ht="15.75" customHeight="1">
      <c r="A224" s="10"/>
      <c r="B224" s="183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59" ht="15.75" customHeight="1">
      <c r="A225" s="10"/>
      <c r="B225" s="183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</row>
    <row r="226" spans="1:59" ht="15.75" customHeight="1">
      <c r="A226" s="10"/>
      <c r="B226" s="183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</row>
    <row r="227" spans="1:59" ht="15.75" customHeight="1">
      <c r="A227" s="10"/>
      <c r="B227" s="183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</row>
    <row r="228" spans="1:59" ht="15.75" customHeight="1">
      <c r="A228" s="10"/>
      <c r="B228" s="183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</row>
    <row r="229" spans="1:59" ht="15.75" customHeight="1">
      <c r="A229" s="10"/>
      <c r="B229" s="183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</row>
    <row r="230" spans="1:59" ht="15.75" customHeight="1">
      <c r="A230" s="10"/>
      <c r="B230" s="183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</row>
    <row r="231" spans="1:59" ht="15.75" customHeight="1">
      <c r="A231" s="10"/>
      <c r="B231" s="183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</row>
    <row r="232" spans="1:59" ht="15.75" customHeight="1">
      <c r="A232" s="10"/>
      <c r="B232" s="183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59" ht="15.75" customHeight="1">
      <c r="A233" s="10"/>
      <c r="B233" s="183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59" ht="15.75" customHeight="1">
      <c r="A234" s="10"/>
      <c r="B234" s="183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59" ht="15.75" customHeight="1">
      <c r="A235" s="10"/>
      <c r="B235" s="183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59" ht="15.75" customHeight="1">
      <c r="A236" s="10"/>
      <c r="B236" s="183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</row>
    <row r="237" spans="1:59" ht="15.75" customHeight="1">
      <c r="A237" s="10"/>
      <c r="B237" s="183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</row>
    <row r="238" spans="1:59" ht="15.75" customHeight="1">
      <c r="A238" s="10"/>
      <c r="B238" s="183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</row>
    <row r="239" spans="1:59" ht="15.75" customHeight="1">
      <c r="A239" s="10"/>
      <c r="B239" s="183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</row>
    <row r="240" spans="1:59" ht="15.75" customHeight="1">
      <c r="A240" s="10"/>
      <c r="B240" s="183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</row>
    <row r="241" spans="1:59" ht="15.75" customHeight="1">
      <c r="A241" s="10"/>
      <c r="B241" s="183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</row>
    <row r="242" spans="1:59" ht="15.75" customHeight="1">
      <c r="A242" s="10"/>
      <c r="B242" s="183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</row>
    <row r="243" spans="1:59" ht="15.75" customHeight="1">
      <c r="A243" s="10"/>
      <c r="B243" s="183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</row>
    <row r="244" spans="1:59" ht="15.75" customHeight="1">
      <c r="A244" s="10"/>
      <c r="B244" s="183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</row>
    <row r="245" spans="1:59" ht="15.75" customHeight="1">
      <c r="A245" s="10"/>
      <c r="B245" s="183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</row>
    <row r="246" spans="1:59" ht="15.75" customHeight="1">
      <c r="A246" s="10"/>
      <c r="B246" s="183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</row>
    <row r="247" spans="1:59" ht="15.75" customHeight="1">
      <c r="A247" s="10"/>
      <c r="B247" s="183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</row>
    <row r="248" spans="1:59" ht="15.75" customHeight="1">
      <c r="A248" s="10"/>
      <c r="B248" s="183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</row>
    <row r="249" spans="1:59" ht="15.75" customHeight="1">
      <c r="A249" s="10"/>
      <c r="B249" s="183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</row>
    <row r="250" spans="1:59" ht="15.75" customHeight="1">
      <c r="A250" s="10"/>
      <c r="B250" s="183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</row>
    <row r="251" spans="1:59" ht="15.75" customHeight="1">
      <c r="A251" s="10"/>
      <c r="B251" s="183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</row>
    <row r="252" spans="1:59" ht="15.75" customHeight="1">
      <c r="A252" s="10"/>
      <c r="B252" s="183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</row>
    <row r="253" spans="1:59" ht="15.75" customHeight="1">
      <c r="A253" s="10"/>
      <c r="B253" s="183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</row>
    <row r="254" spans="1:59" ht="15.75" customHeight="1">
      <c r="A254" s="10"/>
      <c r="B254" s="183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</row>
    <row r="255" spans="1:59" ht="15.75" customHeight="1">
      <c r="A255" s="10"/>
      <c r="B255" s="183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</row>
    <row r="256" spans="1:59" ht="15.75" customHeight="1">
      <c r="A256" s="10"/>
      <c r="B256" s="183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</row>
    <row r="257" spans="1:59" ht="15.75" customHeight="1">
      <c r="A257" s="10"/>
      <c r="B257" s="183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</row>
    <row r="258" spans="1:59" ht="15.75" customHeight="1">
      <c r="A258" s="10"/>
      <c r="B258" s="183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</row>
    <row r="259" spans="1:59" ht="15.75" customHeight="1">
      <c r="A259" s="10"/>
      <c r="B259" s="183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</row>
    <row r="260" spans="1:59" ht="15.75" customHeight="1">
      <c r="A260" s="10"/>
      <c r="B260" s="183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</row>
    <row r="261" spans="1:59" ht="15.75" customHeight="1">
      <c r="A261" s="10"/>
      <c r="B261" s="183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</row>
    <row r="262" spans="1:59" ht="15.75" customHeight="1">
      <c r="A262" s="10"/>
      <c r="B262" s="183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</row>
    <row r="263" spans="1:59" ht="15.75" customHeight="1">
      <c r="A263" s="10"/>
      <c r="B263" s="183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</row>
    <row r="264" spans="1:59" ht="15.75" customHeight="1">
      <c r="A264" s="10"/>
      <c r="B264" s="183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</row>
    <row r="265" spans="1:59" ht="15.75" customHeight="1">
      <c r="A265" s="10"/>
      <c r="B265" s="183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</row>
    <row r="266" spans="1:59" ht="15.75" customHeight="1">
      <c r="A266" s="10"/>
      <c r="B266" s="183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</row>
    <row r="267" spans="1:59" ht="15.75" customHeight="1">
      <c r="A267" s="10"/>
      <c r="B267" s="183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</row>
    <row r="268" spans="1:59" ht="15.75" customHeight="1">
      <c r="A268" s="10"/>
      <c r="B268" s="183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</row>
    <row r="269" spans="1:59" ht="15.75" customHeight="1">
      <c r="A269" s="10"/>
      <c r="B269" s="183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</row>
    <row r="270" spans="1:59" ht="15.75" customHeight="1">
      <c r="A270" s="10"/>
      <c r="B270" s="183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</row>
    <row r="271" spans="1:59" ht="15.75" customHeight="1">
      <c r="A271" s="10"/>
      <c r="B271" s="183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</row>
    <row r="272" spans="1:59" ht="15.75" customHeight="1">
      <c r="A272" s="10"/>
      <c r="B272" s="183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</row>
    <row r="273" spans="1:59" ht="15.75" customHeight="1">
      <c r="A273" s="10"/>
      <c r="B273" s="183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</row>
    <row r="274" spans="1:59" ht="15.75" customHeight="1">
      <c r="A274" s="10"/>
      <c r="B274" s="183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</row>
    <row r="275" spans="1:59" ht="15.75" customHeight="1">
      <c r="A275" s="10"/>
      <c r="B275" s="183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</row>
    <row r="276" spans="1:59" ht="15.75" customHeight="1">
      <c r="A276" s="10"/>
      <c r="B276" s="183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</row>
    <row r="277" spans="1:59" ht="15.75" customHeight="1">
      <c r="A277" s="10"/>
      <c r="B277" s="183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</row>
    <row r="278" spans="1:59" ht="15.75" customHeight="1">
      <c r="A278" s="10"/>
      <c r="B278" s="183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</row>
    <row r="279" spans="1:59" ht="15.75" customHeight="1">
      <c r="A279" s="10"/>
      <c r="B279" s="183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</row>
    <row r="280" spans="1:59" ht="15.75" customHeight="1">
      <c r="A280" s="10"/>
      <c r="B280" s="183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</row>
    <row r="281" spans="1:59" ht="15.75" customHeight="1">
      <c r="A281" s="10"/>
      <c r="B281" s="183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</row>
    <row r="282" spans="1:59" ht="15.75" customHeight="1">
      <c r="A282" s="10"/>
      <c r="B282" s="183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</row>
    <row r="283" spans="1:59" ht="15.75" customHeight="1">
      <c r="A283" s="10"/>
      <c r="B283" s="183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</row>
    <row r="284" spans="1:59" ht="15.75" customHeight="1">
      <c r="A284" s="10"/>
      <c r="B284" s="183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</row>
    <row r="285" spans="1:59" ht="15.75" customHeight="1">
      <c r="A285" s="10"/>
      <c r="B285" s="183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</row>
    <row r="286" spans="1:59" ht="15.75" customHeight="1">
      <c r="A286" s="10"/>
      <c r="B286" s="183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</row>
    <row r="287" spans="1:59" ht="15.75" customHeight="1">
      <c r="A287" s="10"/>
      <c r="B287" s="183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</row>
    <row r="288" spans="1:59" ht="15.75" customHeight="1">
      <c r="A288" s="10"/>
      <c r="B288" s="183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</row>
    <row r="289" spans="1:59" ht="15.75" customHeight="1">
      <c r="A289" s="10"/>
      <c r="B289" s="183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</row>
    <row r="290" spans="1:59" ht="15.75" customHeight="1">
      <c r="A290" s="10"/>
      <c r="B290" s="183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</row>
    <row r="291" spans="1:59" ht="15.75" customHeight="1">
      <c r="A291" s="10"/>
      <c r="B291" s="183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</row>
    <row r="292" spans="1:59" ht="15.75" customHeight="1">
      <c r="A292" s="10"/>
      <c r="B292" s="183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</row>
    <row r="293" spans="1:59" ht="15.75" customHeight="1">
      <c r="A293" s="10"/>
      <c r="B293" s="183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</row>
    <row r="294" spans="1:59" ht="15.75" customHeight="1">
      <c r="A294" s="10"/>
      <c r="B294" s="183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</row>
    <row r="295" spans="1:59" ht="15.75" customHeight="1">
      <c r="A295" s="10"/>
      <c r="B295" s="183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</row>
    <row r="296" spans="1:59" ht="15.75" customHeight="1">
      <c r="A296" s="10"/>
      <c r="B296" s="183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</row>
    <row r="297" spans="1:59" ht="15.75" customHeight="1">
      <c r="A297" s="10"/>
      <c r="B297" s="183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</row>
    <row r="298" spans="1:59" ht="15.75" customHeight="1">
      <c r="A298" s="10"/>
      <c r="B298" s="183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</row>
    <row r="299" spans="1:59" ht="15.75" customHeight="1">
      <c r="A299" s="10"/>
      <c r="B299" s="183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</row>
    <row r="300" spans="1:59" ht="15.75" customHeight="1">
      <c r="A300" s="10"/>
      <c r="B300" s="183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</row>
    <row r="301" spans="1:59" ht="15.75" customHeight="1">
      <c r="A301" s="10"/>
      <c r="B301" s="183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</row>
    <row r="302" spans="1:59" ht="15.75" customHeight="1">
      <c r="A302" s="10"/>
      <c r="B302" s="183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</row>
    <row r="303" spans="1:59" ht="15.75" customHeight="1">
      <c r="A303" s="10"/>
      <c r="B303" s="183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</row>
    <row r="304" spans="1:59" ht="15.75" customHeight="1">
      <c r="A304" s="10"/>
      <c r="B304" s="183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</row>
    <row r="305" spans="1:59" ht="15.75" customHeight="1">
      <c r="A305" s="10"/>
      <c r="B305" s="183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</row>
    <row r="306" spans="1:59" ht="15.75" customHeight="1">
      <c r="A306" s="10"/>
      <c r="B306" s="183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</row>
    <row r="307" spans="1:59" ht="15.75" customHeight="1">
      <c r="A307" s="10"/>
      <c r="B307" s="183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</row>
    <row r="308" spans="1:59" ht="15.75" customHeight="1">
      <c r="A308" s="10"/>
      <c r="B308" s="183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</row>
    <row r="309" spans="1:59" ht="15.75" customHeight="1">
      <c r="A309" s="10"/>
      <c r="B309" s="183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</row>
    <row r="310" spans="1:59" ht="15.75" customHeight="1">
      <c r="A310" s="10"/>
      <c r="B310" s="183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</row>
    <row r="311" spans="1:59" ht="15.75" customHeight="1">
      <c r="A311" s="10"/>
      <c r="B311" s="183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</row>
    <row r="312" spans="1:59" ht="15.75" customHeight="1">
      <c r="A312" s="10"/>
      <c r="B312" s="183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</row>
    <row r="313" spans="1:59" ht="15.75" customHeight="1">
      <c r="A313" s="10"/>
      <c r="B313" s="183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</row>
    <row r="314" spans="1:59" ht="15.75" customHeight="1">
      <c r="A314" s="10"/>
      <c r="B314" s="183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</row>
    <row r="315" spans="1:59" ht="15.75" customHeight="1">
      <c r="A315" s="10"/>
      <c r="B315" s="183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</row>
    <row r="316" spans="1:59" ht="15.75" customHeight="1">
      <c r="A316" s="10"/>
      <c r="B316" s="183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</row>
    <row r="317" spans="1:59" ht="15.75" customHeight="1">
      <c r="A317" s="10"/>
      <c r="B317" s="183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</row>
    <row r="318" spans="1:59" ht="15.75" customHeight="1">
      <c r="A318" s="10"/>
      <c r="B318" s="183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</row>
    <row r="319" spans="1:59" ht="15.75" customHeight="1">
      <c r="A319" s="10"/>
      <c r="B319" s="183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</row>
    <row r="320" spans="1:59" ht="15.75" customHeight="1">
      <c r="A320" s="10"/>
      <c r="B320" s="183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</row>
    <row r="321" spans="1:59" ht="15.75" customHeight="1">
      <c r="A321" s="10"/>
      <c r="B321" s="183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</row>
    <row r="322" spans="1:59" ht="15.75" customHeight="1">
      <c r="A322" s="10"/>
      <c r="B322" s="183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</row>
    <row r="323" spans="1:59" ht="15.75" customHeight="1">
      <c r="A323" s="10"/>
      <c r="B323" s="18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</row>
    <row r="324" spans="1:59" ht="15.75" customHeight="1">
      <c r="A324" s="10"/>
      <c r="B324" s="18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</row>
    <row r="325" spans="1:59" ht="15.75" customHeight="1">
      <c r="A325" s="10"/>
      <c r="B325" s="18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</row>
    <row r="326" spans="1:59" ht="15.75" customHeight="1">
      <c r="A326" s="10"/>
      <c r="B326" s="18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</row>
    <row r="327" spans="1:59" ht="15.75" customHeight="1">
      <c r="A327" s="10"/>
      <c r="B327" s="18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</row>
    <row r="328" spans="1:59" ht="15.75" customHeight="1">
      <c r="A328" s="10"/>
      <c r="B328" s="18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</row>
    <row r="329" spans="1:59" ht="15.75" customHeight="1">
      <c r="A329" s="10"/>
      <c r="B329" s="18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</row>
    <row r="330" spans="1:59" ht="15.75" customHeight="1">
      <c r="A330" s="10"/>
      <c r="B330" s="18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</row>
    <row r="331" spans="1:59" ht="15.75" customHeight="1">
      <c r="A331" s="10"/>
      <c r="B331" s="183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</row>
    <row r="332" spans="1:59" ht="15.75" customHeight="1">
      <c r="A332" s="10"/>
      <c r="B332" s="183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</row>
    <row r="333" spans="1:59" ht="15.75" customHeight="1">
      <c r="A333" s="10"/>
      <c r="B333" s="183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</row>
    <row r="334" spans="1:59" ht="15.75" customHeight="1">
      <c r="A334" s="10"/>
      <c r="B334" s="18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</row>
    <row r="335" spans="1:59" ht="15.75" customHeight="1">
      <c r="A335" s="10"/>
      <c r="B335" s="183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</row>
    <row r="336" spans="1:59" ht="15.75" customHeight="1">
      <c r="A336" s="10"/>
      <c r="B336" s="183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</row>
    <row r="337" spans="1:59" ht="15.75" customHeight="1">
      <c r="A337" s="10"/>
      <c r="B337" s="183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</row>
    <row r="338" spans="1:59" ht="15.75" customHeight="1">
      <c r="A338" s="10"/>
      <c r="B338" s="183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</row>
    <row r="339" spans="1:59" ht="15.75" customHeight="1">
      <c r="A339" s="10"/>
      <c r="B339" s="183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</row>
    <row r="340" spans="1:59" ht="15.75" customHeight="1">
      <c r="A340" s="10"/>
      <c r="B340" s="183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</row>
    <row r="341" spans="1:59" ht="15.75" customHeight="1">
      <c r="A341" s="10"/>
      <c r="B341" s="183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</row>
    <row r="342" spans="1:59" ht="15.75" customHeight="1">
      <c r="A342" s="10"/>
      <c r="B342" s="183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</row>
    <row r="343" spans="1:59" ht="15.75" customHeight="1">
      <c r="A343" s="10"/>
      <c r="B343" s="183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</row>
    <row r="344" spans="1:59" ht="15.75" customHeight="1">
      <c r="A344" s="10"/>
      <c r="B344" s="183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</row>
    <row r="345" spans="1:59" ht="15.75" customHeight="1">
      <c r="A345" s="10"/>
      <c r="B345" s="183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</row>
    <row r="346" spans="1:59" ht="15.75" customHeight="1">
      <c r="A346" s="10"/>
      <c r="B346" s="183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</row>
    <row r="347" spans="1:59" ht="15.75" customHeight="1">
      <c r="A347" s="10"/>
      <c r="B347" s="183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</row>
    <row r="348" spans="1:59" ht="15.75" customHeight="1">
      <c r="A348" s="10"/>
      <c r="B348" s="183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</row>
    <row r="349" spans="1:59" ht="15.75" customHeight="1">
      <c r="A349" s="10"/>
      <c r="B349" s="183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</row>
    <row r="350" spans="1:59" ht="15.75" customHeight="1">
      <c r="A350" s="10"/>
      <c r="B350" s="183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</row>
    <row r="351" spans="1:59" ht="15.75" customHeight="1">
      <c r="A351" s="10"/>
      <c r="B351" s="183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</row>
    <row r="352" spans="1:59" ht="15.75" customHeight="1">
      <c r="A352" s="10"/>
      <c r="B352" s="183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</row>
    <row r="353" spans="1:59" ht="15.75" customHeight="1">
      <c r="A353" s="10"/>
      <c r="B353" s="183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</row>
    <row r="354" spans="1:59" ht="15.75" customHeight="1">
      <c r="A354" s="10"/>
      <c r="B354" s="183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</row>
    <row r="355" spans="1:59" ht="15.75" customHeight="1">
      <c r="A355" s="10"/>
      <c r="B355" s="183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</row>
    <row r="356" spans="1:59" ht="15.75" customHeight="1">
      <c r="A356" s="10"/>
      <c r="B356" s="183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</row>
    <row r="357" spans="1:59" ht="15.75" customHeight="1">
      <c r="A357" s="10"/>
      <c r="B357" s="183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</row>
    <row r="358" spans="1:59" ht="15.75" customHeight="1">
      <c r="A358" s="10"/>
      <c r="B358" s="183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</row>
    <row r="359" spans="1:59" ht="15.75" customHeight="1">
      <c r="A359" s="10"/>
      <c r="B359" s="183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</row>
    <row r="360" spans="1:59" ht="15.75" customHeight="1">
      <c r="A360" s="10"/>
      <c r="B360" s="183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</row>
    <row r="361" spans="1:59" ht="15.75" customHeight="1">
      <c r="A361" s="10"/>
      <c r="B361" s="183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</row>
    <row r="362" spans="1:59" ht="15.75" customHeight="1">
      <c r="A362" s="10"/>
      <c r="B362" s="183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</row>
    <row r="363" spans="1:59" ht="15.75" customHeight="1">
      <c r="A363" s="10"/>
      <c r="B363" s="183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</row>
    <row r="364" spans="1:59" ht="15.75" customHeight="1">
      <c r="A364" s="10"/>
      <c r="B364" s="183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</row>
    <row r="365" spans="1:59" ht="15.75" customHeight="1">
      <c r="A365" s="10"/>
      <c r="B365" s="183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</row>
    <row r="366" spans="1:59" ht="15.75" customHeight="1">
      <c r="A366" s="10"/>
      <c r="B366" s="183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</row>
    <row r="367" spans="1:59" ht="15.75" customHeight="1">
      <c r="A367" s="10"/>
      <c r="B367" s="183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</row>
    <row r="368" spans="1:59" ht="15.75" customHeight="1">
      <c r="A368" s="10"/>
      <c r="B368" s="183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</row>
    <row r="369" spans="1:59" ht="15.75" customHeight="1">
      <c r="A369" s="10"/>
      <c r="B369" s="183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</row>
    <row r="370" spans="1:59" ht="15.75" customHeight="1">
      <c r="A370" s="10"/>
      <c r="B370" s="183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</row>
    <row r="371" spans="1:59" ht="15.75" customHeight="1">
      <c r="A371" s="10"/>
      <c r="B371" s="183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</row>
    <row r="372" spans="1:59" ht="15.75" customHeight="1">
      <c r="A372" s="10"/>
      <c r="B372" s="183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</row>
    <row r="373" spans="1:59" ht="15.75" customHeight="1">
      <c r="A373" s="10"/>
      <c r="B373" s="183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</row>
    <row r="374" spans="1:59" ht="15.75" customHeight="1">
      <c r="A374" s="10"/>
      <c r="B374" s="183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</row>
    <row r="375" spans="1:59" ht="15.75" customHeight="1">
      <c r="A375" s="10"/>
      <c r="B375" s="183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</row>
    <row r="376" spans="1:59" ht="15.75" customHeight="1">
      <c r="A376" s="10"/>
      <c r="B376" s="183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</row>
    <row r="377" spans="1:59" ht="15.75" customHeight="1">
      <c r="A377" s="10"/>
      <c r="B377" s="183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</row>
    <row r="378" spans="1:59" ht="15.75" customHeight="1">
      <c r="A378" s="10"/>
      <c r="B378" s="183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</row>
    <row r="379" spans="1:59" ht="15.75" customHeight="1">
      <c r="A379" s="10"/>
      <c r="B379" s="183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</row>
    <row r="380" spans="1:59" ht="15.75" customHeight="1">
      <c r="A380" s="10"/>
      <c r="B380" s="183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</row>
    <row r="381" spans="1:59" ht="15.75" customHeight="1">
      <c r="A381" s="10"/>
      <c r="B381" s="183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</row>
    <row r="382" spans="1:59" ht="15.75" customHeight="1">
      <c r="A382" s="10"/>
      <c r="B382" s="183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</row>
    <row r="383" spans="1:59" ht="15.75" customHeight="1">
      <c r="A383" s="10"/>
      <c r="B383" s="183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</row>
    <row r="384" spans="1:59" ht="15.75" customHeight="1">
      <c r="A384" s="10"/>
      <c r="B384" s="183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</row>
    <row r="385" spans="1:59" ht="15.75" customHeight="1">
      <c r="A385" s="10"/>
      <c r="B385" s="183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</row>
    <row r="386" spans="1:59" ht="15.75" customHeight="1">
      <c r="A386" s="10"/>
      <c r="B386" s="183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</row>
    <row r="387" spans="1:59" ht="15.75" customHeight="1">
      <c r="A387" s="10"/>
      <c r="B387" s="183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</row>
    <row r="388" spans="1:59" ht="15.75" customHeight="1">
      <c r="A388" s="10"/>
      <c r="B388" s="183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</row>
    <row r="389" spans="1:59" ht="15.75" customHeight="1">
      <c r="A389" s="10"/>
      <c r="B389" s="183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</row>
    <row r="390" spans="1:59" ht="15.75" customHeight="1">
      <c r="A390" s="10"/>
      <c r="B390" s="183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</row>
    <row r="391" spans="1:59" ht="15.75" customHeight="1">
      <c r="A391" s="10"/>
      <c r="B391" s="183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</row>
    <row r="392" spans="1:59" ht="15.75" customHeight="1">
      <c r="A392" s="10"/>
      <c r="B392" s="183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</row>
    <row r="393" spans="1:59" ht="15.75" customHeight="1">
      <c r="A393" s="10"/>
      <c r="B393" s="183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</row>
    <row r="394" spans="1:59" ht="15.75" customHeight="1">
      <c r="A394" s="10"/>
      <c r="B394" s="183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</row>
    <row r="395" spans="1:59" ht="15.75" customHeight="1">
      <c r="A395" s="10"/>
      <c r="B395" s="183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</row>
    <row r="396" spans="1:59" ht="15.75" customHeight="1">
      <c r="A396" s="10"/>
      <c r="B396" s="183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</row>
    <row r="397" spans="1:59" ht="15.75" customHeight="1">
      <c r="A397" s="10"/>
      <c r="B397" s="183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</row>
    <row r="398" spans="1:59" ht="15.75" customHeight="1">
      <c r="A398" s="10"/>
      <c r="B398" s="183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</row>
    <row r="399" spans="1:59" ht="15.75" customHeight="1">
      <c r="A399" s="10"/>
      <c r="B399" s="183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</row>
    <row r="400" spans="1:59" ht="15.75" customHeight="1">
      <c r="A400" s="10"/>
      <c r="B400" s="183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</row>
    <row r="401" spans="1:59" ht="15.75" customHeight="1">
      <c r="A401" s="10"/>
      <c r="B401" s="183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</row>
    <row r="402" spans="1:59" ht="15.75" customHeight="1">
      <c r="A402" s="10"/>
      <c r="B402" s="183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</row>
    <row r="403" spans="1:59" ht="15.75" customHeight="1">
      <c r="A403" s="10"/>
      <c r="B403" s="183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</row>
    <row r="404" spans="1:59" ht="15.75" customHeight="1">
      <c r="A404" s="10"/>
      <c r="B404" s="183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</row>
    <row r="405" spans="1:59" ht="15.75" customHeight="1">
      <c r="A405" s="10"/>
      <c r="B405" s="183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</row>
    <row r="406" spans="1:59" ht="15.75" customHeight="1">
      <c r="A406" s="10"/>
      <c r="B406" s="183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</row>
    <row r="407" spans="1:59" ht="15.75" customHeight="1">
      <c r="A407" s="10"/>
      <c r="B407" s="183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</row>
    <row r="408" spans="1:59" ht="15.75" customHeight="1">
      <c r="A408" s="10"/>
      <c r="B408" s="183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</row>
    <row r="409" spans="1:59" ht="15.75" customHeight="1">
      <c r="A409" s="10"/>
      <c r="B409" s="183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</row>
    <row r="410" spans="1:59" ht="15.75" customHeight="1">
      <c r="A410" s="10"/>
      <c r="B410" s="183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</row>
    <row r="411" spans="1:59" ht="15.75" customHeight="1">
      <c r="A411" s="10"/>
      <c r="B411" s="183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</row>
    <row r="412" spans="1:59" ht="15.75" customHeight="1">
      <c r="A412" s="10"/>
      <c r="B412" s="183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</row>
    <row r="413" spans="1:59" ht="15.75" customHeight="1">
      <c r="A413" s="10"/>
      <c r="B413" s="183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</row>
    <row r="414" spans="1:59" ht="15.75" customHeight="1">
      <c r="A414" s="10"/>
      <c r="B414" s="183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</row>
    <row r="415" spans="1:59" ht="15.75" customHeight="1">
      <c r="A415" s="10"/>
      <c r="B415" s="183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</row>
    <row r="416" spans="1:59" ht="15.75" customHeight="1">
      <c r="A416" s="10"/>
      <c r="B416" s="183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</row>
    <row r="417" spans="1:59" ht="15.75" customHeight="1">
      <c r="A417" s="10"/>
      <c r="B417" s="183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</row>
    <row r="418" spans="1:59" ht="15.75" customHeight="1">
      <c r="A418" s="10"/>
      <c r="B418" s="183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</row>
    <row r="419" spans="1:59" ht="15.75" customHeight="1">
      <c r="A419" s="10"/>
      <c r="B419" s="183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</row>
    <row r="420" spans="1:59" ht="15.75" customHeight="1">
      <c r="A420" s="10"/>
      <c r="B420" s="183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</row>
    <row r="421" spans="1:59" ht="15.75" customHeight="1">
      <c r="A421" s="10"/>
      <c r="B421" s="183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</row>
    <row r="422" spans="1:59" ht="15.75" customHeight="1">
      <c r="A422" s="10"/>
      <c r="B422" s="183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</row>
    <row r="423" spans="1:59" ht="15.75" customHeight="1">
      <c r="A423" s="10"/>
      <c r="B423" s="183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</row>
    <row r="424" spans="1:59" ht="15.75" customHeight="1">
      <c r="A424" s="10"/>
      <c r="B424" s="183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</row>
    <row r="425" spans="1:59" ht="15.75" customHeight="1">
      <c r="A425" s="10"/>
      <c r="B425" s="183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</row>
    <row r="426" spans="1:59" ht="15.75" customHeight="1">
      <c r="A426" s="10"/>
      <c r="B426" s="183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</row>
    <row r="427" spans="1:59" ht="15.75" customHeight="1">
      <c r="A427" s="10"/>
      <c r="B427" s="183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</row>
    <row r="428" spans="1:59" ht="15.75" customHeight="1">
      <c r="A428" s="10"/>
      <c r="B428" s="183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</row>
    <row r="429" spans="1:59" ht="15.75" customHeight="1">
      <c r="A429" s="10"/>
      <c r="B429" s="183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</row>
    <row r="430" spans="1:59" ht="15.75" customHeight="1">
      <c r="A430" s="10"/>
      <c r="B430" s="183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</row>
    <row r="431" spans="1:59" ht="15.75" customHeight="1">
      <c r="A431" s="10"/>
      <c r="B431" s="183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</row>
    <row r="432" spans="1:59" ht="15.75" customHeight="1">
      <c r="A432" s="10"/>
      <c r="B432" s="183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</row>
    <row r="433" spans="1:59" ht="15.75" customHeight="1">
      <c r="A433" s="10"/>
      <c r="B433" s="183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</row>
    <row r="434" spans="1:59" ht="15.75" customHeight="1">
      <c r="A434" s="10"/>
      <c r="B434" s="183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</row>
    <row r="435" spans="1:59" ht="15.75" customHeight="1">
      <c r="A435" s="10"/>
      <c r="B435" s="183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</row>
    <row r="436" spans="1:59" ht="15.75" customHeight="1">
      <c r="A436" s="10"/>
      <c r="B436" s="183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</row>
    <row r="437" spans="1:59" ht="15.75" customHeight="1">
      <c r="A437" s="10"/>
      <c r="B437" s="183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</row>
    <row r="438" spans="1:59" ht="15.75" customHeight="1">
      <c r="A438" s="10"/>
      <c r="B438" s="183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</row>
    <row r="439" spans="1:59" ht="15.75" customHeight="1">
      <c r="A439" s="10"/>
      <c r="B439" s="183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</row>
    <row r="440" spans="1:59" ht="15.75" customHeight="1">
      <c r="A440" s="10"/>
      <c r="B440" s="183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</row>
    <row r="441" spans="1:59" ht="15.75" customHeight="1">
      <c r="A441" s="10"/>
      <c r="B441" s="183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</row>
    <row r="442" spans="1:59" ht="15.75" customHeight="1">
      <c r="A442" s="10"/>
      <c r="B442" s="183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</row>
    <row r="443" spans="1:59" ht="15.75" customHeight="1">
      <c r="A443" s="10"/>
      <c r="B443" s="183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</row>
    <row r="444" spans="1:59" ht="15.75" customHeight="1">
      <c r="A444" s="10"/>
      <c r="B444" s="183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</row>
    <row r="445" spans="1:59" ht="15.75" customHeight="1">
      <c r="A445" s="10"/>
      <c r="B445" s="183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</row>
    <row r="446" spans="1:59" ht="15.75" customHeight="1">
      <c r="A446" s="10"/>
      <c r="B446" s="183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</row>
    <row r="447" spans="1:59" ht="15.75" customHeight="1">
      <c r="A447" s="10"/>
      <c r="B447" s="183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</row>
    <row r="448" spans="1:59" ht="15.75" customHeight="1">
      <c r="A448" s="10"/>
      <c r="B448" s="183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</row>
    <row r="449" spans="1:59" ht="15.75" customHeight="1">
      <c r="A449" s="10"/>
      <c r="B449" s="183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</row>
    <row r="450" spans="1:59" ht="15.75" customHeight="1">
      <c r="A450" s="10"/>
      <c r="B450" s="183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</row>
    <row r="451" spans="1:59" ht="15.75" customHeight="1">
      <c r="A451" s="10"/>
      <c r="B451" s="183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</row>
    <row r="452" spans="1:59" ht="15.75" customHeight="1">
      <c r="A452" s="10"/>
      <c r="B452" s="183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</row>
    <row r="453" spans="1:59" ht="15.75" customHeight="1">
      <c r="A453" s="10"/>
      <c r="B453" s="183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</row>
    <row r="454" spans="1:59" ht="15.75" customHeight="1">
      <c r="A454" s="10"/>
      <c r="B454" s="183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</row>
    <row r="455" spans="1:59" ht="15.75" customHeight="1">
      <c r="A455" s="10"/>
      <c r="B455" s="183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</row>
    <row r="456" spans="1:59" ht="15.75" customHeight="1">
      <c r="A456" s="10"/>
      <c r="B456" s="183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</row>
    <row r="457" spans="1:59" ht="15.75" customHeight="1">
      <c r="A457" s="10"/>
      <c r="B457" s="183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</row>
    <row r="458" spans="1:59" ht="15.75" customHeight="1">
      <c r="A458" s="10"/>
      <c r="B458" s="183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</row>
    <row r="459" spans="1:59" ht="15.75" customHeight="1">
      <c r="A459" s="10"/>
      <c r="B459" s="183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</row>
    <row r="460" spans="1:59" ht="15.75" customHeight="1">
      <c r="A460" s="10"/>
      <c r="B460" s="183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</row>
    <row r="461" spans="1:59" ht="15.75" customHeight="1">
      <c r="A461" s="10"/>
      <c r="B461" s="183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</row>
    <row r="462" spans="1:59" ht="15.75" customHeight="1">
      <c r="A462" s="10"/>
      <c r="B462" s="183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</row>
    <row r="463" spans="1:59" ht="15.75" customHeight="1">
      <c r="A463" s="10"/>
      <c r="B463" s="183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</row>
    <row r="464" spans="1:59" ht="15.75" customHeight="1">
      <c r="A464" s="10"/>
      <c r="B464" s="183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</row>
    <row r="465" spans="1:59" ht="15.75" customHeight="1">
      <c r="A465" s="10"/>
      <c r="B465" s="183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</row>
    <row r="466" spans="1:59" ht="15.75" customHeight="1">
      <c r="A466" s="10"/>
      <c r="B466" s="18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</row>
    <row r="467" spans="1:59" ht="15.75" customHeight="1">
      <c r="A467" s="10"/>
      <c r="B467" s="183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</row>
    <row r="468" spans="1:59" ht="15.75" customHeight="1">
      <c r="A468" s="10"/>
      <c r="B468" s="183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</row>
    <row r="469" spans="1:59" ht="15.75" customHeight="1">
      <c r="A469" s="10"/>
      <c r="B469" s="183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</row>
    <row r="470" spans="1:59" ht="15.75" customHeight="1">
      <c r="A470" s="10"/>
      <c r="B470" s="183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</row>
    <row r="471" spans="1:59" ht="15.75" customHeight="1">
      <c r="A471" s="10"/>
      <c r="B471" s="183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</row>
    <row r="472" spans="1:59" ht="15.75" customHeight="1">
      <c r="A472" s="10"/>
      <c r="B472" s="183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</row>
    <row r="473" spans="1:59" ht="15.75" customHeight="1">
      <c r="A473" s="10"/>
      <c r="B473" s="183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</row>
    <row r="474" spans="1:59" ht="15.75" customHeight="1">
      <c r="A474" s="10"/>
      <c r="B474" s="183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</row>
    <row r="475" spans="1:59" ht="15.75" customHeight="1">
      <c r="A475" s="10"/>
      <c r="B475" s="183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</row>
    <row r="476" spans="1:59" ht="15.75" customHeight="1">
      <c r="A476" s="10"/>
      <c r="B476" s="183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</row>
    <row r="477" spans="1:59" ht="15.75" customHeight="1">
      <c r="A477" s="10"/>
      <c r="B477" s="183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</row>
    <row r="478" spans="1:59" ht="15.75" customHeight="1">
      <c r="A478" s="10"/>
      <c r="B478" s="183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</row>
    <row r="479" spans="1:59" ht="15.75" customHeight="1">
      <c r="A479" s="10"/>
      <c r="B479" s="183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</row>
    <row r="480" spans="1:59" ht="15.75" customHeight="1">
      <c r="A480" s="10"/>
      <c r="B480" s="183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</row>
    <row r="481" spans="1:59" ht="15.75" customHeight="1">
      <c r="A481" s="10"/>
      <c r="B481" s="183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</row>
    <row r="482" spans="1:59" ht="15.75" customHeight="1">
      <c r="A482" s="10"/>
      <c r="B482" s="183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</row>
    <row r="483" spans="1:59" ht="15.75" customHeight="1">
      <c r="A483" s="10"/>
      <c r="B483" s="183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</row>
    <row r="484" spans="1:59" ht="15.75" customHeight="1">
      <c r="A484" s="10"/>
      <c r="B484" s="183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</row>
    <row r="485" spans="1:59" ht="15.75" customHeight="1">
      <c r="A485" s="10"/>
      <c r="B485" s="183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</row>
    <row r="486" spans="1:59" ht="15.75" customHeight="1">
      <c r="A486" s="10"/>
      <c r="B486" s="183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</row>
    <row r="487" spans="1:59" ht="15.75" customHeight="1">
      <c r="A487" s="10"/>
      <c r="B487" s="183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</row>
    <row r="488" spans="1:59" ht="15.75" customHeight="1">
      <c r="A488" s="10"/>
      <c r="B488" s="183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</row>
    <row r="489" spans="1:59" ht="15.75" customHeight="1">
      <c r="A489" s="10"/>
      <c r="B489" s="183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</row>
    <row r="490" spans="1:59" ht="15.75" customHeight="1">
      <c r="A490" s="10"/>
      <c r="B490" s="183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</row>
    <row r="491" spans="1:59" ht="15.75" customHeight="1">
      <c r="A491" s="10"/>
      <c r="B491" s="183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</row>
    <row r="492" spans="1:59" ht="15.75" customHeight="1">
      <c r="A492" s="10"/>
      <c r="B492" s="18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</row>
    <row r="493" spans="1:59" ht="15.75" customHeight="1">
      <c r="A493" s="10"/>
      <c r="B493" s="183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</row>
    <row r="494" spans="1:59" ht="15.75" customHeight="1">
      <c r="A494" s="10"/>
      <c r="B494" s="183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</row>
    <row r="495" spans="1:59" ht="15.75" customHeight="1">
      <c r="A495" s="10"/>
      <c r="B495" s="183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</row>
    <row r="496" spans="1:59" ht="15.75" customHeight="1">
      <c r="A496" s="10"/>
      <c r="B496" s="183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</row>
    <row r="497" spans="1:59" ht="15.75" customHeight="1">
      <c r="A497" s="10"/>
      <c r="B497" s="183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</row>
    <row r="498" spans="1:59" ht="15.75" customHeight="1">
      <c r="A498" s="10"/>
      <c r="B498" s="183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</row>
    <row r="499" spans="1:59" ht="15.75" customHeight="1">
      <c r="A499" s="10"/>
      <c r="B499" s="183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</row>
    <row r="500" spans="1:59" ht="15.75" customHeight="1">
      <c r="A500" s="10"/>
      <c r="B500" s="183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</row>
    <row r="501" spans="1:59" ht="15.75" customHeight="1">
      <c r="A501" s="10"/>
      <c r="B501" s="183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</row>
    <row r="502" spans="1:59" ht="15.75" customHeight="1">
      <c r="A502" s="10"/>
      <c r="B502" s="183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</row>
    <row r="503" spans="1:59" ht="15.75" customHeight="1">
      <c r="A503" s="10"/>
      <c r="B503" s="183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</row>
    <row r="504" spans="1:59" ht="15.75" customHeight="1">
      <c r="A504" s="10"/>
      <c r="B504" s="183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</row>
    <row r="505" spans="1:59" ht="15.75" customHeight="1">
      <c r="A505" s="10"/>
      <c r="B505" s="183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</row>
    <row r="506" spans="1:59" ht="15.75" customHeight="1">
      <c r="A506" s="10"/>
      <c r="B506" s="183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</row>
    <row r="507" spans="1:59" ht="15.75" customHeight="1">
      <c r="A507" s="10"/>
      <c r="B507" s="183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</row>
    <row r="508" spans="1:59" ht="15.75" customHeight="1">
      <c r="A508" s="10"/>
      <c r="B508" s="183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</row>
    <row r="509" spans="1:59" ht="15.75" customHeight="1">
      <c r="A509" s="10"/>
      <c r="B509" s="183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</row>
    <row r="510" spans="1:59" ht="15.75" customHeight="1">
      <c r="A510" s="10"/>
      <c r="B510" s="183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</row>
    <row r="511" spans="1:59" ht="15.75" customHeight="1">
      <c r="A511" s="10"/>
      <c r="B511" s="183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</row>
    <row r="512" spans="1:59" ht="15.75" customHeight="1">
      <c r="A512" s="10"/>
      <c r="B512" s="183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</row>
    <row r="513" spans="1:59" ht="15.75" customHeight="1">
      <c r="A513" s="10"/>
      <c r="B513" s="183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</row>
    <row r="514" spans="1:59" ht="15.75" customHeight="1">
      <c r="A514" s="10"/>
      <c r="B514" s="183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</row>
    <row r="515" spans="1:59" ht="15.75" customHeight="1">
      <c r="A515" s="10"/>
      <c r="B515" s="183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</row>
    <row r="516" spans="1:59" ht="15.75" customHeight="1">
      <c r="A516" s="10"/>
      <c r="B516" s="183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</row>
    <row r="517" spans="1:59" ht="15.75" customHeight="1">
      <c r="A517" s="10"/>
      <c r="B517" s="183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</row>
    <row r="518" spans="1:59" ht="15.75" customHeight="1">
      <c r="A518" s="10"/>
      <c r="B518" s="18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</row>
    <row r="519" spans="1:59" ht="15.75" customHeight="1">
      <c r="A519" s="10"/>
      <c r="B519" s="183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</row>
    <row r="520" spans="1:59" ht="15.75" customHeight="1">
      <c r="A520" s="10"/>
      <c r="B520" s="183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</row>
    <row r="521" spans="1:59" ht="15.75" customHeight="1">
      <c r="A521" s="10"/>
      <c r="B521" s="183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</row>
    <row r="522" spans="1:59" ht="15.75" customHeight="1">
      <c r="A522" s="10"/>
      <c r="B522" s="183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</row>
    <row r="523" spans="1:59" ht="15.75" customHeight="1">
      <c r="A523" s="10"/>
      <c r="B523" s="183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</row>
    <row r="524" spans="1:59" ht="15.75" customHeight="1">
      <c r="A524" s="10"/>
      <c r="B524" s="183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</row>
    <row r="525" spans="1:59" ht="15.75" customHeight="1">
      <c r="A525" s="10"/>
      <c r="B525" s="183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</row>
    <row r="526" spans="1:59" ht="15.75" customHeight="1">
      <c r="A526" s="10"/>
      <c r="B526" s="183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</row>
    <row r="527" spans="1:59" ht="15.75" customHeight="1">
      <c r="A527" s="10"/>
      <c r="B527" s="183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</row>
    <row r="528" spans="1:59" ht="15.75" customHeight="1">
      <c r="A528" s="10"/>
      <c r="B528" s="183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</row>
    <row r="529" spans="1:59" ht="15.75" customHeight="1">
      <c r="A529" s="10"/>
      <c r="B529" s="183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</row>
    <row r="530" spans="1:59" ht="15.75" customHeight="1">
      <c r="A530" s="10"/>
      <c r="B530" s="183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</row>
    <row r="531" spans="1:59" ht="15.75" customHeight="1">
      <c r="A531" s="10"/>
      <c r="B531" s="183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</row>
    <row r="532" spans="1:59" ht="15.75" customHeight="1">
      <c r="A532" s="10"/>
      <c r="B532" s="183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</row>
    <row r="533" spans="1:59" ht="15.75" customHeight="1">
      <c r="A533" s="10"/>
      <c r="B533" s="183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</row>
    <row r="534" spans="1:59" ht="15.75" customHeight="1">
      <c r="A534" s="10"/>
      <c r="B534" s="183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</row>
    <row r="535" spans="1:59" ht="15.75" customHeight="1">
      <c r="A535" s="10"/>
      <c r="B535" s="183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</row>
    <row r="536" spans="1:59" ht="15.75" customHeight="1">
      <c r="A536" s="10"/>
      <c r="B536" s="183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</row>
    <row r="537" spans="1:59" ht="15.75" customHeight="1">
      <c r="A537" s="10"/>
      <c r="B537" s="183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</row>
    <row r="538" spans="1:59" ht="15.75" customHeight="1">
      <c r="A538" s="10"/>
      <c r="B538" s="183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</row>
    <row r="539" spans="1:59" ht="15.75" customHeight="1">
      <c r="A539" s="10"/>
      <c r="B539" s="183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</row>
    <row r="540" spans="1:59" ht="15.75" customHeight="1">
      <c r="A540" s="10"/>
      <c r="B540" s="183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</row>
    <row r="541" spans="1:59" ht="15.75" customHeight="1">
      <c r="A541" s="10"/>
      <c r="B541" s="183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</row>
    <row r="542" spans="1:59" ht="15.75" customHeight="1">
      <c r="A542" s="10"/>
      <c r="B542" s="183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</row>
    <row r="543" spans="1:59" ht="15.75" customHeight="1">
      <c r="A543" s="10"/>
      <c r="B543" s="183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</row>
    <row r="544" spans="1:59" ht="15.75" customHeight="1">
      <c r="A544" s="10"/>
      <c r="B544" s="18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</row>
    <row r="545" spans="1:59" ht="15.75" customHeight="1">
      <c r="A545" s="10"/>
      <c r="B545" s="183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</row>
    <row r="546" spans="1:59" ht="15.75" customHeight="1">
      <c r="A546" s="10"/>
      <c r="B546" s="183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</row>
    <row r="547" spans="1:59" ht="15.75" customHeight="1">
      <c r="A547" s="10"/>
      <c r="B547" s="183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</row>
    <row r="548" spans="1:59" ht="15.75" customHeight="1">
      <c r="A548" s="10"/>
      <c r="B548" s="183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</row>
    <row r="549" spans="1:59" ht="15.75" customHeight="1">
      <c r="A549" s="10"/>
      <c r="B549" s="183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</row>
    <row r="550" spans="1:59" ht="15.75" customHeight="1">
      <c r="A550" s="10"/>
      <c r="B550" s="183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</row>
    <row r="551" spans="1:59" ht="15.75" customHeight="1">
      <c r="A551" s="10"/>
      <c r="B551" s="183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</row>
    <row r="552" spans="1:59" ht="15.75" customHeight="1">
      <c r="A552" s="10"/>
      <c r="B552" s="183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</row>
    <row r="553" spans="1:59" ht="15.75" customHeight="1">
      <c r="A553" s="10"/>
      <c r="B553" s="183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</row>
    <row r="554" spans="1:59" ht="15.75" customHeight="1">
      <c r="A554" s="10"/>
      <c r="B554" s="183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</row>
    <row r="555" spans="1:59" ht="15.75" customHeight="1">
      <c r="A555" s="10"/>
      <c r="B555" s="183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</row>
    <row r="556" spans="1:59" ht="15.75" customHeight="1">
      <c r="A556" s="10"/>
      <c r="B556" s="183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</row>
    <row r="557" spans="1:59" ht="15.75" customHeight="1">
      <c r="A557" s="10"/>
      <c r="B557" s="183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</row>
    <row r="558" spans="1:59" ht="15.75" customHeight="1">
      <c r="A558" s="10"/>
      <c r="B558" s="183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</row>
    <row r="559" spans="1:59" ht="15.75" customHeight="1">
      <c r="A559" s="10"/>
      <c r="B559" s="183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</row>
    <row r="560" spans="1:59" ht="15.75" customHeight="1">
      <c r="A560" s="10"/>
      <c r="B560" s="183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</row>
    <row r="561" spans="1:59" ht="15.75" customHeight="1">
      <c r="A561" s="10"/>
      <c r="B561" s="183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</row>
    <row r="562" spans="1:59" ht="15.75" customHeight="1">
      <c r="A562" s="10"/>
      <c r="B562" s="183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</row>
    <row r="563" spans="1:59" ht="15.75" customHeight="1">
      <c r="A563" s="10"/>
      <c r="B563" s="183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</row>
    <row r="564" spans="1:59" ht="15.75" customHeight="1">
      <c r="A564" s="10"/>
      <c r="B564" s="183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</row>
    <row r="565" spans="1:59" ht="15.75" customHeight="1">
      <c r="A565" s="10"/>
      <c r="B565" s="183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</row>
    <row r="566" spans="1:59" ht="15.75" customHeight="1">
      <c r="A566" s="10"/>
      <c r="B566" s="183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</row>
    <row r="567" spans="1:59" ht="15.75" customHeight="1">
      <c r="A567" s="10"/>
      <c r="B567" s="183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</row>
    <row r="568" spans="1:59" ht="15.75" customHeight="1">
      <c r="A568" s="10"/>
      <c r="B568" s="183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</row>
    <row r="569" spans="1:59" ht="15.75" customHeight="1">
      <c r="A569" s="10"/>
      <c r="B569" s="183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</row>
    <row r="570" spans="1:59" ht="15.75" customHeight="1">
      <c r="A570" s="10"/>
      <c r="B570" s="183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</row>
    <row r="571" spans="1:59" ht="15.75" customHeight="1">
      <c r="A571" s="10"/>
      <c r="B571" s="183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</row>
    <row r="572" spans="1:59" ht="15.75" customHeight="1">
      <c r="A572" s="10"/>
      <c r="B572" s="183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</row>
    <row r="573" spans="1:59" ht="15.75" customHeight="1">
      <c r="A573" s="10"/>
      <c r="B573" s="183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</row>
    <row r="574" spans="1:59" ht="15.75" customHeight="1">
      <c r="A574" s="10"/>
      <c r="B574" s="183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</row>
    <row r="575" spans="1:59" ht="15.75" customHeight="1">
      <c r="A575" s="10"/>
      <c r="B575" s="183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</row>
    <row r="576" spans="1:59" ht="15.75" customHeight="1">
      <c r="A576" s="10"/>
      <c r="B576" s="183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</row>
    <row r="577" spans="1:59" ht="15.75" customHeight="1">
      <c r="A577" s="10"/>
      <c r="B577" s="183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</row>
    <row r="578" spans="1:59" ht="15.75" customHeight="1">
      <c r="A578" s="10"/>
      <c r="B578" s="183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</row>
    <row r="579" spans="1:59" ht="15.75" customHeight="1">
      <c r="A579" s="10"/>
      <c r="B579" s="183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</row>
    <row r="580" spans="1:59" ht="15.75" customHeight="1">
      <c r="A580" s="10"/>
      <c r="B580" s="183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</row>
    <row r="581" spans="1:59" ht="15.75" customHeight="1">
      <c r="A581" s="10"/>
      <c r="B581" s="183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</row>
    <row r="582" spans="1:59" ht="15.75" customHeight="1">
      <c r="A582" s="10"/>
      <c r="B582" s="183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</row>
    <row r="583" spans="1:59" ht="15.75" customHeight="1">
      <c r="A583" s="10"/>
      <c r="B583" s="183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</row>
    <row r="584" spans="1:59" ht="15.75" customHeight="1">
      <c r="A584" s="10"/>
      <c r="B584" s="183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</row>
    <row r="585" spans="1:59" ht="15.75" customHeight="1">
      <c r="A585" s="10"/>
      <c r="B585" s="183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</row>
    <row r="586" spans="1:59" ht="15.75" customHeight="1">
      <c r="A586" s="10"/>
      <c r="B586" s="183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</row>
    <row r="587" spans="1:59" ht="15.75" customHeight="1">
      <c r="A587" s="10"/>
      <c r="B587" s="183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</row>
    <row r="588" spans="1:59" ht="15.75" customHeight="1">
      <c r="A588" s="10"/>
      <c r="B588" s="183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</row>
    <row r="589" spans="1:59" ht="15.75" customHeight="1">
      <c r="A589" s="10"/>
      <c r="B589" s="183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</row>
    <row r="590" spans="1:59" ht="15.75" customHeight="1">
      <c r="A590" s="10"/>
      <c r="B590" s="183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</row>
    <row r="591" spans="1:59" ht="15.75" customHeight="1">
      <c r="A591" s="10"/>
      <c r="B591" s="183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</row>
    <row r="592" spans="1:59" ht="15.75" customHeight="1">
      <c r="A592" s="10"/>
      <c r="B592" s="183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</row>
    <row r="593" spans="1:59" ht="15.75" customHeight="1">
      <c r="A593" s="10"/>
      <c r="B593" s="183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</row>
    <row r="594" spans="1:59" ht="15.75" customHeight="1">
      <c r="A594" s="10"/>
      <c r="B594" s="183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</row>
    <row r="595" spans="1:59" ht="15.75" customHeight="1">
      <c r="A595" s="10"/>
      <c r="B595" s="183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</row>
    <row r="596" spans="1:59" ht="15.75" customHeight="1">
      <c r="A596" s="10"/>
      <c r="B596" s="183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</row>
    <row r="597" spans="1:59" ht="15.75" customHeight="1">
      <c r="A597" s="10"/>
      <c r="B597" s="183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</row>
    <row r="598" spans="1:59" ht="15.75" customHeight="1">
      <c r="A598" s="10"/>
      <c r="B598" s="183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</row>
    <row r="599" spans="1:59" ht="15.75" customHeight="1">
      <c r="A599" s="10"/>
      <c r="B599" s="183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</row>
    <row r="600" spans="1:59" ht="15.75" customHeight="1">
      <c r="A600" s="10"/>
      <c r="B600" s="183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</row>
    <row r="601" spans="1:59" ht="15.75" customHeight="1">
      <c r="A601" s="10"/>
      <c r="B601" s="183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</row>
    <row r="602" spans="1:59" ht="15.75" customHeight="1">
      <c r="A602" s="10"/>
      <c r="B602" s="183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</row>
    <row r="603" spans="1:59" ht="15.75" customHeight="1">
      <c r="A603" s="10"/>
      <c r="B603" s="183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</row>
    <row r="604" spans="1:59" ht="15.75" customHeight="1">
      <c r="A604" s="10"/>
      <c r="B604" s="183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</row>
    <row r="605" spans="1:59" ht="15.75" customHeight="1">
      <c r="A605" s="10"/>
      <c r="B605" s="183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</row>
    <row r="606" spans="1:59" ht="15.75" customHeight="1">
      <c r="A606" s="10"/>
      <c r="B606" s="183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</row>
    <row r="607" spans="1:59" ht="15.75" customHeight="1">
      <c r="A607" s="10"/>
      <c r="B607" s="183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</row>
    <row r="608" spans="1:59" ht="15.75" customHeight="1">
      <c r="A608" s="10"/>
      <c r="B608" s="183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</row>
    <row r="609" spans="1:59" ht="15.75" customHeight="1">
      <c r="A609" s="10"/>
      <c r="B609" s="183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</row>
    <row r="610" spans="1:59" ht="15.75" customHeight="1">
      <c r="A610" s="10"/>
      <c r="B610" s="183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</row>
    <row r="611" spans="1:59" ht="15.75" customHeight="1">
      <c r="A611" s="10"/>
      <c r="B611" s="183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</row>
    <row r="612" spans="1:59" ht="15.75" customHeight="1">
      <c r="A612" s="10"/>
      <c r="B612" s="183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</row>
    <row r="613" spans="1:59" ht="15.75" customHeight="1">
      <c r="A613" s="10"/>
      <c r="B613" s="183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</row>
    <row r="614" spans="1:59" ht="15.75" customHeight="1">
      <c r="A614" s="10"/>
      <c r="B614" s="183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</row>
    <row r="615" spans="1:59" ht="15.75" customHeight="1">
      <c r="A615" s="10"/>
      <c r="B615" s="183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</row>
    <row r="616" spans="1:59" ht="15.75" customHeight="1">
      <c r="A616" s="10"/>
      <c r="B616" s="183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</row>
    <row r="617" spans="1:59" ht="15.75" customHeight="1">
      <c r="A617" s="10"/>
      <c r="B617" s="183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</row>
    <row r="618" spans="1:59" ht="15.75" customHeight="1">
      <c r="A618" s="10"/>
      <c r="B618" s="183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</row>
    <row r="619" spans="1:59" ht="15.75" customHeight="1">
      <c r="A619" s="10"/>
      <c r="B619" s="183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</row>
    <row r="620" spans="1:59" ht="15.75" customHeight="1">
      <c r="A620" s="10"/>
      <c r="B620" s="183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</row>
    <row r="621" spans="1:59" ht="15.75" customHeight="1">
      <c r="A621" s="10"/>
      <c r="B621" s="183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</row>
    <row r="622" spans="1:59" ht="15.75" customHeight="1">
      <c r="A622" s="10"/>
      <c r="B622" s="183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</row>
    <row r="623" spans="1:59" ht="15.75" customHeight="1">
      <c r="A623" s="10"/>
      <c r="B623" s="183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</row>
    <row r="624" spans="1:59" ht="15.75" customHeight="1">
      <c r="A624" s="10"/>
      <c r="B624" s="183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</row>
    <row r="625" spans="1:59" ht="15.75" customHeight="1">
      <c r="A625" s="10"/>
      <c r="B625" s="183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</row>
    <row r="626" spans="1:59" ht="15.75" customHeight="1">
      <c r="A626" s="10"/>
      <c r="B626" s="183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</row>
    <row r="627" spans="1:59" ht="15.75" customHeight="1">
      <c r="A627" s="10"/>
      <c r="B627" s="183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</row>
    <row r="628" spans="1:59" ht="15.75" customHeight="1">
      <c r="A628" s="10"/>
      <c r="B628" s="183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</row>
    <row r="629" spans="1:59" ht="15.75" customHeight="1">
      <c r="A629" s="10"/>
      <c r="B629" s="183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</row>
    <row r="630" spans="1:59" ht="15.75" customHeight="1">
      <c r="A630" s="10"/>
      <c r="B630" s="183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</row>
    <row r="631" spans="1:59" ht="15.75" customHeight="1">
      <c r="A631" s="10"/>
      <c r="B631" s="183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</row>
    <row r="632" spans="1:59" ht="15.75" customHeight="1">
      <c r="A632" s="10"/>
      <c r="B632" s="183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</row>
    <row r="633" spans="1:59" ht="15.75" customHeight="1">
      <c r="A633" s="10"/>
      <c r="B633" s="183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</row>
    <row r="634" spans="1:59" ht="15.75" customHeight="1">
      <c r="A634" s="10"/>
      <c r="B634" s="183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</row>
    <row r="635" spans="1:59" ht="15.75" customHeight="1">
      <c r="A635" s="10"/>
      <c r="B635" s="183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</row>
    <row r="636" spans="1:59" ht="15.75" customHeight="1">
      <c r="A636" s="10"/>
      <c r="B636" s="183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</row>
    <row r="637" spans="1:59" ht="15.75" customHeight="1">
      <c r="A637" s="10"/>
      <c r="B637" s="183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</row>
    <row r="638" spans="1:59" ht="15.75" customHeight="1">
      <c r="A638" s="10"/>
      <c r="B638" s="183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</row>
    <row r="639" spans="1:59" ht="15.75" customHeight="1">
      <c r="A639" s="10"/>
      <c r="B639" s="183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</row>
    <row r="640" spans="1:59" ht="15.75" customHeight="1">
      <c r="A640" s="10"/>
      <c r="B640" s="183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</row>
    <row r="641" spans="1:59" ht="15.75" customHeight="1">
      <c r="A641" s="10"/>
      <c r="B641" s="183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</row>
    <row r="642" spans="1:59" ht="15.75" customHeight="1">
      <c r="A642" s="10"/>
      <c r="B642" s="183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</row>
    <row r="643" spans="1:59" ht="15.75" customHeight="1">
      <c r="A643" s="10"/>
      <c r="B643" s="183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</row>
    <row r="644" spans="1:59" ht="15.75" customHeight="1">
      <c r="A644" s="10"/>
      <c r="B644" s="183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</row>
    <row r="645" spans="1:59" ht="15.75" customHeight="1">
      <c r="A645" s="10"/>
      <c r="B645" s="183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</row>
    <row r="646" spans="1:59" ht="15.75" customHeight="1">
      <c r="A646" s="10"/>
      <c r="B646" s="183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</row>
    <row r="647" spans="1:59" ht="15.75" customHeight="1">
      <c r="A647" s="10"/>
      <c r="B647" s="183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</row>
    <row r="648" spans="1:59" ht="15.75" customHeight="1">
      <c r="A648" s="10"/>
      <c r="B648" s="183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</row>
    <row r="649" spans="1:59" ht="15.75" customHeight="1">
      <c r="A649" s="10"/>
      <c r="B649" s="183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</row>
    <row r="650" spans="1:59" ht="15.75" customHeight="1">
      <c r="A650" s="10"/>
      <c r="B650" s="183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</row>
    <row r="651" spans="1:59" ht="15.75" customHeight="1">
      <c r="A651" s="10"/>
      <c r="B651" s="183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</row>
    <row r="652" spans="1:59" ht="15.75" customHeight="1">
      <c r="A652" s="10"/>
      <c r="B652" s="183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</row>
    <row r="653" spans="1:59" ht="15.75" customHeight="1">
      <c r="A653" s="10"/>
      <c r="B653" s="183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</row>
    <row r="654" spans="1:59" ht="15.75" customHeight="1">
      <c r="A654" s="10"/>
      <c r="B654" s="183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</row>
    <row r="655" spans="1:59" ht="15.75" customHeight="1">
      <c r="A655" s="10"/>
      <c r="B655" s="183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</row>
    <row r="656" spans="1:59" ht="15.75" customHeight="1">
      <c r="A656" s="10"/>
      <c r="B656" s="183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</row>
    <row r="657" spans="1:59" ht="15.75" customHeight="1">
      <c r="A657" s="10"/>
      <c r="B657" s="183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</row>
    <row r="658" spans="1:59" ht="15.75" customHeight="1">
      <c r="A658" s="10"/>
      <c r="B658" s="183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</row>
    <row r="659" spans="1:59" ht="15.75" customHeight="1">
      <c r="A659" s="10"/>
      <c r="B659" s="183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</row>
    <row r="660" spans="1:59" ht="15.75" customHeight="1">
      <c r="A660" s="10"/>
      <c r="B660" s="183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</row>
    <row r="661" spans="1:59" ht="15.75" customHeight="1">
      <c r="A661" s="10"/>
      <c r="B661" s="183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</row>
    <row r="662" spans="1:59" ht="15.75" customHeight="1">
      <c r="A662" s="10"/>
      <c r="B662" s="183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</row>
    <row r="663" spans="1:59" ht="15.75" customHeight="1">
      <c r="A663" s="10"/>
      <c r="B663" s="183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</row>
    <row r="664" spans="1:59" ht="15.75" customHeight="1">
      <c r="A664" s="10"/>
      <c r="B664" s="183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</row>
    <row r="665" spans="1:59" ht="15.75" customHeight="1">
      <c r="A665" s="10"/>
      <c r="B665" s="183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</row>
    <row r="666" spans="1:59" ht="15.75" customHeight="1">
      <c r="A666" s="10"/>
      <c r="B666" s="183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</row>
    <row r="667" spans="1:59" ht="15.75" customHeight="1">
      <c r="A667" s="10"/>
      <c r="B667" s="183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</row>
    <row r="668" spans="1:59" ht="15.75" customHeight="1">
      <c r="A668" s="10"/>
      <c r="B668" s="183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</row>
    <row r="669" spans="1:59" ht="15.75" customHeight="1">
      <c r="A669" s="10"/>
      <c r="B669" s="183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</row>
    <row r="670" spans="1:59" ht="15.75" customHeight="1">
      <c r="A670" s="10"/>
      <c r="B670" s="183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</row>
    <row r="671" spans="1:59" ht="15.75" customHeight="1">
      <c r="A671" s="10"/>
      <c r="B671" s="183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</row>
    <row r="672" spans="1:59" ht="15.75" customHeight="1">
      <c r="A672" s="10"/>
      <c r="B672" s="183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</row>
    <row r="673" spans="1:59" ht="15.75" customHeight="1">
      <c r="A673" s="10"/>
      <c r="B673" s="183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</row>
    <row r="674" spans="1:59" ht="15.75" customHeight="1">
      <c r="A674" s="10"/>
      <c r="B674" s="183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</row>
    <row r="675" spans="1:59" ht="15.75" customHeight="1">
      <c r="A675" s="10"/>
      <c r="B675" s="183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</row>
    <row r="676" spans="1:59" ht="15.75" customHeight="1">
      <c r="A676" s="10"/>
      <c r="B676" s="183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</row>
    <row r="677" spans="1:59" ht="15.75" customHeight="1">
      <c r="A677" s="10"/>
      <c r="B677" s="183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</row>
    <row r="678" spans="1:59" ht="15.75" customHeight="1">
      <c r="A678" s="10"/>
      <c r="B678" s="183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</row>
    <row r="679" spans="1:59" ht="15.75" customHeight="1">
      <c r="A679" s="10"/>
      <c r="B679" s="183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</row>
    <row r="680" spans="1:59" ht="15.75" customHeight="1">
      <c r="A680" s="10"/>
      <c r="B680" s="183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</row>
    <row r="681" spans="1:59" ht="15.75" customHeight="1">
      <c r="A681" s="10"/>
      <c r="B681" s="183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</row>
    <row r="682" spans="1:59" ht="15.75" customHeight="1">
      <c r="A682" s="10"/>
      <c r="B682" s="183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</row>
    <row r="683" spans="1:59" ht="15.75" customHeight="1">
      <c r="A683" s="10"/>
      <c r="B683" s="183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</row>
    <row r="684" spans="1:59" ht="15.75" customHeight="1">
      <c r="A684" s="10"/>
      <c r="B684" s="183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</row>
    <row r="685" spans="1:59" ht="15.75" customHeight="1">
      <c r="A685" s="10"/>
      <c r="B685" s="183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</row>
    <row r="686" spans="1:59" ht="15.75" customHeight="1">
      <c r="A686" s="10"/>
      <c r="B686" s="183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</row>
    <row r="687" spans="1:59" ht="15.75" customHeight="1">
      <c r="A687" s="10"/>
      <c r="B687" s="183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</row>
    <row r="688" spans="1:59" ht="15.75" customHeight="1">
      <c r="A688" s="10"/>
      <c r="B688" s="183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</row>
    <row r="689" spans="1:59" ht="15.75" customHeight="1">
      <c r="A689" s="10"/>
      <c r="B689" s="183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</row>
    <row r="690" spans="1:59" ht="15.75" customHeight="1">
      <c r="A690" s="10"/>
      <c r="B690" s="183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</row>
    <row r="691" spans="1:59" ht="15.75" customHeight="1">
      <c r="A691" s="10"/>
      <c r="B691" s="183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</row>
    <row r="692" spans="1:59" ht="15.75" customHeight="1">
      <c r="A692" s="10"/>
      <c r="B692" s="183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</row>
    <row r="693" spans="1:59" ht="15.75" customHeight="1">
      <c r="A693" s="10"/>
      <c r="B693" s="183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</row>
    <row r="694" spans="1:59" ht="15.75" customHeight="1">
      <c r="A694" s="10"/>
      <c r="B694" s="183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</row>
    <row r="695" spans="1:59" ht="15.75" customHeight="1">
      <c r="A695" s="10"/>
      <c r="B695" s="183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</row>
    <row r="696" spans="1:59" ht="15.75" customHeight="1">
      <c r="A696" s="10"/>
      <c r="B696" s="183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</row>
    <row r="697" spans="1:59" ht="15.75" customHeight="1">
      <c r="A697" s="10"/>
      <c r="B697" s="183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</row>
    <row r="698" spans="1:59" ht="15.75" customHeight="1">
      <c r="A698" s="10"/>
      <c r="B698" s="183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</row>
    <row r="699" spans="1:59" ht="15.75" customHeight="1">
      <c r="A699" s="10"/>
      <c r="B699" s="183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</row>
    <row r="700" spans="1:59" ht="15.75" customHeight="1">
      <c r="A700" s="10"/>
      <c r="B700" s="183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</row>
    <row r="701" spans="1:59" ht="15.75" customHeight="1">
      <c r="A701" s="10"/>
      <c r="B701" s="183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</row>
    <row r="702" spans="1:59" ht="15.75" customHeight="1">
      <c r="A702" s="10"/>
      <c r="B702" s="183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</row>
    <row r="703" spans="1:59" ht="15.75" customHeight="1">
      <c r="A703" s="10"/>
      <c r="B703" s="183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</row>
    <row r="704" spans="1:59" ht="15.75" customHeight="1">
      <c r="A704" s="10"/>
      <c r="B704" s="183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</row>
    <row r="705" spans="1:59" ht="15.75" customHeight="1">
      <c r="A705" s="10"/>
      <c r="B705" s="183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</row>
    <row r="706" spans="1:59" ht="15.75" customHeight="1">
      <c r="A706" s="10"/>
      <c r="B706" s="183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</row>
    <row r="707" spans="1:59" ht="15.75" customHeight="1">
      <c r="A707" s="10"/>
      <c r="B707" s="183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</row>
    <row r="708" spans="1:59" ht="15.75" customHeight="1">
      <c r="A708" s="10"/>
      <c r="B708" s="183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</row>
    <row r="709" spans="1:59" ht="15.75" customHeight="1">
      <c r="A709" s="10"/>
      <c r="B709" s="183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</row>
    <row r="710" spans="1:59" ht="15.75" customHeight="1">
      <c r="A710" s="10"/>
      <c r="B710" s="183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</row>
    <row r="711" spans="1:59" ht="15.75" customHeight="1">
      <c r="A711" s="10"/>
      <c r="B711" s="183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</row>
    <row r="712" spans="1:59" ht="15.75" customHeight="1">
      <c r="A712" s="10"/>
      <c r="B712" s="183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</row>
    <row r="713" spans="1:59" ht="15.75" customHeight="1">
      <c r="A713" s="10"/>
      <c r="B713" s="183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</row>
    <row r="714" spans="1:59" ht="15.75" customHeight="1">
      <c r="A714" s="10"/>
      <c r="B714" s="183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</row>
    <row r="715" spans="1:59" ht="15.75" customHeight="1">
      <c r="A715" s="10"/>
      <c r="B715" s="183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</row>
    <row r="716" spans="1:59" ht="15.75" customHeight="1">
      <c r="A716" s="10"/>
      <c r="B716" s="183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</row>
    <row r="717" spans="1:59" ht="15.75" customHeight="1">
      <c r="A717" s="10"/>
      <c r="B717" s="183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</row>
    <row r="718" spans="1:59" ht="15.75" customHeight="1">
      <c r="A718" s="10"/>
      <c r="B718" s="183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</row>
    <row r="719" spans="1:59" ht="15.75" customHeight="1">
      <c r="A719" s="10"/>
      <c r="B719" s="183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</row>
    <row r="720" spans="1:59" ht="15.75" customHeight="1">
      <c r="A720" s="10"/>
      <c r="B720" s="183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</row>
    <row r="721" spans="1:59" ht="15.75" customHeight="1">
      <c r="A721" s="10"/>
      <c r="B721" s="183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</row>
    <row r="722" spans="1:59" ht="15.75" customHeight="1">
      <c r="A722" s="10"/>
      <c r="B722" s="183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</row>
    <row r="723" spans="1:59" ht="15.75" customHeight="1">
      <c r="A723" s="10"/>
      <c r="B723" s="183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</row>
    <row r="724" spans="1:59" ht="15.75" customHeight="1">
      <c r="A724" s="10"/>
      <c r="B724" s="183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</row>
    <row r="725" spans="1:59" ht="15.75" customHeight="1">
      <c r="A725" s="10"/>
      <c r="B725" s="183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</row>
    <row r="726" spans="1:59" ht="15.75" customHeight="1">
      <c r="A726" s="10"/>
      <c r="B726" s="183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</row>
    <row r="727" spans="1:59" ht="15.75" customHeight="1">
      <c r="A727" s="10"/>
      <c r="B727" s="183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</row>
    <row r="728" spans="1:59" ht="15.75" customHeight="1">
      <c r="A728" s="10"/>
      <c r="B728" s="183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</row>
    <row r="729" spans="1:59" ht="15.75" customHeight="1">
      <c r="A729" s="10"/>
      <c r="B729" s="183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</row>
    <row r="730" spans="1:59" ht="15.75" customHeight="1">
      <c r="A730" s="10"/>
      <c r="B730" s="183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</row>
    <row r="731" spans="1:59" ht="15.75" customHeight="1">
      <c r="A731" s="10"/>
      <c r="B731" s="183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</row>
    <row r="732" spans="1:59" ht="15.75" customHeight="1">
      <c r="A732" s="10"/>
      <c r="B732" s="183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</row>
    <row r="733" spans="1:59" ht="15.75" customHeight="1">
      <c r="A733" s="10"/>
      <c r="B733" s="183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</row>
    <row r="734" spans="1:59" ht="15.75" customHeight="1">
      <c r="A734" s="10"/>
      <c r="B734" s="183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</row>
    <row r="735" spans="1:59" ht="15.75" customHeight="1">
      <c r="A735" s="10"/>
      <c r="B735" s="183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</row>
    <row r="736" spans="1:59" ht="15.75" customHeight="1">
      <c r="A736" s="10"/>
      <c r="B736" s="183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</row>
    <row r="737" spans="1:59" ht="15.75" customHeight="1">
      <c r="A737" s="10"/>
      <c r="B737" s="183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</row>
    <row r="738" spans="1:59" ht="15.75" customHeight="1">
      <c r="A738" s="10"/>
      <c r="B738" s="183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</row>
    <row r="739" spans="1:59" ht="15.75" customHeight="1">
      <c r="A739" s="10"/>
      <c r="B739" s="183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</row>
    <row r="740" spans="1:59" ht="15.75" customHeight="1">
      <c r="A740" s="10"/>
      <c r="B740" s="183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</row>
    <row r="741" spans="1:59" ht="15.75" customHeight="1">
      <c r="A741" s="10"/>
      <c r="B741" s="183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</row>
    <row r="742" spans="1:59" ht="15.75" customHeight="1">
      <c r="A742" s="10"/>
      <c r="B742" s="183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</row>
    <row r="743" spans="1:59" ht="15.75" customHeight="1">
      <c r="A743" s="10"/>
      <c r="B743" s="183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</row>
    <row r="744" spans="1:59" ht="15.75" customHeight="1">
      <c r="A744" s="10"/>
      <c r="B744" s="183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</row>
    <row r="745" spans="1:59" ht="15.75" customHeight="1">
      <c r="A745" s="10"/>
      <c r="B745" s="183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</row>
    <row r="746" spans="1:59" ht="15.75" customHeight="1">
      <c r="A746" s="10"/>
      <c r="B746" s="183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</row>
    <row r="747" spans="1:59" ht="15.75" customHeight="1">
      <c r="A747" s="10"/>
      <c r="B747" s="183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</row>
    <row r="748" spans="1:59" ht="15.75" customHeight="1">
      <c r="A748" s="10"/>
      <c r="B748" s="183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</row>
    <row r="749" spans="1:59" ht="15.75" customHeight="1">
      <c r="A749" s="10"/>
      <c r="B749" s="183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</row>
    <row r="750" spans="1:59" ht="15.75" customHeight="1">
      <c r="A750" s="10"/>
      <c r="B750" s="183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</row>
    <row r="751" spans="1:59" ht="15.75" customHeight="1">
      <c r="A751" s="10"/>
      <c r="B751" s="183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</row>
    <row r="752" spans="1:59" ht="15.75" customHeight="1">
      <c r="A752" s="10"/>
      <c r="B752" s="183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</row>
    <row r="753" spans="1:59" ht="15.75" customHeight="1">
      <c r="A753" s="10"/>
      <c r="B753" s="183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</row>
    <row r="754" spans="1:59" ht="15.75" customHeight="1">
      <c r="A754" s="10"/>
      <c r="B754" s="183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</row>
    <row r="755" spans="1:59" ht="15.75" customHeight="1">
      <c r="A755" s="10"/>
      <c r="B755" s="183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</row>
    <row r="756" spans="1:59" ht="15.75" customHeight="1">
      <c r="A756" s="10"/>
      <c r="B756" s="183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</row>
    <row r="757" spans="1:59" ht="15.75" customHeight="1">
      <c r="A757" s="10"/>
      <c r="B757" s="183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</row>
    <row r="758" spans="1:59" ht="15.75" customHeight="1">
      <c r="A758" s="10"/>
      <c r="B758" s="183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</row>
    <row r="759" spans="1:59" ht="15.75" customHeight="1">
      <c r="A759" s="10"/>
      <c r="B759" s="183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</row>
    <row r="760" spans="1:59" ht="15.75" customHeight="1">
      <c r="A760" s="10"/>
      <c r="B760" s="183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</row>
    <row r="761" spans="1:59" ht="15.75" customHeight="1">
      <c r="A761" s="10"/>
      <c r="B761" s="183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</row>
    <row r="762" spans="1:59" ht="15.75" customHeight="1">
      <c r="A762" s="10"/>
      <c r="B762" s="183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</row>
    <row r="763" spans="1:59" ht="15.75" customHeight="1">
      <c r="A763" s="10"/>
      <c r="B763" s="183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</row>
    <row r="764" spans="1:59" ht="15.75" customHeight="1">
      <c r="A764" s="10"/>
      <c r="B764" s="183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</row>
    <row r="765" spans="1:59" ht="15.75" customHeight="1">
      <c r="A765" s="10"/>
      <c r="B765" s="183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</row>
    <row r="766" spans="1:59" ht="15.75" customHeight="1">
      <c r="A766" s="10"/>
      <c r="B766" s="183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</row>
    <row r="767" spans="1:59" ht="15.75" customHeight="1">
      <c r="A767" s="10"/>
      <c r="B767" s="183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</row>
    <row r="768" spans="1:59" ht="15.75" customHeight="1">
      <c r="A768" s="10"/>
      <c r="B768" s="183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</row>
    <row r="769" spans="1:59" ht="15.75" customHeight="1">
      <c r="A769" s="10"/>
      <c r="B769" s="183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</row>
    <row r="770" spans="1:59" ht="15.75" customHeight="1">
      <c r="A770" s="10"/>
      <c r="B770" s="183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</row>
    <row r="771" spans="1:59" ht="15.75" customHeight="1">
      <c r="A771" s="10"/>
      <c r="B771" s="183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</row>
    <row r="772" spans="1:59" ht="15.75" customHeight="1">
      <c r="A772" s="10"/>
      <c r="B772" s="183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</row>
    <row r="773" spans="1:59" ht="15.75" customHeight="1">
      <c r="A773" s="10"/>
      <c r="B773" s="183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</row>
    <row r="774" spans="1:59" ht="15.75" customHeight="1">
      <c r="A774" s="10"/>
      <c r="B774" s="183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</row>
    <row r="775" spans="1:59" ht="15.75" customHeight="1">
      <c r="A775" s="10"/>
      <c r="B775" s="183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</row>
    <row r="776" spans="1:59" ht="15.75" customHeight="1">
      <c r="A776" s="10"/>
      <c r="B776" s="183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</row>
    <row r="777" spans="1:59" ht="15.75" customHeight="1">
      <c r="A777" s="10"/>
      <c r="B777" s="183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</row>
    <row r="778" spans="1:59" ht="15.75" customHeight="1">
      <c r="A778" s="10"/>
      <c r="B778" s="183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</row>
    <row r="779" spans="1:59" ht="15.75" customHeight="1">
      <c r="A779" s="10"/>
      <c r="B779" s="183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</row>
    <row r="780" spans="1:59" ht="15.75" customHeight="1">
      <c r="A780" s="10"/>
      <c r="B780" s="183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</row>
    <row r="781" spans="1:59" ht="15.75" customHeight="1">
      <c r="A781" s="10"/>
      <c r="B781" s="183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</row>
    <row r="782" spans="1:59" ht="15.75" customHeight="1">
      <c r="A782" s="10"/>
      <c r="B782" s="183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</row>
    <row r="783" spans="1:59" ht="15.75" customHeight="1">
      <c r="A783" s="10"/>
      <c r="B783" s="183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</row>
    <row r="784" spans="1:59" ht="15.75" customHeight="1">
      <c r="A784" s="10"/>
      <c r="B784" s="183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</row>
    <row r="785" spans="1:59" ht="15.75" customHeight="1">
      <c r="A785" s="10"/>
      <c r="B785" s="183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</row>
    <row r="786" spans="1:59" ht="15.75" customHeight="1">
      <c r="A786" s="10"/>
      <c r="B786" s="183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</row>
    <row r="787" spans="1:59" ht="15.75" customHeight="1">
      <c r="A787" s="10"/>
      <c r="B787" s="183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</row>
    <row r="788" spans="1:59" ht="15.75" customHeight="1">
      <c r="A788" s="10"/>
      <c r="B788" s="183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</row>
    <row r="789" spans="1:59" ht="15.75" customHeight="1">
      <c r="A789" s="10"/>
      <c r="B789" s="183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</row>
    <row r="790" spans="1:59" ht="15.75" customHeight="1">
      <c r="A790" s="10"/>
      <c r="B790" s="183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</row>
    <row r="791" spans="1:59" ht="15.75" customHeight="1">
      <c r="A791" s="10"/>
      <c r="B791" s="183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</row>
    <row r="792" spans="1:59" ht="15.75" customHeight="1">
      <c r="A792" s="10"/>
      <c r="B792" s="183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</row>
    <row r="793" spans="1:59" ht="15.75" customHeight="1">
      <c r="A793" s="10"/>
      <c r="B793" s="183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</row>
    <row r="794" spans="1:59" ht="15.75" customHeight="1">
      <c r="A794" s="10"/>
      <c r="B794" s="183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</row>
    <row r="795" spans="1:59" ht="15.75" customHeight="1">
      <c r="A795" s="10"/>
      <c r="B795" s="183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</row>
    <row r="796" spans="1:59" ht="15.75" customHeight="1">
      <c r="A796" s="10"/>
      <c r="B796" s="183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</row>
    <row r="797" spans="1:59" ht="15.75" customHeight="1">
      <c r="A797" s="10"/>
      <c r="B797" s="183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</row>
    <row r="798" spans="1:59" ht="15.75" customHeight="1">
      <c r="A798" s="10"/>
      <c r="B798" s="183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</row>
    <row r="799" spans="1:59" ht="15.75" customHeight="1">
      <c r="A799" s="10"/>
      <c r="B799" s="183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</row>
    <row r="800" spans="1:59" ht="15.75" customHeight="1">
      <c r="A800" s="10"/>
      <c r="B800" s="183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</row>
    <row r="801" spans="1:59" ht="15.75" customHeight="1">
      <c r="A801" s="10"/>
      <c r="B801" s="183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</row>
    <row r="802" spans="1:59" ht="15.75" customHeight="1">
      <c r="A802" s="10"/>
      <c r="B802" s="183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</row>
    <row r="803" spans="1:59" ht="15.75" customHeight="1">
      <c r="A803" s="10"/>
      <c r="B803" s="183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</row>
    <row r="804" spans="1:59" ht="15.75" customHeight="1">
      <c r="A804" s="10"/>
      <c r="B804" s="183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</row>
    <row r="805" spans="1:59" ht="15.75" customHeight="1">
      <c r="A805" s="10"/>
      <c r="B805" s="183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</row>
    <row r="806" spans="1:59" ht="15.75" customHeight="1">
      <c r="A806" s="10"/>
      <c r="B806" s="183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</row>
    <row r="807" spans="1:59" ht="15.75" customHeight="1">
      <c r="A807" s="10"/>
      <c r="B807" s="183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</row>
    <row r="808" spans="1:59" ht="15.75" customHeight="1">
      <c r="A808" s="10"/>
      <c r="B808" s="183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</row>
    <row r="809" spans="1:59" ht="15.75" customHeight="1">
      <c r="A809" s="10"/>
      <c r="B809" s="183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</row>
    <row r="810" spans="1:59" ht="15.75" customHeight="1">
      <c r="A810" s="10"/>
      <c r="B810" s="183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</row>
    <row r="811" spans="1:59" ht="15.75" customHeight="1">
      <c r="A811" s="10"/>
      <c r="B811" s="183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</row>
    <row r="812" spans="1:59" ht="15.75" customHeight="1">
      <c r="A812" s="10"/>
      <c r="B812" s="183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</row>
    <row r="813" spans="1:59" ht="15.75" customHeight="1">
      <c r="A813" s="10"/>
      <c r="B813" s="183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</row>
    <row r="814" spans="1:59" ht="15.75" customHeight="1">
      <c r="A814" s="10"/>
      <c r="B814" s="183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</row>
    <row r="815" spans="1:59" ht="15.75" customHeight="1">
      <c r="A815" s="10"/>
      <c r="B815" s="183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</row>
    <row r="816" spans="1:59" ht="15.75" customHeight="1">
      <c r="A816" s="10"/>
      <c r="B816" s="183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</row>
    <row r="817" spans="1:59" ht="15.75" customHeight="1">
      <c r="A817" s="10"/>
      <c r="B817" s="183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</row>
    <row r="818" spans="1:59" ht="15.75" customHeight="1">
      <c r="A818" s="10"/>
      <c r="B818" s="183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</row>
    <row r="819" spans="1:59" ht="15.75" customHeight="1">
      <c r="A819" s="10"/>
      <c r="B819" s="183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</row>
    <row r="820" spans="1:59" ht="15.75" customHeight="1">
      <c r="A820" s="10"/>
      <c r="B820" s="183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</row>
    <row r="821" spans="1:59" ht="15.75" customHeight="1">
      <c r="A821" s="10"/>
      <c r="B821" s="183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</row>
    <row r="822" spans="1:59" ht="15.75" customHeight="1">
      <c r="A822" s="10"/>
      <c r="B822" s="183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</row>
    <row r="823" spans="1:59" ht="15.75" customHeight="1">
      <c r="A823" s="10"/>
      <c r="B823" s="183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</row>
    <row r="824" spans="1:59" ht="15.75" customHeight="1">
      <c r="A824" s="10"/>
      <c r="B824" s="183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</row>
    <row r="825" spans="1:59" ht="15.75" customHeight="1">
      <c r="A825" s="10"/>
      <c r="B825" s="183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</row>
    <row r="826" spans="1:59" ht="15.75" customHeight="1">
      <c r="A826" s="10"/>
      <c r="B826" s="183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</row>
    <row r="827" spans="1:59" ht="15.75" customHeight="1">
      <c r="A827" s="10"/>
      <c r="B827" s="183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</row>
    <row r="828" spans="1:59" ht="15.75" customHeight="1">
      <c r="A828" s="10"/>
      <c r="B828" s="183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</row>
    <row r="829" spans="1:59" ht="15.75" customHeight="1">
      <c r="A829" s="10"/>
      <c r="B829" s="183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</row>
    <row r="830" spans="1:59" ht="15.75" customHeight="1">
      <c r="A830" s="10"/>
      <c r="B830" s="183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</row>
    <row r="831" spans="1:59" ht="15.75" customHeight="1">
      <c r="A831" s="10"/>
      <c r="B831" s="183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</row>
    <row r="832" spans="1:59" ht="15.75" customHeight="1">
      <c r="A832" s="10"/>
      <c r="B832" s="183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</row>
    <row r="833" spans="1:59" ht="15.75" customHeight="1">
      <c r="A833" s="10"/>
      <c r="B833" s="183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</row>
    <row r="834" spans="1:59" ht="15.75" customHeight="1">
      <c r="A834" s="10"/>
      <c r="B834" s="183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</row>
    <row r="835" spans="1:59" ht="15.75" customHeight="1">
      <c r="A835" s="10"/>
      <c r="B835" s="183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</row>
    <row r="836" spans="1:59" ht="15.75" customHeight="1">
      <c r="A836" s="10"/>
      <c r="B836" s="183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</row>
    <row r="837" spans="1:59" ht="15.75" customHeight="1">
      <c r="A837" s="10"/>
      <c r="B837" s="183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</row>
    <row r="838" spans="1:59" ht="15.75" customHeight="1">
      <c r="A838" s="10"/>
      <c r="B838" s="183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</row>
    <row r="839" spans="1:59" ht="15.75" customHeight="1">
      <c r="A839" s="10"/>
      <c r="B839" s="183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</row>
    <row r="840" spans="1:59" ht="15.75" customHeight="1">
      <c r="A840" s="10"/>
      <c r="B840" s="183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</row>
    <row r="841" spans="1:59" ht="15.75" customHeight="1">
      <c r="A841" s="10"/>
      <c r="B841" s="183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</row>
    <row r="842" spans="1:59" ht="15.75" customHeight="1">
      <c r="A842" s="10"/>
      <c r="B842" s="183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</row>
    <row r="843" spans="1:59" ht="15.75" customHeight="1">
      <c r="A843" s="10"/>
      <c r="B843" s="183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</row>
    <row r="844" spans="1:59" ht="15.75" customHeight="1">
      <c r="A844" s="10"/>
      <c r="B844" s="183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</row>
    <row r="845" spans="1:59" ht="15.75" customHeight="1">
      <c r="A845" s="10"/>
      <c r="B845" s="183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</row>
    <row r="846" spans="1:59" ht="15.75" customHeight="1">
      <c r="A846" s="10"/>
      <c r="B846" s="183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</row>
    <row r="847" spans="1:59" ht="15.75" customHeight="1">
      <c r="A847" s="10"/>
      <c r="B847" s="183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</row>
    <row r="848" spans="1:59" ht="15.75" customHeight="1">
      <c r="A848" s="10"/>
      <c r="B848" s="183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</row>
    <row r="849" spans="1:59" ht="15.75" customHeight="1">
      <c r="A849" s="10"/>
      <c r="B849" s="183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</row>
    <row r="850" spans="1:59" ht="15.75" customHeight="1">
      <c r="A850" s="10"/>
      <c r="B850" s="183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</row>
    <row r="851" spans="1:59" ht="15.75" customHeight="1">
      <c r="A851" s="10"/>
      <c r="B851" s="183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</row>
    <row r="852" spans="1:59" ht="15.75" customHeight="1">
      <c r="A852" s="10"/>
      <c r="B852" s="183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</row>
    <row r="853" spans="1:59" ht="15.75" customHeight="1">
      <c r="A853" s="10"/>
      <c r="B853" s="183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</row>
    <row r="854" spans="1:59" ht="15.75" customHeight="1">
      <c r="A854" s="10"/>
      <c r="B854" s="183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</row>
    <row r="855" spans="1:59" ht="15.75" customHeight="1">
      <c r="A855" s="10"/>
      <c r="B855" s="183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</row>
    <row r="856" spans="1:59" ht="15.75" customHeight="1">
      <c r="A856" s="10"/>
      <c r="B856" s="183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</row>
    <row r="857" spans="1:59" ht="15.75" customHeight="1">
      <c r="A857" s="10"/>
      <c r="B857" s="183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</row>
    <row r="858" spans="1:59" ht="15.75" customHeight="1">
      <c r="A858" s="10"/>
      <c r="B858" s="183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</row>
    <row r="859" spans="1:59" ht="15.75" customHeight="1">
      <c r="A859" s="10"/>
      <c r="B859" s="183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</row>
    <row r="860" spans="1:59" ht="15.75" customHeight="1">
      <c r="A860" s="10"/>
      <c r="B860" s="183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</row>
    <row r="861" spans="1:59" ht="15.75" customHeight="1">
      <c r="A861" s="10"/>
      <c r="B861" s="183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</row>
    <row r="862" spans="1:59" ht="15.75" customHeight="1">
      <c r="A862" s="10"/>
      <c r="B862" s="183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</row>
    <row r="863" spans="1:59" ht="15.75" customHeight="1">
      <c r="A863" s="10"/>
      <c r="B863" s="183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</row>
    <row r="864" spans="1:59" ht="15.75" customHeight="1">
      <c r="A864" s="10"/>
      <c r="B864" s="183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</row>
    <row r="865" spans="1:59" ht="15.75" customHeight="1">
      <c r="A865" s="10"/>
      <c r="B865" s="183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</row>
    <row r="866" spans="1:59" ht="15.75" customHeight="1">
      <c r="A866" s="10"/>
      <c r="B866" s="183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</row>
    <row r="867" spans="1:59" ht="15.75" customHeight="1">
      <c r="A867" s="10"/>
      <c r="B867" s="183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</row>
    <row r="868" spans="1:59" ht="15.75" customHeight="1">
      <c r="A868" s="10"/>
      <c r="B868" s="183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</row>
    <row r="869" spans="1:59" ht="15.75" customHeight="1">
      <c r="A869" s="10"/>
      <c r="B869" s="183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</row>
    <row r="870" spans="1:59" ht="15.75" customHeight="1">
      <c r="A870" s="10"/>
      <c r="B870" s="183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</row>
    <row r="871" spans="1:59" ht="15.75" customHeight="1">
      <c r="A871" s="10"/>
      <c r="B871" s="183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</row>
    <row r="872" spans="1:59" ht="15.75" customHeight="1">
      <c r="A872" s="10"/>
      <c r="B872" s="183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</row>
    <row r="873" spans="1:59" ht="15.75" customHeight="1">
      <c r="A873" s="10"/>
      <c r="B873" s="183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</row>
    <row r="874" spans="1:59" ht="15.75" customHeight="1">
      <c r="A874" s="10"/>
      <c r="B874" s="183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</row>
    <row r="875" spans="1:59" ht="15.75" customHeight="1">
      <c r="A875" s="10"/>
      <c r="B875" s="183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</row>
    <row r="876" spans="1:59" ht="15.75" customHeight="1">
      <c r="A876" s="10"/>
      <c r="B876" s="183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</row>
    <row r="877" spans="1:59" ht="15.75" customHeight="1">
      <c r="A877" s="10"/>
      <c r="B877" s="183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</row>
    <row r="878" spans="1:59" ht="15.75" customHeight="1">
      <c r="A878" s="10"/>
      <c r="B878" s="183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</row>
    <row r="879" spans="1:59" ht="15.75" customHeight="1">
      <c r="A879" s="10"/>
      <c r="B879" s="183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</row>
    <row r="880" spans="1:59" ht="15.75" customHeight="1">
      <c r="A880" s="10"/>
      <c r="B880" s="183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</row>
    <row r="881" spans="1:59" ht="15.75" customHeight="1">
      <c r="A881" s="10"/>
      <c r="B881" s="183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</row>
    <row r="882" spans="1:59" ht="15.75" customHeight="1">
      <c r="A882" s="10"/>
      <c r="B882" s="183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</row>
    <row r="883" spans="1:59" ht="15.75" customHeight="1">
      <c r="A883" s="10"/>
      <c r="B883" s="183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</row>
    <row r="884" spans="1:59" ht="15.75" customHeight="1">
      <c r="A884" s="10"/>
      <c r="B884" s="183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</row>
    <row r="885" spans="1:59" ht="15.75" customHeight="1">
      <c r="A885" s="10"/>
      <c r="B885" s="183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</row>
    <row r="886" spans="1:59" ht="15.75" customHeight="1">
      <c r="A886" s="10"/>
      <c r="B886" s="183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</row>
    <row r="887" spans="1:59" ht="15.75" customHeight="1">
      <c r="A887" s="10"/>
      <c r="B887" s="183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</row>
    <row r="888" spans="1:59" ht="15.75" customHeight="1">
      <c r="A888" s="10"/>
      <c r="B888" s="183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</row>
    <row r="889" spans="1:59" ht="15.75" customHeight="1">
      <c r="A889" s="10"/>
      <c r="B889" s="183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</row>
    <row r="890" spans="1:59" ht="15.75" customHeight="1">
      <c r="A890" s="10"/>
      <c r="B890" s="183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</row>
    <row r="891" spans="1:59" ht="15.75" customHeight="1">
      <c r="A891" s="10"/>
      <c r="B891" s="183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</row>
    <row r="892" spans="1:59" ht="15.75" customHeight="1">
      <c r="A892" s="10"/>
      <c r="B892" s="183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</row>
    <row r="893" spans="1:59" ht="15.75" customHeight="1">
      <c r="A893" s="10"/>
      <c r="B893" s="183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</row>
    <row r="894" spans="1:59" ht="15.75" customHeight="1">
      <c r="A894" s="10"/>
      <c r="B894" s="183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</row>
    <row r="895" spans="1:59" ht="15.75" customHeight="1">
      <c r="A895" s="10"/>
      <c r="B895" s="183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</row>
    <row r="896" spans="1:59" ht="15.75" customHeight="1">
      <c r="A896" s="10"/>
      <c r="B896" s="183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</row>
    <row r="897" spans="1:59" ht="15.75" customHeight="1">
      <c r="A897" s="10"/>
      <c r="B897" s="183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</row>
    <row r="898" spans="1:59" ht="15.75" customHeight="1">
      <c r="A898" s="10"/>
      <c r="B898" s="183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</row>
    <row r="899" spans="1:59" ht="15.75" customHeight="1">
      <c r="A899" s="10"/>
      <c r="B899" s="183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</row>
    <row r="900" spans="1:59" ht="15.75" customHeight="1">
      <c r="A900" s="10"/>
      <c r="B900" s="183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</row>
    <row r="901" spans="1:59" ht="15.75" customHeight="1">
      <c r="A901" s="10"/>
      <c r="B901" s="183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</row>
    <row r="902" spans="1:59" ht="15.75" customHeight="1">
      <c r="A902" s="10"/>
      <c r="B902" s="183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</row>
    <row r="903" spans="1:59" ht="15.75" customHeight="1">
      <c r="A903" s="10"/>
      <c r="B903" s="183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</row>
    <row r="904" spans="1:59" ht="15.75" customHeight="1">
      <c r="A904" s="10"/>
      <c r="B904" s="183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</row>
    <row r="905" spans="1:59" ht="15.75" customHeight="1">
      <c r="A905" s="10"/>
      <c r="B905" s="183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</row>
    <row r="906" spans="1:59" ht="15.75" customHeight="1">
      <c r="A906" s="10"/>
      <c r="B906" s="183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</row>
    <row r="907" spans="1:59" ht="15.75" customHeight="1">
      <c r="A907" s="10"/>
      <c r="B907" s="183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</row>
    <row r="908" spans="1:59" ht="15.75" customHeight="1">
      <c r="A908" s="10"/>
      <c r="B908" s="183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</row>
    <row r="909" spans="1:59" ht="15.75" customHeight="1">
      <c r="A909" s="10"/>
      <c r="B909" s="183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</row>
    <row r="910" spans="1:59" ht="15.75" customHeight="1">
      <c r="A910" s="10"/>
      <c r="B910" s="183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</row>
    <row r="911" spans="1:59" ht="15.75" customHeight="1">
      <c r="A911" s="10"/>
      <c r="B911" s="183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</row>
    <row r="912" spans="1:59" ht="15.75" customHeight="1">
      <c r="A912" s="10"/>
      <c r="B912" s="183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</row>
    <row r="913" spans="1:59" ht="15.75" customHeight="1">
      <c r="A913" s="10"/>
      <c r="B913" s="183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</row>
    <row r="914" spans="1:59" ht="15.75" customHeight="1">
      <c r="A914" s="10"/>
      <c r="B914" s="183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</row>
    <row r="915" spans="1:59" ht="15.75" customHeight="1">
      <c r="A915" s="10"/>
      <c r="B915" s="183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</row>
    <row r="916" spans="1:59" ht="15.75" customHeight="1">
      <c r="A916" s="10"/>
      <c r="B916" s="183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</row>
    <row r="917" spans="1:59" ht="15.75" customHeight="1">
      <c r="A917" s="10"/>
      <c r="B917" s="183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</row>
    <row r="918" spans="1:59" ht="15.75" customHeight="1">
      <c r="A918" s="10"/>
      <c r="B918" s="183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</row>
    <row r="919" spans="1:59" ht="15.75" customHeight="1">
      <c r="A919" s="10"/>
      <c r="B919" s="183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</row>
    <row r="920" spans="1:59" ht="15.75" customHeight="1">
      <c r="A920" s="10"/>
      <c r="B920" s="183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</row>
    <row r="921" spans="1:59" ht="15.75" customHeight="1">
      <c r="A921" s="10"/>
      <c r="B921" s="183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</row>
    <row r="922" spans="1:59" ht="15.75" customHeight="1">
      <c r="A922" s="10"/>
      <c r="B922" s="183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</row>
    <row r="923" spans="1:59" ht="15.75" customHeight="1">
      <c r="A923" s="10"/>
      <c r="B923" s="183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</row>
    <row r="924" spans="1:59" ht="15.75" customHeight="1">
      <c r="A924" s="10"/>
      <c r="B924" s="183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</row>
    <row r="925" spans="1:59" ht="15.75" customHeight="1">
      <c r="A925" s="10"/>
      <c r="B925" s="183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</row>
    <row r="926" spans="1:59" ht="15.75" customHeight="1">
      <c r="A926" s="10"/>
      <c r="B926" s="183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</row>
    <row r="927" spans="1:59" ht="15.75" customHeight="1">
      <c r="A927" s="10"/>
      <c r="B927" s="183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</row>
    <row r="928" spans="1:59" ht="15.75" customHeight="1">
      <c r="A928" s="10"/>
      <c r="B928" s="183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</row>
    <row r="929" spans="1:59" ht="15.75" customHeight="1">
      <c r="A929" s="10"/>
      <c r="B929" s="183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</row>
    <row r="930" spans="1:59" ht="15.75" customHeight="1">
      <c r="A930" s="10"/>
      <c r="B930" s="183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</row>
    <row r="931" spans="1:59" ht="15.75" customHeight="1">
      <c r="A931" s="10"/>
      <c r="B931" s="183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</row>
    <row r="932" spans="1:59" ht="15.75" customHeight="1">
      <c r="A932" s="10"/>
      <c r="B932" s="183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</row>
    <row r="933" spans="1:59" ht="15.75" customHeight="1">
      <c r="A933" s="10"/>
      <c r="B933" s="183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</row>
    <row r="934" spans="1:59" ht="15.75" customHeight="1">
      <c r="A934" s="10"/>
      <c r="B934" s="183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</row>
    <row r="935" spans="1:59" ht="15.75" customHeight="1">
      <c r="A935" s="10"/>
      <c r="B935" s="183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</row>
    <row r="936" spans="1:59" ht="15.75" customHeight="1">
      <c r="A936" s="10"/>
      <c r="B936" s="183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</row>
    <row r="937" spans="1:59" ht="15.75" customHeight="1">
      <c r="A937" s="10"/>
      <c r="B937" s="183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</row>
    <row r="938" spans="1:59" ht="15.75" customHeight="1">
      <c r="A938" s="10"/>
      <c r="B938" s="183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</row>
    <row r="939" spans="1:59" ht="15.75" customHeight="1">
      <c r="A939" s="10"/>
      <c r="B939" s="183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</row>
    <row r="940" spans="1:59" ht="15.75" customHeight="1">
      <c r="A940" s="10"/>
      <c r="B940" s="183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</row>
    <row r="941" spans="1:59" ht="15.75" customHeight="1">
      <c r="A941" s="10"/>
      <c r="B941" s="183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</row>
    <row r="942" spans="1:59" ht="15.75" customHeight="1">
      <c r="A942" s="10"/>
      <c r="B942" s="183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</row>
    <row r="943" spans="1:59" ht="15.75" customHeight="1">
      <c r="A943" s="10"/>
      <c r="B943" s="183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</row>
    <row r="944" spans="1:59" ht="15.75" customHeight="1">
      <c r="A944" s="10"/>
      <c r="B944" s="183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</row>
    <row r="945" spans="1:59" ht="15.75" customHeight="1">
      <c r="A945" s="10"/>
      <c r="B945" s="183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</row>
    <row r="946" spans="1:59" ht="15.75" customHeight="1">
      <c r="A946" s="10"/>
      <c r="B946" s="183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</row>
    <row r="947" spans="1:59" ht="15.75" customHeight="1">
      <c r="A947" s="10"/>
      <c r="B947" s="183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</row>
    <row r="948" spans="1:59" ht="15.75" customHeight="1">
      <c r="A948" s="10"/>
      <c r="B948" s="183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</row>
    <row r="949" spans="1:59" ht="15.75" customHeight="1">
      <c r="A949" s="10"/>
      <c r="B949" s="183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</row>
    <row r="950" spans="1:59" ht="15.75" customHeight="1">
      <c r="A950" s="10"/>
      <c r="B950" s="183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</row>
    <row r="951" spans="1:59" ht="15.75" customHeight="1">
      <c r="A951" s="10"/>
      <c r="B951" s="183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</row>
    <row r="952" spans="1:59" ht="15.75" customHeight="1">
      <c r="A952" s="10"/>
      <c r="B952" s="183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</row>
    <row r="953" spans="1:59" ht="15.75" customHeight="1">
      <c r="A953" s="10"/>
      <c r="B953" s="183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</row>
    <row r="954" spans="1:59" ht="15.75" customHeight="1">
      <c r="A954" s="10"/>
      <c r="B954" s="183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</row>
    <row r="955" spans="1:59" ht="15.75" customHeight="1">
      <c r="A955" s="10"/>
      <c r="B955" s="183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</row>
    <row r="956" spans="1:59" ht="15.75" customHeight="1">
      <c r="A956" s="10"/>
      <c r="B956" s="183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</row>
    <row r="957" spans="1:59" ht="15.75" customHeight="1">
      <c r="A957" s="10"/>
      <c r="B957" s="183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</row>
    <row r="958" spans="1:59" ht="15.75" customHeight="1">
      <c r="A958" s="10"/>
      <c r="B958" s="183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</row>
    <row r="959" spans="1:59" ht="15.75" customHeight="1">
      <c r="A959" s="10"/>
      <c r="B959" s="183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</row>
    <row r="960" spans="1:59" ht="15.75" customHeight="1">
      <c r="A960" s="10"/>
      <c r="B960" s="183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</row>
    <row r="961" spans="1:59" ht="15.75" customHeight="1">
      <c r="A961" s="10"/>
      <c r="B961" s="183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</row>
    <row r="962" spans="1:59" ht="15.75" customHeight="1">
      <c r="A962" s="10"/>
      <c r="B962" s="183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</row>
    <row r="963" spans="1:59" ht="15.75" customHeight="1">
      <c r="A963" s="10"/>
      <c r="B963" s="183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</row>
    <row r="964" spans="1:59" ht="15.75" customHeight="1">
      <c r="A964" s="10"/>
      <c r="B964" s="183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</row>
    <row r="965" spans="1:59" ht="15.75" customHeight="1">
      <c r="A965" s="10"/>
      <c r="B965" s="183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</row>
    <row r="966" spans="1:59" ht="15.75" customHeight="1">
      <c r="A966" s="10"/>
      <c r="B966" s="183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</row>
    <row r="967" spans="1:59" ht="15.75" customHeight="1">
      <c r="A967" s="10"/>
      <c r="B967" s="183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</row>
    <row r="968" spans="1:59" ht="15.75" customHeight="1">
      <c r="A968" s="10"/>
      <c r="B968" s="183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</row>
    <row r="969" spans="1:59" ht="15.75" customHeight="1">
      <c r="A969" s="10"/>
      <c r="B969" s="183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</row>
    <row r="970" spans="1:59" ht="15.75" customHeight="1">
      <c r="A970" s="10"/>
      <c r="B970" s="183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</row>
    <row r="971" spans="1:59" ht="15.75" customHeight="1">
      <c r="A971" s="10"/>
      <c r="B971" s="183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</row>
    <row r="972" spans="1:59" ht="15.75" customHeight="1">
      <c r="A972" s="10"/>
      <c r="B972" s="183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</row>
    <row r="973" spans="1:59" ht="15.75" customHeight="1">
      <c r="A973" s="10"/>
      <c r="B973" s="183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</row>
    <row r="974" spans="1:59" ht="15.75" customHeight="1">
      <c r="A974" s="10"/>
      <c r="B974" s="183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</row>
    <row r="975" spans="1:59" ht="15.75" customHeight="1">
      <c r="A975" s="10"/>
      <c r="B975" s="183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</row>
    <row r="976" spans="1:59" ht="15.75" customHeight="1">
      <c r="A976" s="10"/>
      <c r="B976" s="183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</row>
    <row r="977" spans="1:59" ht="15.75" customHeight="1">
      <c r="A977" s="10"/>
      <c r="B977" s="183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</row>
    <row r="978" spans="1:59" ht="15.75" customHeight="1">
      <c r="A978" s="10"/>
      <c r="B978" s="183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</row>
    <row r="979" spans="1:59" ht="15.75" customHeight="1">
      <c r="A979" s="10"/>
      <c r="B979" s="183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</row>
    <row r="980" spans="1:59" ht="15.75" customHeight="1">
      <c r="A980" s="10"/>
      <c r="B980" s="183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</row>
    <row r="981" spans="1:59" ht="15.75" customHeight="1">
      <c r="A981" s="10"/>
      <c r="B981" s="183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</row>
    <row r="982" spans="1:59" ht="15.75" customHeight="1">
      <c r="A982" s="10"/>
      <c r="B982" s="183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</row>
    <row r="983" spans="1:59" ht="15.75" customHeight="1">
      <c r="A983" s="10"/>
      <c r="B983" s="183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</row>
    <row r="984" spans="1:59" ht="15.75" customHeight="1">
      <c r="A984" s="10"/>
      <c r="B984" s="183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</row>
    <row r="985" spans="1:59" ht="15.75" customHeight="1">
      <c r="A985" s="10"/>
      <c r="B985" s="183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</row>
    <row r="986" spans="1:59" ht="15.75" customHeight="1">
      <c r="A986" s="10"/>
      <c r="B986" s="183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</row>
    <row r="987" spans="1:59" ht="15.75" customHeight="1">
      <c r="A987" s="10"/>
      <c r="B987" s="183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</row>
    <row r="988" spans="1:59" ht="15.75" customHeight="1">
      <c r="A988" s="10"/>
      <c r="B988" s="183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</row>
    <row r="989" spans="1:59" ht="15.75" customHeight="1">
      <c r="A989" s="10"/>
      <c r="B989" s="183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</row>
    <row r="990" spans="1:59" ht="15.75" customHeight="1">
      <c r="A990" s="10"/>
      <c r="B990" s="183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</row>
    <row r="991" spans="1:59" ht="15.75" customHeight="1">
      <c r="A991" s="10"/>
      <c r="B991" s="183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</row>
    <row r="992" spans="1:59" ht="15.75" customHeight="1">
      <c r="A992" s="10"/>
      <c r="B992" s="183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</row>
    <row r="993" spans="1:59" ht="15.75" customHeight="1">
      <c r="A993" s="10"/>
      <c r="B993" s="183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</row>
    <row r="994" spans="1:59" ht="15.75" customHeight="1">
      <c r="A994" s="10"/>
      <c r="B994" s="183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</row>
    <row r="995" spans="1:59" ht="15.75" customHeight="1">
      <c r="A995" s="10"/>
      <c r="B995" s="183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</row>
    <row r="996" spans="1:59" ht="15.75" customHeight="1">
      <c r="A996" s="10"/>
      <c r="B996" s="183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</row>
    <row r="997" spans="1:59" ht="15.75" customHeight="1">
      <c r="A997" s="10"/>
      <c r="B997" s="183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</row>
    <row r="998" spans="1:59" ht="15.75" customHeight="1">
      <c r="A998" s="10"/>
      <c r="B998" s="183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</row>
    <row r="999" spans="1:59" ht="15.75" customHeight="1">
      <c r="A999" s="10"/>
      <c r="B999" s="183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</row>
    <row r="1000" spans="1:59" ht="15.75" customHeight="1">
      <c r="A1000" s="10"/>
      <c r="B1000" s="183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</row>
    <row r="1001" spans="1:59" ht="15.75" customHeight="1">
      <c r="A1001" s="10"/>
      <c r="B1001" s="183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</row>
  </sheetData>
  <pageMargins left="0.7" right="0.7" top="0.75" bottom="0.75" header="0" footer="0"/>
  <pageSetup orientation="portrait"/>
  <ignoredErrors>
    <ignoredError sqref="G63 G60 G54 J54 J60 J6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A1000"/>
  <sheetViews>
    <sheetView zoomScale="134" zoomScaleNormal="134" workbookViewId="0">
      <pane xSplit="1" ySplit="4" topLeftCell="AJ5" activePane="bottomRight" state="frozen"/>
      <selection pane="topRight" activeCell="B1" sqref="B1"/>
      <selection pane="bottomLeft" activeCell="A5" sqref="A5"/>
      <selection pane="bottomRight" activeCell="AY1" sqref="AY1:AY1048576"/>
    </sheetView>
  </sheetViews>
  <sheetFormatPr baseColWidth="10" defaultColWidth="20" defaultRowHeight="15" customHeight="1"/>
  <cols>
    <col min="1" max="1" width="22.6640625" customWidth="1"/>
    <col min="52" max="53" width="20" style="204"/>
  </cols>
  <sheetData>
    <row r="1" spans="1:53" ht="33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09"/>
      <c r="BA1" s="209"/>
    </row>
    <row r="2" spans="1:53" s="232" customFormat="1" ht="15.75" customHeight="1">
      <c r="A2" s="3" t="s">
        <v>1</v>
      </c>
      <c r="B2" s="4"/>
      <c r="C2" s="5"/>
      <c r="D2" s="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231"/>
      <c r="BA2" s="231"/>
    </row>
    <row r="3" spans="1:53" s="232" customFormat="1" ht="15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233"/>
      <c r="BA3" s="233"/>
    </row>
    <row r="4" spans="1:53" s="235" customFormat="1" ht="32">
      <c r="A4" s="12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22</v>
      </c>
      <c r="U4" s="16" t="s">
        <v>23</v>
      </c>
      <c r="V4" s="16" t="s">
        <v>24</v>
      </c>
      <c r="W4" s="16" t="s">
        <v>25</v>
      </c>
      <c r="X4" s="16" t="s">
        <v>26</v>
      </c>
      <c r="Y4" s="16" t="s">
        <v>27</v>
      </c>
      <c r="Z4" s="16" t="s">
        <v>28</v>
      </c>
      <c r="AA4" s="16" t="s">
        <v>29</v>
      </c>
      <c r="AB4" s="16" t="s">
        <v>30</v>
      </c>
      <c r="AC4" s="16" t="s">
        <v>31</v>
      </c>
      <c r="AD4" s="16" t="s">
        <v>32</v>
      </c>
      <c r="AE4" s="16" t="s">
        <v>33</v>
      </c>
      <c r="AF4" s="16" t="s">
        <v>34</v>
      </c>
      <c r="AG4" s="16" t="s">
        <v>35</v>
      </c>
      <c r="AH4" s="16" t="s">
        <v>36</v>
      </c>
      <c r="AI4" s="16" t="s">
        <v>37</v>
      </c>
      <c r="AJ4" s="16" t="s">
        <v>38</v>
      </c>
      <c r="AK4" s="16" t="s">
        <v>39</v>
      </c>
      <c r="AL4" s="16" t="s">
        <v>40</v>
      </c>
      <c r="AM4" s="16" t="s">
        <v>41</v>
      </c>
      <c r="AN4" s="16" t="s">
        <v>42</v>
      </c>
      <c r="AO4" s="16" t="s">
        <v>43</v>
      </c>
      <c r="AP4" s="16" t="s">
        <v>44</v>
      </c>
      <c r="AQ4" s="16" t="s">
        <v>45</v>
      </c>
      <c r="AR4" s="16" t="s">
        <v>46</v>
      </c>
      <c r="AS4" s="16" t="s">
        <v>47</v>
      </c>
      <c r="AT4" s="16" t="s">
        <v>48</v>
      </c>
      <c r="AU4" s="16" t="s">
        <v>49</v>
      </c>
      <c r="AV4" s="16" t="s">
        <v>50</v>
      </c>
      <c r="AW4" s="16" t="s">
        <v>51</v>
      </c>
      <c r="AX4" s="16" t="s">
        <v>52</v>
      </c>
      <c r="AY4" s="16" t="s">
        <v>53</v>
      </c>
      <c r="AZ4" s="234"/>
      <c r="BA4" s="234"/>
    </row>
    <row r="5" spans="1:53" ht="15.75" customHeight="1">
      <c r="A5" s="17" t="s">
        <v>54</v>
      </c>
      <c r="B5" s="19" t="s">
        <v>55</v>
      </c>
      <c r="C5" s="19" t="s">
        <v>55</v>
      </c>
      <c r="D5" s="19" t="s">
        <v>55</v>
      </c>
      <c r="E5" s="19" t="s">
        <v>55</v>
      </c>
      <c r="F5" s="19" t="s">
        <v>55</v>
      </c>
      <c r="G5" s="19" t="s">
        <v>56</v>
      </c>
      <c r="H5" s="19" t="s">
        <v>55</v>
      </c>
      <c r="I5" s="19" t="s">
        <v>57</v>
      </c>
      <c r="J5" s="19" t="s">
        <v>58</v>
      </c>
      <c r="K5" s="19" t="s">
        <v>59</v>
      </c>
      <c r="L5" s="19" t="s">
        <v>60</v>
      </c>
      <c r="M5" s="19" t="s">
        <v>61</v>
      </c>
      <c r="N5" s="19" t="s">
        <v>62</v>
      </c>
      <c r="O5" s="19" t="s">
        <v>63</v>
      </c>
      <c r="P5" s="19" t="s">
        <v>64</v>
      </c>
      <c r="Q5" s="19" t="s">
        <v>55</v>
      </c>
      <c r="R5" s="19" t="s">
        <v>65</v>
      </c>
      <c r="S5" s="19" t="s">
        <v>66</v>
      </c>
      <c r="T5" s="19" t="s">
        <v>55</v>
      </c>
      <c r="U5" s="19" t="s">
        <v>55</v>
      </c>
      <c r="V5" s="19" t="s">
        <v>67</v>
      </c>
      <c r="W5" s="19" t="s">
        <v>68</v>
      </c>
      <c r="X5" s="19" t="s">
        <v>69</v>
      </c>
      <c r="Y5" s="19" t="s">
        <v>68</v>
      </c>
      <c r="Z5" s="19" t="s">
        <v>55</v>
      </c>
      <c r="AA5" s="19" t="s">
        <v>68</v>
      </c>
      <c r="AB5" s="19" t="s">
        <v>68</v>
      </c>
      <c r="AC5" s="19" t="s">
        <v>70</v>
      </c>
      <c r="AD5" s="19" t="s">
        <v>71</v>
      </c>
      <c r="AE5" s="19" t="s">
        <v>67</v>
      </c>
      <c r="AF5" s="19" t="s">
        <v>72</v>
      </c>
      <c r="AG5" s="19" t="s">
        <v>73</v>
      </c>
      <c r="AH5" s="19" t="s">
        <v>74</v>
      </c>
      <c r="AI5" s="19" t="s">
        <v>75</v>
      </c>
      <c r="AJ5" s="19" t="s">
        <v>78</v>
      </c>
      <c r="AK5" s="37" t="s">
        <v>55</v>
      </c>
      <c r="AL5" s="19" t="s">
        <v>55</v>
      </c>
      <c r="AM5" s="19" t="s">
        <v>68</v>
      </c>
      <c r="AN5" s="19" t="s">
        <v>68</v>
      </c>
      <c r="AO5" s="19" t="s">
        <v>55</v>
      </c>
      <c r="AP5" s="19" t="s">
        <v>68</v>
      </c>
      <c r="AQ5" s="19" t="s">
        <v>82</v>
      </c>
      <c r="AR5" s="37" t="s">
        <v>83</v>
      </c>
      <c r="AS5" s="19" t="s">
        <v>68</v>
      </c>
      <c r="AT5" s="19" t="s">
        <v>84</v>
      </c>
      <c r="AU5" s="19" t="s">
        <v>68</v>
      </c>
      <c r="AV5" s="19" t="s">
        <v>68</v>
      </c>
      <c r="AW5" s="19" t="s">
        <v>68</v>
      </c>
      <c r="AX5" s="19" t="s">
        <v>68</v>
      </c>
      <c r="AY5" s="19" t="s">
        <v>68</v>
      </c>
      <c r="AZ5" s="210"/>
      <c r="BA5" s="211"/>
    </row>
    <row r="6" spans="1:53" ht="15.75" customHeight="1">
      <c r="A6" s="40">
        <v>1</v>
      </c>
      <c r="B6" s="42">
        <v>751000</v>
      </c>
      <c r="C6" s="44">
        <v>251000</v>
      </c>
      <c r="D6" s="42">
        <v>15000</v>
      </c>
      <c r="E6" s="44">
        <v>1200</v>
      </c>
      <c r="F6" s="46">
        <v>24000</v>
      </c>
      <c r="G6" s="42">
        <v>420</v>
      </c>
      <c r="H6" s="42">
        <v>1404000</v>
      </c>
      <c r="I6" s="46">
        <v>50000</v>
      </c>
      <c r="J6" s="46">
        <v>185000</v>
      </c>
      <c r="K6" s="42">
        <v>100000</v>
      </c>
      <c r="L6" s="42">
        <v>300</v>
      </c>
      <c r="M6" s="42">
        <v>375000</v>
      </c>
      <c r="N6" s="46">
        <v>121800</v>
      </c>
      <c r="O6" s="46">
        <v>7500</v>
      </c>
      <c r="P6" s="46">
        <v>160000</v>
      </c>
      <c r="Q6" s="46">
        <v>12000</v>
      </c>
      <c r="R6" s="46">
        <v>1200000</v>
      </c>
      <c r="S6" s="46">
        <v>640000</v>
      </c>
      <c r="T6" s="46">
        <v>160000</v>
      </c>
      <c r="U6" s="48" t="s">
        <v>88</v>
      </c>
      <c r="V6" s="46">
        <v>360000</v>
      </c>
      <c r="W6" s="46">
        <v>500</v>
      </c>
      <c r="X6" s="46">
        <v>400000</v>
      </c>
      <c r="Y6" s="46">
        <v>30000</v>
      </c>
      <c r="Z6" s="44">
        <v>1040</v>
      </c>
      <c r="AA6" s="42">
        <v>80000</v>
      </c>
      <c r="AB6" s="208">
        <v>1500</v>
      </c>
      <c r="AC6" s="44">
        <v>8200</v>
      </c>
      <c r="AD6" s="44">
        <v>1000</v>
      </c>
      <c r="AE6" s="42">
        <v>630000</v>
      </c>
      <c r="AF6" s="42">
        <v>250</v>
      </c>
      <c r="AG6" s="44">
        <v>2000</v>
      </c>
      <c r="AH6" s="46">
        <v>490000</v>
      </c>
      <c r="AI6" s="44">
        <v>800000</v>
      </c>
      <c r="AJ6" s="46">
        <v>10000</v>
      </c>
      <c r="AK6" s="51">
        <v>2</v>
      </c>
      <c r="AL6" s="51">
        <v>100</v>
      </c>
      <c r="AM6" s="57">
        <f>150+(2*$AM$44*Inputs!$AN$49)</f>
        <v>226.76923076923077</v>
      </c>
      <c r="AN6" s="51">
        <v>20</v>
      </c>
      <c r="AO6" s="57">
        <f>2*AO44*Inputs!AP49</f>
        <v>3.4597333333333333</v>
      </c>
      <c r="AP6" s="59">
        <v>14</v>
      </c>
      <c r="AQ6" s="44">
        <v>400000</v>
      </c>
      <c r="AR6" s="60">
        <v>148500</v>
      </c>
      <c r="AS6" s="60">
        <v>1000</v>
      </c>
      <c r="AT6" s="42">
        <v>60000</v>
      </c>
      <c r="AU6" s="42">
        <v>10000</v>
      </c>
      <c r="AV6" s="42">
        <v>2000</v>
      </c>
      <c r="AW6" s="59">
        <v>522</v>
      </c>
      <c r="AX6" s="42">
        <v>500000</v>
      </c>
      <c r="AY6" s="42">
        <v>25000</v>
      </c>
      <c r="AZ6" s="208"/>
      <c r="BA6" s="212"/>
    </row>
    <row r="7" spans="1:53" ht="15.75" customHeight="1">
      <c r="A7" s="40">
        <v>2</v>
      </c>
      <c r="B7" s="42">
        <v>502000</v>
      </c>
      <c r="C7" s="44">
        <v>127000</v>
      </c>
      <c r="D7" s="42">
        <v>35000</v>
      </c>
      <c r="E7" s="44">
        <v>6000</v>
      </c>
      <c r="F7" s="46">
        <v>31000</v>
      </c>
      <c r="G7" s="42">
        <v>560</v>
      </c>
      <c r="H7" s="42">
        <v>852000</v>
      </c>
      <c r="I7" s="46">
        <f>30*5000</f>
        <v>150000</v>
      </c>
      <c r="J7" s="46">
        <v>245000</v>
      </c>
      <c r="K7" s="42">
        <v>125000</v>
      </c>
      <c r="L7" s="42">
        <v>500</v>
      </c>
      <c r="M7" s="42">
        <v>787500</v>
      </c>
      <c r="N7" s="46">
        <v>457000</v>
      </c>
      <c r="O7" s="46">
        <v>7500</v>
      </c>
      <c r="P7" s="46">
        <v>210000</v>
      </c>
      <c r="Q7" s="46">
        <v>19200</v>
      </c>
      <c r="R7" s="46">
        <v>1200000</v>
      </c>
      <c r="S7" s="46">
        <v>640000</v>
      </c>
      <c r="T7" s="46">
        <v>220000</v>
      </c>
      <c r="U7" s="48" t="s">
        <v>102</v>
      </c>
      <c r="V7" s="46">
        <v>180000</v>
      </c>
      <c r="W7" s="46">
        <v>1000</v>
      </c>
      <c r="X7" s="46">
        <v>1100000</v>
      </c>
      <c r="Y7" s="46">
        <v>30000</v>
      </c>
      <c r="Z7" s="46">
        <v>580</v>
      </c>
      <c r="AA7" s="42">
        <v>85000</v>
      </c>
      <c r="AB7" s="208">
        <v>152</v>
      </c>
      <c r="AC7" s="44">
        <v>4900</v>
      </c>
      <c r="AD7" s="44">
        <v>1000</v>
      </c>
      <c r="AE7" s="42">
        <v>210000</v>
      </c>
      <c r="AF7" s="42">
        <v>700</v>
      </c>
      <c r="AG7" s="44">
        <v>4000</v>
      </c>
      <c r="AH7" s="46">
        <v>500000</v>
      </c>
      <c r="AI7" s="44">
        <v>90000</v>
      </c>
      <c r="AJ7" s="46">
        <v>20000</v>
      </c>
      <c r="AK7" s="57">
        <f>2000*AK44*Inputs!AL49</f>
        <v>22.681818181818183</v>
      </c>
      <c r="AL7" s="57">
        <f>5000*AL44*Inputs!AM49</f>
        <v>33.299999999999997</v>
      </c>
      <c r="AM7" s="57">
        <f>150+(2*$AM$44*Inputs!$AN$49)</f>
        <v>226.76923076923077</v>
      </c>
      <c r="AN7" s="51">
        <v>20</v>
      </c>
      <c r="AO7" s="59">
        <v>5</v>
      </c>
      <c r="AP7" s="59">
        <v>14</v>
      </c>
      <c r="AQ7" s="44">
        <v>300000</v>
      </c>
      <c r="AR7" s="46">
        <v>93600</v>
      </c>
      <c r="AS7" s="60">
        <v>1000</v>
      </c>
      <c r="AT7" s="42">
        <v>30000</v>
      </c>
      <c r="AU7" s="42">
        <v>15000</v>
      </c>
      <c r="AV7" s="42">
        <v>3000</v>
      </c>
      <c r="AW7" s="59">
        <v>522</v>
      </c>
      <c r="AX7" s="68">
        <f>(530286+((35*AX44)*Inputs!AY49))</f>
        <v>1578186</v>
      </c>
      <c r="AY7" s="42">
        <v>35000</v>
      </c>
      <c r="AZ7" s="213"/>
      <c r="BA7" s="214"/>
    </row>
    <row r="8" spans="1:53" ht="15.75" customHeight="1">
      <c r="A8" s="40">
        <v>3</v>
      </c>
      <c r="B8" s="42">
        <v>778000</v>
      </c>
      <c r="C8" s="44">
        <v>53000</v>
      </c>
      <c r="D8" s="42">
        <v>40000</v>
      </c>
      <c r="E8" s="44">
        <v>20250</v>
      </c>
      <c r="F8" s="46">
        <v>7000</v>
      </c>
      <c r="G8" s="42">
        <v>490</v>
      </c>
      <c r="H8" s="42">
        <v>876000</v>
      </c>
      <c r="I8" s="46">
        <f>35*5200</f>
        <v>182000</v>
      </c>
      <c r="J8" s="46">
        <v>330000</v>
      </c>
      <c r="K8" s="42">
        <v>130000</v>
      </c>
      <c r="L8" s="42">
        <v>300</v>
      </c>
      <c r="M8" s="42">
        <v>1406250</v>
      </c>
      <c r="N8" s="46">
        <v>99000</v>
      </c>
      <c r="O8" s="46">
        <v>7500</v>
      </c>
      <c r="P8" s="46">
        <v>290000</v>
      </c>
      <c r="Q8" s="46">
        <v>25200</v>
      </c>
      <c r="R8" s="46">
        <v>1200000</v>
      </c>
      <c r="S8" s="46">
        <v>640000</v>
      </c>
      <c r="T8" s="46">
        <v>280000</v>
      </c>
      <c r="U8" s="48" t="s">
        <v>104</v>
      </c>
      <c r="V8" s="46">
        <v>360000</v>
      </c>
      <c r="W8" s="46">
        <v>1500</v>
      </c>
      <c r="X8" s="46">
        <v>900000</v>
      </c>
      <c r="Y8" s="46">
        <v>30000</v>
      </c>
      <c r="Z8" s="46">
        <v>1620</v>
      </c>
      <c r="AA8" s="42">
        <v>65000</v>
      </c>
      <c r="AB8" s="208">
        <v>197</v>
      </c>
      <c r="AC8" s="44">
        <v>7400</v>
      </c>
      <c r="AD8" s="44">
        <v>1000</v>
      </c>
      <c r="AE8" s="42">
        <v>630000</v>
      </c>
      <c r="AF8" s="42">
        <v>600</v>
      </c>
      <c r="AG8" s="44">
        <v>2500</v>
      </c>
      <c r="AH8" s="46">
        <v>510000</v>
      </c>
      <c r="AI8" s="44">
        <v>100000</v>
      </c>
      <c r="AJ8" s="46">
        <v>30000</v>
      </c>
      <c r="AK8" s="57">
        <f>2*AK54*Inputs!AL49</f>
        <v>7.5</v>
      </c>
      <c r="AL8" s="57">
        <f>2*AL49*Inputs!AM49</f>
        <v>39.92</v>
      </c>
      <c r="AM8" s="57">
        <f>150+(2*$AM$44*Inputs!$AN$49)</f>
        <v>226.76923076923077</v>
      </c>
      <c r="AN8" s="51">
        <v>20</v>
      </c>
      <c r="AO8" s="59">
        <v>3</v>
      </c>
      <c r="AP8" s="59">
        <v>14</v>
      </c>
      <c r="AQ8" s="44">
        <v>150000</v>
      </c>
      <c r="AR8" s="46">
        <v>487500</v>
      </c>
      <c r="AS8" s="60">
        <v>1000</v>
      </c>
      <c r="AT8" s="42">
        <v>60000</v>
      </c>
      <c r="AU8" s="42">
        <v>22500</v>
      </c>
      <c r="AV8" s="42">
        <v>5000</v>
      </c>
      <c r="AW8" s="59">
        <v>522</v>
      </c>
      <c r="AX8" s="42">
        <v>1000000</v>
      </c>
      <c r="AY8" s="42">
        <v>45000</v>
      </c>
      <c r="AZ8" s="208"/>
      <c r="BA8" s="212"/>
    </row>
    <row r="9" spans="1:53" ht="15.75" customHeight="1">
      <c r="A9" s="40">
        <v>4</v>
      </c>
      <c r="B9" s="42">
        <v>504000</v>
      </c>
      <c r="C9" s="44">
        <v>254000</v>
      </c>
      <c r="D9" s="42">
        <v>73000</v>
      </c>
      <c r="E9" s="44">
        <v>13500</v>
      </c>
      <c r="F9" s="46">
        <v>81000</v>
      </c>
      <c r="G9" s="42">
        <v>350</v>
      </c>
      <c r="H9" s="42">
        <v>916000</v>
      </c>
      <c r="I9" s="46">
        <f>40*5000</f>
        <v>200000</v>
      </c>
      <c r="J9" s="46">
        <v>445000</v>
      </c>
      <c r="K9" s="42">
        <v>140000</v>
      </c>
      <c r="L9" s="42">
        <v>2500</v>
      </c>
      <c r="M9" s="42">
        <v>1350000</v>
      </c>
      <c r="N9" s="46">
        <v>161000</v>
      </c>
      <c r="O9" s="46">
        <v>7500</v>
      </c>
      <c r="P9" s="46">
        <v>390000</v>
      </c>
      <c r="Q9" s="46">
        <v>79543</v>
      </c>
      <c r="R9" s="46">
        <v>1200000</v>
      </c>
      <c r="S9" s="46">
        <v>640000</v>
      </c>
      <c r="T9" s="46">
        <v>240000</v>
      </c>
      <c r="U9" s="48" t="s">
        <v>105</v>
      </c>
      <c r="V9" s="46">
        <v>360000</v>
      </c>
      <c r="W9" s="46">
        <v>2000</v>
      </c>
      <c r="X9" s="46">
        <v>4400000</v>
      </c>
      <c r="Y9" s="46">
        <v>30000</v>
      </c>
      <c r="Z9" s="44">
        <v>1660</v>
      </c>
      <c r="AA9" s="42">
        <v>85000</v>
      </c>
      <c r="AB9" s="208">
        <v>360</v>
      </c>
      <c r="AC9" s="44">
        <v>7400</v>
      </c>
      <c r="AD9" s="44">
        <v>1000</v>
      </c>
      <c r="AE9" s="42">
        <v>420000</v>
      </c>
      <c r="AF9" s="42">
        <v>350</v>
      </c>
      <c r="AG9" s="44">
        <v>3500</v>
      </c>
      <c r="AH9" s="46">
        <v>525000</v>
      </c>
      <c r="AI9" s="44">
        <v>100000</v>
      </c>
      <c r="AJ9" s="46">
        <v>40000</v>
      </c>
      <c r="AK9" s="57">
        <f>1*AK54*Inputs!AL49</f>
        <v>3.75</v>
      </c>
      <c r="AL9" s="51">
        <v>3</v>
      </c>
      <c r="AM9" s="57">
        <f>150+(2*$AM$44*Inputs!$AN$49)</f>
        <v>226.76923076923077</v>
      </c>
      <c r="AN9" s="51">
        <v>20</v>
      </c>
      <c r="AO9" s="59">
        <v>5</v>
      </c>
      <c r="AP9" s="59">
        <v>14</v>
      </c>
      <c r="AQ9" s="44">
        <v>350000</v>
      </c>
      <c r="AR9" s="46">
        <v>380625</v>
      </c>
      <c r="AS9" s="60">
        <v>1000</v>
      </c>
      <c r="AT9" s="42">
        <v>90000</v>
      </c>
      <c r="AU9" s="42">
        <v>30000</v>
      </c>
      <c r="AV9" s="42">
        <v>7000</v>
      </c>
      <c r="AW9" s="59">
        <v>522</v>
      </c>
      <c r="AX9" s="42">
        <v>1400000</v>
      </c>
      <c r="AY9" s="42">
        <v>55000</v>
      </c>
      <c r="AZ9" s="208"/>
      <c r="BA9" s="212"/>
    </row>
    <row r="10" spans="1:53" ht="15.75" customHeight="1">
      <c r="A10" s="40">
        <v>5</v>
      </c>
      <c r="B10" s="42">
        <v>1505000</v>
      </c>
      <c r="C10" s="44">
        <v>205000</v>
      </c>
      <c r="D10" s="42">
        <v>50000</v>
      </c>
      <c r="E10" s="44">
        <v>13500</v>
      </c>
      <c r="F10" s="46">
        <v>66000</v>
      </c>
      <c r="G10" s="42">
        <v>280</v>
      </c>
      <c r="H10" s="42">
        <v>964000</v>
      </c>
      <c r="I10" s="46">
        <f>40*7000</f>
        <v>280000</v>
      </c>
      <c r="J10" s="46">
        <v>600000</v>
      </c>
      <c r="K10" s="42">
        <v>155000</v>
      </c>
      <c r="L10" s="42">
        <v>300</v>
      </c>
      <c r="M10" s="42">
        <v>2343750</v>
      </c>
      <c r="N10" s="46">
        <v>102500</v>
      </c>
      <c r="O10" s="46">
        <v>7500</v>
      </c>
      <c r="P10" s="46">
        <v>520000</v>
      </c>
      <c r="Q10" s="46">
        <v>65100</v>
      </c>
      <c r="R10" s="46">
        <v>1200000</v>
      </c>
      <c r="S10" s="46">
        <v>640000</v>
      </c>
      <c r="T10" s="46">
        <v>1050000</v>
      </c>
      <c r="U10" s="48" t="s">
        <v>116</v>
      </c>
      <c r="V10" s="46">
        <v>540000</v>
      </c>
      <c r="W10" s="46">
        <v>2500</v>
      </c>
      <c r="X10" s="46">
        <v>1700000</v>
      </c>
      <c r="Y10" s="46">
        <v>30000</v>
      </c>
      <c r="Z10" s="44">
        <v>1200</v>
      </c>
      <c r="AA10" s="42">
        <v>157500</v>
      </c>
      <c r="AB10" s="208">
        <v>225</v>
      </c>
      <c r="AC10" s="44">
        <v>6200</v>
      </c>
      <c r="AD10" s="44">
        <v>1000</v>
      </c>
      <c r="AE10" s="42">
        <v>420000</v>
      </c>
      <c r="AF10" s="42">
        <v>900</v>
      </c>
      <c r="AG10" s="44">
        <v>5000</v>
      </c>
      <c r="AH10" s="46">
        <v>545000</v>
      </c>
      <c r="AI10" s="46">
        <v>20000</v>
      </c>
      <c r="AJ10" s="46">
        <v>50000</v>
      </c>
      <c r="AK10" s="57">
        <f>1*AK49*Inputs!AL49</f>
        <v>1.4925000000000002</v>
      </c>
      <c r="AL10" s="57">
        <f>5*AL49*Inputs!AM49</f>
        <v>99.800000000000011</v>
      </c>
      <c r="AM10" s="57">
        <f>150+(2*AM44*Inputs!AN49)</f>
        <v>226.76923076923077</v>
      </c>
      <c r="AN10" s="51">
        <v>20</v>
      </c>
      <c r="AO10" s="59">
        <v>3</v>
      </c>
      <c r="AP10" s="59">
        <v>14</v>
      </c>
      <c r="AQ10" s="44">
        <v>125000</v>
      </c>
      <c r="AR10" s="46">
        <v>720000</v>
      </c>
      <c r="AS10" s="60">
        <v>1000</v>
      </c>
      <c r="AT10" s="42">
        <v>90000</v>
      </c>
      <c r="AU10" s="81">
        <v>100000</v>
      </c>
      <c r="AV10" s="42">
        <v>10000</v>
      </c>
      <c r="AW10" s="59">
        <v>522</v>
      </c>
      <c r="AX10" s="42">
        <f>40*AX44*Inputs!AY49</f>
        <v>1197600.0000000002</v>
      </c>
      <c r="AY10" s="42">
        <v>90000</v>
      </c>
      <c r="AZ10" s="208"/>
      <c r="BA10" s="212"/>
    </row>
    <row r="11" spans="1:53" ht="15.75" customHeight="1">
      <c r="A11" s="40"/>
      <c r="B11" s="59"/>
      <c r="C11" s="59"/>
      <c r="D11" s="59"/>
      <c r="E11" s="59"/>
      <c r="F11" s="84"/>
      <c r="G11" s="59"/>
      <c r="H11" s="59"/>
      <c r="I11" s="84"/>
      <c r="J11" s="85"/>
      <c r="K11" s="59"/>
      <c r="L11" s="59"/>
      <c r="M11" s="85"/>
      <c r="N11" s="84"/>
      <c r="O11" s="85"/>
      <c r="P11" s="84"/>
      <c r="Q11" s="59"/>
      <c r="R11" s="84"/>
      <c r="S11" s="84"/>
      <c r="T11" s="84"/>
      <c r="U11" s="59"/>
      <c r="V11" s="59"/>
      <c r="W11" s="59"/>
      <c r="X11" s="59"/>
      <c r="Y11" s="84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84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85"/>
      <c r="AZ11" s="215"/>
      <c r="BA11" s="216"/>
    </row>
    <row r="12" spans="1:53" ht="15.75" customHeight="1">
      <c r="A12" s="87" t="s">
        <v>151</v>
      </c>
      <c r="B12" s="89" t="s">
        <v>152</v>
      </c>
      <c r="C12" s="89" t="s">
        <v>153</v>
      </c>
      <c r="D12" s="89" t="s">
        <v>154</v>
      </c>
      <c r="E12" s="89" t="s">
        <v>155</v>
      </c>
      <c r="F12" s="89" t="s">
        <v>156</v>
      </c>
      <c r="G12" s="89" t="s">
        <v>157</v>
      </c>
      <c r="H12" s="89" t="s">
        <v>158</v>
      </c>
      <c r="I12" s="89" t="s">
        <v>159</v>
      </c>
      <c r="J12" s="90" t="s">
        <v>160</v>
      </c>
      <c r="K12" s="89" t="s">
        <v>161</v>
      </c>
      <c r="L12" s="89" t="s">
        <v>162</v>
      </c>
      <c r="M12" s="90" t="s">
        <v>82</v>
      </c>
      <c r="N12" s="89" t="s">
        <v>163</v>
      </c>
      <c r="O12" s="90" t="s">
        <v>164</v>
      </c>
      <c r="P12" s="89" t="s">
        <v>165</v>
      </c>
      <c r="Q12" s="89" t="s">
        <v>166</v>
      </c>
      <c r="R12" s="89" t="s">
        <v>167</v>
      </c>
      <c r="S12" s="89" t="s">
        <v>153</v>
      </c>
      <c r="T12" s="89" t="s">
        <v>154</v>
      </c>
      <c r="U12" s="89" t="s">
        <v>168</v>
      </c>
      <c r="V12" s="89" t="s">
        <v>163</v>
      </c>
      <c r="W12" s="89" t="s">
        <v>169</v>
      </c>
      <c r="X12" s="89" t="s">
        <v>170</v>
      </c>
      <c r="Y12" s="89" t="s">
        <v>156</v>
      </c>
      <c r="Z12" s="89" t="s">
        <v>171</v>
      </c>
      <c r="AA12" s="89" t="s">
        <v>172</v>
      </c>
      <c r="AB12" s="92" t="s">
        <v>173</v>
      </c>
      <c r="AC12" s="89" t="s">
        <v>156</v>
      </c>
      <c r="AD12" s="89" t="s">
        <v>174</v>
      </c>
      <c r="AE12" s="89" t="s">
        <v>156</v>
      </c>
      <c r="AF12" s="89" t="s">
        <v>175</v>
      </c>
      <c r="AG12" s="89" t="s">
        <v>169</v>
      </c>
      <c r="AH12" s="89" t="s">
        <v>158</v>
      </c>
      <c r="AI12" s="89" t="s">
        <v>176</v>
      </c>
      <c r="AJ12" s="89" t="s">
        <v>178</v>
      </c>
      <c r="AK12" s="89" t="s">
        <v>68</v>
      </c>
      <c r="AL12" s="93" t="s">
        <v>179</v>
      </c>
      <c r="AM12" s="89" t="s">
        <v>153</v>
      </c>
      <c r="AN12" s="89" t="s">
        <v>180</v>
      </c>
      <c r="AO12" s="89" t="s">
        <v>181</v>
      </c>
      <c r="AP12" s="89" t="s">
        <v>153</v>
      </c>
      <c r="AQ12" s="89" t="s">
        <v>158</v>
      </c>
      <c r="AR12" s="94" t="s">
        <v>153</v>
      </c>
      <c r="AS12" s="89" t="s">
        <v>182</v>
      </c>
      <c r="AT12" s="89" t="s">
        <v>78</v>
      </c>
      <c r="AU12" s="89" t="s">
        <v>85</v>
      </c>
      <c r="AV12" s="89" t="s">
        <v>153</v>
      </c>
      <c r="AW12" s="89" t="s">
        <v>153</v>
      </c>
      <c r="AX12" s="89" t="s">
        <v>183</v>
      </c>
      <c r="AY12" s="89" t="s">
        <v>184</v>
      </c>
      <c r="AZ12" s="215"/>
      <c r="BA12" s="216"/>
    </row>
    <row r="13" spans="1:53" ht="15.75" customHeight="1">
      <c r="A13" s="40">
        <v>1</v>
      </c>
      <c r="B13" s="42">
        <v>100000</v>
      </c>
      <c r="C13" s="95" t="s">
        <v>185</v>
      </c>
      <c r="D13" s="42">
        <v>7700</v>
      </c>
      <c r="E13" s="42">
        <v>25000</v>
      </c>
      <c r="F13" s="46">
        <v>30000</v>
      </c>
      <c r="G13" s="42">
        <v>500</v>
      </c>
      <c r="H13" s="46">
        <v>200000</v>
      </c>
      <c r="I13" s="46">
        <v>70000</v>
      </c>
      <c r="J13" s="42">
        <v>600000</v>
      </c>
      <c r="K13" s="42">
        <v>500000</v>
      </c>
      <c r="L13" s="42">
        <v>1000</v>
      </c>
      <c r="M13" s="42">
        <v>500000</v>
      </c>
      <c r="N13" s="46">
        <v>55000</v>
      </c>
      <c r="O13" s="42">
        <v>9350</v>
      </c>
      <c r="P13" s="46">
        <v>980000</v>
      </c>
      <c r="Q13" s="44">
        <v>8000</v>
      </c>
      <c r="R13" s="84">
        <v>0</v>
      </c>
      <c r="S13" s="95" t="s">
        <v>185</v>
      </c>
      <c r="T13" s="46">
        <v>200000</v>
      </c>
      <c r="U13" s="46">
        <v>2000</v>
      </c>
      <c r="V13" s="46">
        <v>1166000</v>
      </c>
      <c r="W13" s="46">
        <v>500</v>
      </c>
      <c r="X13" s="46">
        <v>2793750</v>
      </c>
      <c r="Y13" s="46">
        <v>7500</v>
      </c>
      <c r="Z13" s="44">
        <v>60</v>
      </c>
      <c r="AA13" s="46">
        <v>120000</v>
      </c>
      <c r="AB13" s="44">
        <v>200</v>
      </c>
      <c r="AC13" s="44">
        <v>4140</v>
      </c>
      <c r="AD13" s="44">
        <v>1500</v>
      </c>
      <c r="AE13" s="46">
        <v>1534000</v>
      </c>
      <c r="AF13" s="46">
        <v>500</v>
      </c>
      <c r="AG13" s="44">
        <v>100</v>
      </c>
      <c r="AH13" s="46">
        <v>150000</v>
      </c>
      <c r="AI13" s="46">
        <v>20000</v>
      </c>
      <c r="AJ13" s="44">
        <v>30000</v>
      </c>
      <c r="AK13" s="59">
        <v>16</v>
      </c>
      <c r="AL13" s="96">
        <f>17+(600*$AL$44*Inputs!$AM$49)</f>
        <v>20.995999999999999</v>
      </c>
      <c r="AM13" s="95" t="s">
        <v>185</v>
      </c>
      <c r="AN13" s="97">
        <f>5*$AN$44*Inputs!$AO$49</f>
        <v>1.37225</v>
      </c>
      <c r="AO13" s="59">
        <v>5</v>
      </c>
      <c r="AP13" s="95" t="s">
        <v>185</v>
      </c>
      <c r="AQ13" s="60">
        <v>50000</v>
      </c>
      <c r="AR13" s="95" t="s">
        <v>185</v>
      </c>
      <c r="AS13" s="60">
        <v>7200</v>
      </c>
      <c r="AT13" s="42">
        <v>1000000</v>
      </c>
      <c r="AU13" s="42">
        <v>15000</v>
      </c>
      <c r="AV13" s="95" t="s">
        <v>185</v>
      </c>
      <c r="AW13" s="95" t="s">
        <v>185</v>
      </c>
      <c r="AX13" s="42">
        <v>250000</v>
      </c>
      <c r="AY13" s="46">
        <v>25000</v>
      </c>
      <c r="AZ13" s="208"/>
      <c r="BA13" s="212"/>
    </row>
    <row r="14" spans="1:53" ht="15.75" customHeight="1">
      <c r="A14" s="40">
        <v>2</v>
      </c>
      <c r="B14" s="42">
        <v>100000</v>
      </c>
      <c r="C14" s="95" t="s">
        <v>185</v>
      </c>
      <c r="D14" s="42">
        <v>7000</v>
      </c>
      <c r="E14" s="42">
        <v>2500</v>
      </c>
      <c r="F14" s="46">
        <v>30000</v>
      </c>
      <c r="G14" s="42">
        <v>500</v>
      </c>
      <c r="H14" s="46">
        <v>200000</v>
      </c>
      <c r="I14" s="46">
        <v>70000</v>
      </c>
      <c r="J14" s="42">
        <v>600000</v>
      </c>
      <c r="K14" s="42">
        <v>400000</v>
      </c>
      <c r="L14" s="42">
        <v>1000</v>
      </c>
      <c r="M14" s="42">
        <v>500000</v>
      </c>
      <c r="N14" s="46">
        <v>60000</v>
      </c>
      <c r="O14" s="42">
        <v>10625</v>
      </c>
      <c r="P14" s="46">
        <v>1100000</v>
      </c>
      <c r="Q14" s="44">
        <v>8000</v>
      </c>
      <c r="R14" s="46">
        <v>150000</v>
      </c>
      <c r="S14" s="95" t="s">
        <v>185</v>
      </c>
      <c r="T14" s="46">
        <v>193750</v>
      </c>
      <c r="U14" s="46">
        <v>2000</v>
      </c>
      <c r="V14" s="46">
        <v>1189000</v>
      </c>
      <c r="W14" s="46">
        <v>500</v>
      </c>
      <c r="X14" s="46">
        <v>930000</v>
      </c>
      <c r="Y14" s="46">
        <v>7500</v>
      </c>
      <c r="Z14" s="44">
        <v>60</v>
      </c>
      <c r="AA14" s="46">
        <v>120000</v>
      </c>
      <c r="AB14" s="44">
        <v>200</v>
      </c>
      <c r="AC14" s="44">
        <v>4140</v>
      </c>
      <c r="AD14" s="44">
        <v>2000</v>
      </c>
      <c r="AE14" s="46">
        <v>1520000</v>
      </c>
      <c r="AF14" s="46">
        <v>500</v>
      </c>
      <c r="AG14" s="44">
        <v>100</v>
      </c>
      <c r="AH14" s="46">
        <v>150000</v>
      </c>
      <c r="AI14" s="44">
        <v>45000</v>
      </c>
      <c r="AJ14" s="44">
        <v>160000</v>
      </c>
      <c r="AK14" s="59">
        <v>16</v>
      </c>
      <c r="AL14" s="96">
        <f>17+(600*$AL$44*Inputs!$AM$49)</f>
        <v>20.995999999999999</v>
      </c>
      <c r="AM14" s="95" t="s">
        <v>185</v>
      </c>
      <c r="AN14" s="97">
        <f>5*$AN$44*Inputs!$AO$49</f>
        <v>1.37225</v>
      </c>
      <c r="AO14" s="59">
        <v>6</v>
      </c>
      <c r="AP14" s="95" t="s">
        <v>185</v>
      </c>
      <c r="AQ14" s="60">
        <v>50000</v>
      </c>
      <c r="AR14" s="95" t="s">
        <v>185</v>
      </c>
      <c r="AS14" s="60">
        <v>9300</v>
      </c>
      <c r="AT14" s="42">
        <v>13500000</v>
      </c>
      <c r="AU14" s="42">
        <v>30000</v>
      </c>
      <c r="AV14" s="95" t="s">
        <v>185</v>
      </c>
      <c r="AW14" s="95" t="s">
        <v>185</v>
      </c>
      <c r="AX14" s="42">
        <v>500000</v>
      </c>
      <c r="AY14" s="46">
        <v>25000</v>
      </c>
      <c r="AZ14" s="208"/>
      <c r="BA14" s="212"/>
    </row>
    <row r="15" spans="1:53" ht="15.75" customHeight="1">
      <c r="A15" s="40">
        <v>3</v>
      </c>
      <c r="B15" s="42">
        <v>100000</v>
      </c>
      <c r="C15" s="95" t="s">
        <v>185</v>
      </c>
      <c r="D15" s="42">
        <v>7350</v>
      </c>
      <c r="E15" s="59">
        <v>500</v>
      </c>
      <c r="F15" s="46">
        <v>30000</v>
      </c>
      <c r="G15" s="42">
        <v>500</v>
      </c>
      <c r="H15" s="46">
        <v>200000</v>
      </c>
      <c r="I15" s="46">
        <v>70000</v>
      </c>
      <c r="J15" s="42">
        <v>600000</v>
      </c>
      <c r="K15" s="42">
        <v>300000</v>
      </c>
      <c r="L15" s="42">
        <v>1000</v>
      </c>
      <c r="M15" s="42">
        <v>750000</v>
      </c>
      <c r="N15" s="46">
        <v>75000</v>
      </c>
      <c r="O15" s="42">
        <v>11550</v>
      </c>
      <c r="P15" s="46">
        <v>1300000</v>
      </c>
      <c r="Q15" s="44">
        <v>8000</v>
      </c>
      <c r="R15" s="46">
        <v>300000</v>
      </c>
      <c r="S15" s="95" t="s">
        <v>185</v>
      </c>
      <c r="T15" s="46">
        <v>181250</v>
      </c>
      <c r="U15" s="46">
        <v>2000</v>
      </c>
      <c r="V15" s="46">
        <v>867000</v>
      </c>
      <c r="W15" s="46">
        <v>500</v>
      </c>
      <c r="X15" s="46">
        <v>1390000</v>
      </c>
      <c r="Y15" s="46">
        <v>7500</v>
      </c>
      <c r="Z15" s="44">
        <v>60</v>
      </c>
      <c r="AA15" s="46">
        <v>120000</v>
      </c>
      <c r="AB15" s="44">
        <v>200</v>
      </c>
      <c r="AC15" s="44">
        <v>4140</v>
      </c>
      <c r="AD15" s="44">
        <v>1000</v>
      </c>
      <c r="AE15" s="46">
        <v>484000</v>
      </c>
      <c r="AF15" s="46">
        <v>500</v>
      </c>
      <c r="AG15" s="44">
        <v>100</v>
      </c>
      <c r="AH15" s="46">
        <v>150000</v>
      </c>
      <c r="AI15" s="44">
        <v>35000</v>
      </c>
      <c r="AJ15" s="44">
        <v>450000</v>
      </c>
      <c r="AK15" s="59">
        <v>16</v>
      </c>
      <c r="AL15" s="96">
        <f>17+(600*$AL$44*Inputs!$AM$49)</f>
        <v>20.995999999999999</v>
      </c>
      <c r="AM15" s="95" t="s">
        <v>185</v>
      </c>
      <c r="AN15" s="97">
        <f>5*$AN$44*Inputs!$AO$49</f>
        <v>1.37225</v>
      </c>
      <c r="AO15" s="59">
        <v>7</v>
      </c>
      <c r="AP15" s="95" t="s">
        <v>185</v>
      </c>
      <c r="AQ15" s="60">
        <v>50000</v>
      </c>
      <c r="AR15" s="95" t="s">
        <v>185</v>
      </c>
      <c r="AS15" s="60">
        <v>7200</v>
      </c>
      <c r="AT15" s="42">
        <v>1600000</v>
      </c>
      <c r="AU15" s="42">
        <v>15000</v>
      </c>
      <c r="AV15" s="95" t="s">
        <v>185</v>
      </c>
      <c r="AW15" s="95" t="s">
        <v>185</v>
      </c>
      <c r="AX15" s="42">
        <v>400000</v>
      </c>
      <c r="AY15" s="46">
        <v>25000</v>
      </c>
      <c r="AZ15" s="208"/>
      <c r="BA15" s="212"/>
    </row>
    <row r="16" spans="1:53" ht="15.75" customHeight="1">
      <c r="A16" s="40">
        <v>4</v>
      </c>
      <c r="B16" s="42">
        <v>100000</v>
      </c>
      <c r="C16" s="95" t="s">
        <v>185</v>
      </c>
      <c r="D16" s="42">
        <v>7350</v>
      </c>
      <c r="E16" s="59">
        <v>100</v>
      </c>
      <c r="F16" s="46">
        <v>30000</v>
      </c>
      <c r="G16" s="42">
        <v>500</v>
      </c>
      <c r="H16" s="46">
        <v>200000</v>
      </c>
      <c r="I16" s="46">
        <v>100000</v>
      </c>
      <c r="J16" s="42">
        <v>600000</v>
      </c>
      <c r="K16" s="42">
        <v>600000</v>
      </c>
      <c r="L16" s="42">
        <v>1000</v>
      </c>
      <c r="M16" s="46">
        <v>500000</v>
      </c>
      <c r="N16" s="46">
        <v>55000</v>
      </c>
      <c r="O16" s="42">
        <v>14725</v>
      </c>
      <c r="P16" s="42">
        <f>5*700000</f>
        <v>3500000</v>
      </c>
      <c r="Q16" s="44">
        <v>8000</v>
      </c>
      <c r="R16" s="46">
        <v>450000</v>
      </c>
      <c r="S16" s="95" t="s">
        <v>185</v>
      </c>
      <c r="T16" s="46">
        <v>193750</v>
      </c>
      <c r="U16" s="46">
        <v>2000</v>
      </c>
      <c r="V16" s="46">
        <v>1027000</v>
      </c>
      <c r="W16" s="46">
        <v>500</v>
      </c>
      <c r="X16" s="46">
        <v>1820000</v>
      </c>
      <c r="Y16" s="46">
        <v>7500</v>
      </c>
      <c r="Z16" s="44">
        <v>60</v>
      </c>
      <c r="AA16" s="46">
        <v>120000</v>
      </c>
      <c r="AB16" s="44">
        <v>200</v>
      </c>
      <c r="AC16" s="44">
        <v>4140</v>
      </c>
      <c r="AD16" s="44">
        <v>3000</v>
      </c>
      <c r="AE16" s="46">
        <v>722000</v>
      </c>
      <c r="AF16" s="46">
        <v>500</v>
      </c>
      <c r="AG16" s="44">
        <v>100</v>
      </c>
      <c r="AH16" s="46">
        <v>150000</v>
      </c>
      <c r="AI16" s="44">
        <v>45000</v>
      </c>
      <c r="AJ16" s="44">
        <v>200000</v>
      </c>
      <c r="AK16" s="59">
        <v>16</v>
      </c>
      <c r="AL16" s="96">
        <f>17+(600*$AL$44*Inputs!$AM$49)</f>
        <v>20.995999999999999</v>
      </c>
      <c r="AM16" s="95" t="s">
        <v>185</v>
      </c>
      <c r="AN16" s="97">
        <f>5*$AN$44*Inputs!$AO$49</f>
        <v>1.37225</v>
      </c>
      <c r="AO16" s="59">
        <v>8</v>
      </c>
      <c r="AP16" s="95" t="s">
        <v>185</v>
      </c>
      <c r="AQ16" s="60">
        <v>50000</v>
      </c>
      <c r="AR16" s="95" t="s">
        <v>185</v>
      </c>
      <c r="AS16" s="60">
        <v>5100</v>
      </c>
      <c r="AT16" s="42">
        <v>2250000</v>
      </c>
      <c r="AU16" s="42">
        <v>12000</v>
      </c>
      <c r="AV16" s="95" t="s">
        <v>185</v>
      </c>
      <c r="AW16" s="95" t="s">
        <v>185</v>
      </c>
      <c r="AX16" s="42">
        <v>300000</v>
      </c>
      <c r="AY16" s="46">
        <v>25000</v>
      </c>
      <c r="AZ16" s="208"/>
      <c r="BA16" s="212"/>
    </row>
    <row r="17" spans="1:53" ht="15.75" customHeight="1">
      <c r="A17" s="40">
        <v>5</v>
      </c>
      <c r="B17" s="42">
        <v>100000</v>
      </c>
      <c r="C17" s="95" t="s">
        <v>185</v>
      </c>
      <c r="D17" s="42">
        <v>7350</v>
      </c>
      <c r="E17" s="42">
        <v>1000</v>
      </c>
      <c r="F17" s="46">
        <v>30000</v>
      </c>
      <c r="G17" s="42">
        <v>500</v>
      </c>
      <c r="H17" s="46">
        <v>200000</v>
      </c>
      <c r="I17" s="46">
        <v>100000</v>
      </c>
      <c r="J17" s="42">
        <v>600000</v>
      </c>
      <c r="K17" s="46">
        <v>630000</v>
      </c>
      <c r="L17" s="42">
        <v>1000</v>
      </c>
      <c r="M17" s="42">
        <v>500000</v>
      </c>
      <c r="N17" s="46">
        <v>95000</v>
      </c>
      <c r="O17" s="42">
        <v>48450</v>
      </c>
      <c r="P17" s="46">
        <v>1500000</v>
      </c>
      <c r="Q17" s="44">
        <v>8000</v>
      </c>
      <c r="R17" s="46">
        <v>600000</v>
      </c>
      <c r="S17" s="95" t="s">
        <v>185</v>
      </c>
      <c r="T17" s="208">
        <v>175000</v>
      </c>
      <c r="U17" s="46">
        <v>2000</v>
      </c>
      <c r="V17" s="46">
        <v>663000</v>
      </c>
      <c r="W17" s="46">
        <v>500</v>
      </c>
      <c r="X17" s="46">
        <v>1160000</v>
      </c>
      <c r="Y17" s="46">
        <v>7500</v>
      </c>
      <c r="Z17" s="44">
        <v>60</v>
      </c>
      <c r="AA17" s="46">
        <v>120000</v>
      </c>
      <c r="AB17" s="44">
        <v>200</v>
      </c>
      <c r="AC17" s="44">
        <v>4140</v>
      </c>
      <c r="AD17" s="44">
        <v>2500</v>
      </c>
      <c r="AE17" s="46">
        <v>2815000</v>
      </c>
      <c r="AF17" s="46">
        <v>500</v>
      </c>
      <c r="AG17" s="44">
        <v>100</v>
      </c>
      <c r="AH17" s="46">
        <v>150000</v>
      </c>
      <c r="AI17" s="44">
        <v>45000</v>
      </c>
      <c r="AJ17" s="44">
        <v>500000</v>
      </c>
      <c r="AK17" s="59">
        <v>16</v>
      </c>
      <c r="AL17" s="96">
        <f>17+(600*$AL$44*Inputs!$AM$49)</f>
        <v>20.995999999999999</v>
      </c>
      <c r="AM17" s="95" t="s">
        <v>185</v>
      </c>
      <c r="AN17" s="97">
        <f>5*$AN$44*Inputs!$AO$49</f>
        <v>1.37225</v>
      </c>
      <c r="AO17" s="59">
        <v>9</v>
      </c>
      <c r="AP17" s="95" t="s">
        <v>185</v>
      </c>
      <c r="AQ17" s="60">
        <v>50000</v>
      </c>
      <c r="AR17" s="95" t="s">
        <v>185</v>
      </c>
      <c r="AS17" s="60">
        <v>8400</v>
      </c>
      <c r="AT17" s="42">
        <v>2100000</v>
      </c>
      <c r="AU17" s="42">
        <v>40000</v>
      </c>
      <c r="AV17" s="95" t="s">
        <v>185</v>
      </c>
      <c r="AW17" s="95" t="s">
        <v>185</v>
      </c>
      <c r="AX17" s="42">
        <v>200000</v>
      </c>
      <c r="AY17" s="46">
        <v>25000</v>
      </c>
      <c r="AZ17" s="208"/>
      <c r="BA17" s="212"/>
    </row>
    <row r="18" spans="1:53" ht="15.75" customHeight="1">
      <c r="A18" s="40"/>
      <c r="B18" s="59"/>
      <c r="C18" s="59"/>
      <c r="D18" s="59"/>
      <c r="E18" s="59"/>
      <c r="F18" s="84"/>
      <c r="G18" s="59"/>
      <c r="H18" s="59"/>
      <c r="I18" s="84"/>
      <c r="J18" s="85"/>
      <c r="K18" s="59"/>
      <c r="L18" s="59"/>
      <c r="M18" s="85"/>
      <c r="N18" s="84"/>
      <c r="O18" s="85"/>
      <c r="P18" s="84"/>
      <c r="Q18" s="59"/>
      <c r="R18" s="84"/>
      <c r="S18" s="84"/>
      <c r="T18" s="84"/>
      <c r="U18" s="59"/>
      <c r="V18" s="84"/>
      <c r="W18" s="84"/>
      <c r="X18" s="59"/>
      <c r="Y18" s="84"/>
      <c r="Z18" s="84"/>
      <c r="AA18" s="59"/>
      <c r="AB18" s="84"/>
      <c r="AC18" s="59"/>
      <c r="AD18" s="59"/>
      <c r="AE18" s="84"/>
      <c r="AF18" s="84"/>
      <c r="AG18" s="84"/>
      <c r="AH18" s="84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85"/>
      <c r="AZ18" s="215"/>
      <c r="BA18" s="216"/>
    </row>
    <row r="19" spans="1:53" ht="15.75" customHeight="1">
      <c r="A19" s="87" t="s">
        <v>188</v>
      </c>
      <c r="B19" s="89" t="s">
        <v>189</v>
      </c>
      <c r="C19" s="89" t="s">
        <v>153</v>
      </c>
      <c r="D19" s="89" t="s">
        <v>190</v>
      </c>
      <c r="E19" s="89" t="s">
        <v>153</v>
      </c>
      <c r="F19" s="89" t="s">
        <v>153</v>
      </c>
      <c r="G19" s="89" t="s">
        <v>158</v>
      </c>
      <c r="H19" s="89" t="s">
        <v>153</v>
      </c>
      <c r="I19" s="89" t="s">
        <v>191</v>
      </c>
      <c r="J19" s="89" t="s">
        <v>192</v>
      </c>
      <c r="K19" s="89" t="s">
        <v>153</v>
      </c>
      <c r="L19" s="89" t="s">
        <v>82</v>
      </c>
      <c r="M19" s="89" t="s">
        <v>156</v>
      </c>
      <c r="N19" s="89" t="s">
        <v>153</v>
      </c>
      <c r="O19" s="90" t="s">
        <v>65</v>
      </c>
      <c r="P19" s="89" t="s">
        <v>192</v>
      </c>
      <c r="Q19" s="89" t="s">
        <v>193</v>
      </c>
      <c r="R19" s="89" t="s">
        <v>194</v>
      </c>
      <c r="S19" s="89" t="s">
        <v>153</v>
      </c>
      <c r="T19" s="89" t="s">
        <v>195</v>
      </c>
      <c r="U19" s="89" t="s">
        <v>196</v>
      </c>
      <c r="V19" s="89" t="s">
        <v>153</v>
      </c>
      <c r="W19" s="89" t="s">
        <v>153</v>
      </c>
      <c r="X19" s="89" t="s">
        <v>156</v>
      </c>
      <c r="Y19" s="89" t="s">
        <v>153</v>
      </c>
      <c r="Z19" s="89" t="s">
        <v>153</v>
      </c>
      <c r="AA19" s="89" t="s">
        <v>153</v>
      </c>
      <c r="AB19" s="89" t="s">
        <v>153</v>
      </c>
      <c r="AC19" s="89" t="s">
        <v>153</v>
      </c>
      <c r="AD19" s="89" t="s">
        <v>197</v>
      </c>
      <c r="AE19" s="89" t="s">
        <v>153</v>
      </c>
      <c r="AF19" s="89" t="s">
        <v>153</v>
      </c>
      <c r="AG19" s="89" t="s">
        <v>153</v>
      </c>
      <c r="AH19" s="89" t="s">
        <v>153</v>
      </c>
      <c r="AI19" s="89" t="s">
        <v>198</v>
      </c>
      <c r="AJ19" s="89" t="s">
        <v>199</v>
      </c>
      <c r="AK19" s="89" t="s">
        <v>153</v>
      </c>
      <c r="AL19" s="89" t="s">
        <v>153</v>
      </c>
      <c r="AM19" s="89" t="s">
        <v>153</v>
      </c>
      <c r="AN19" s="89" t="s">
        <v>153</v>
      </c>
      <c r="AO19" s="89" t="s">
        <v>177</v>
      </c>
      <c r="AP19" s="89" t="s">
        <v>153</v>
      </c>
      <c r="AQ19" s="89" t="s">
        <v>153</v>
      </c>
      <c r="AR19" s="89" t="s">
        <v>153</v>
      </c>
      <c r="AS19" s="89" t="s">
        <v>200</v>
      </c>
      <c r="AT19" s="89" t="s">
        <v>169</v>
      </c>
      <c r="AU19" s="89" t="s">
        <v>201</v>
      </c>
      <c r="AV19" s="89" t="s">
        <v>153</v>
      </c>
      <c r="AW19" s="89" t="s">
        <v>153</v>
      </c>
      <c r="AX19" s="89" t="s">
        <v>153</v>
      </c>
      <c r="AY19" s="89" t="s">
        <v>153</v>
      </c>
      <c r="AZ19" s="215"/>
      <c r="BA19" s="216"/>
    </row>
    <row r="20" spans="1:53" ht="15.75" customHeight="1">
      <c r="A20" s="40">
        <v>1</v>
      </c>
      <c r="B20" s="42">
        <f>Inputs!$C$49*$B$44</f>
        <v>270000</v>
      </c>
      <c r="C20" s="95" t="s">
        <v>185</v>
      </c>
      <c r="D20" s="42">
        <v>2500</v>
      </c>
      <c r="E20" s="95" t="s">
        <v>185</v>
      </c>
      <c r="F20" s="95" t="s">
        <v>185</v>
      </c>
      <c r="G20" s="42">
        <v>140</v>
      </c>
      <c r="H20" s="95" t="s">
        <v>185</v>
      </c>
      <c r="I20" s="46">
        <v>452000</v>
      </c>
      <c r="J20" s="46">
        <v>1200000</v>
      </c>
      <c r="K20" s="95" t="s">
        <v>185</v>
      </c>
      <c r="L20" s="59">
        <v>550</v>
      </c>
      <c r="M20" s="46">
        <v>250000</v>
      </c>
      <c r="N20" s="95" t="s">
        <v>185</v>
      </c>
      <c r="O20" s="42">
        <v>2250</v>
      </c>
      <c r="P20" s="46">
        <v>2500000</v>
      </c>
      <c r="Q20" s="46" t="e">
        <f>5*#REF!</f>
        <v>#REF!</v>
      </c>
      <c r="R20" s="46">
        <v>712857</v>
      </c>
      <c r="S20" s="95" t="s">
        <v>185</v>
      </c>
      <c r="T20" s="46">
        <v>94500</v>
      </c>
      <c r="U20" s="44">
        <v>33000</v>
      </c>
      <c r="V20" s="95" t="s">
        <v>185</v>
      </c>
      <c r="W20" s="95" t="s">
        <v>185</v>
      </c>
      <c r="X20" s="46">
        <v>400000</v>
      </c>
      <c r="Y20" s="95" t="s">
        <v>185</v>
      </c>
      <c r="Z20" s="95" t="s">
        <v>185</v>
      </c>
      <c r="AA20" s="95" t="s">
        <v>185</v>
      </c>
      <c r="AB20" s="51" t="s">
        <v>185</v>
      </c>
      <c r="AC20" s="95" t="s">
        <v>185</v>
      </c>
      <c r="AD20" s="44">
        <v>2800</v>
      </c>
      <c r="AE20" s="95" t="s">
        <v>185</v>
      </c>
      <c r="AF20" s="95" t="s">
        <v>185</v>
      </c>
      <c r="AG20" s="95" t="s">
        <v>185</v>
      </c>
      <c r="AH20" s="95" t="s">
        <v>185</v>
      </c>
      <c r="AI20" s="44">
        <v>44000</v>
      </c>
      <c r="AJ20" s="46">
        <v>20000</v>
      </c>
      <c r="AK20" s="95" t="s">
        <v>185</v>
      </c>
      <c r="AL20" s="95" t="s">
        <v>185</v>
      </c>
      <c r="AM20" s="95" t="s">
        <v>185</v>
      </c>
      <c r="AN20" s="95" t="s">
        <v>185</v>
      </c>
      <c r="AO20" s="59">
        <v>4</v>
      </c>
      <c r="AP20" s="95" t="s">
        <v>185</v>
      </c>
      <c r="AQ20" s="95" t="s">
        <v>185</v>
      </c>
      <c r="AR20" s="95" t="s">
        <v>185</v>
      </c>
      <c r="AS20" s="44">
        <v>4100</v>
      </c>
      <c r="AT20" s="42">
        <v>181000</v>
      </c>
      <c r="AU20" s="42">
        <v>5000</v>
      </c>
      <c r="AV20" s="95" t="s">
        <v>185</v>
      </c>
      <c r="AW20" s="95" t="s">
        <v>185</v>
      </c>
      <c r="AX20" s="95" t="s">
        <v>185</v>
      </c>
      <c r="AY20" s="95" t="s">
        <v>185</v>
      </c>
      <c r="AZ20" s="215"/>
      <c r="BA20" s="216"/>
    </row>
    <row r="21" spans="1:53" ht="15.75" customHeight="1">
      <c r="A21" s="40">
        <v>2</v>
      </c>
      <c r="B21" s="42">
        <f>Inputs!$C$49*$B$44</f>
        <v>270000</v>
      </c>
      <c r="C21" s="95" t="s">
        <v>185</v>
      </c>
      <c r="D21" s="42">
        <v>2500</v>
      </c>
      <c r="E21" s="95" t="s">
        <v>185</v>
      </c>
      <c r="F21" s="95" t="s">
        <v>185</v>
      </c>
      <c r="G21" s="42">
        <v>140</v>
      </c>
      <c r="H21" s="95" t="s">
        <v>185</v>
      </c>
      <c r="I21" s="46">
        <v>722000</v>
      </c>
      <c r="J21" s="46">
        <v>1200000</v>
      </c>
      <c r="K21" s="95" t="s">
        <v>185</v>
      </c>
      <c r="L21" s="59">
        <v>660</v>
      </c>
      <c r="M21" s="46">
        <v>250000</v>
      </c>
      <c r="N21" s="95" t="s">
        <v>185</v>
      </c>
      <c r="O21" s="42">
        <v>12000</v>
      </c>
      <c r="P21" s="46">
        <v>2500000</v>
      </c>
      <c r="Q21" s="46" t="e">
        <f>5*#REF!</f>
        <v>#REF!</v>
      </c>
      <c r="R21" s="46">
        <v>712857</v>
      </c>
      <c r="S21" s="95" t="s">
        <v>185</v>
      </c>
      <c r="T21" s="46">
        <v>90000</v>
      </c>
      <c r="U21" s="44">
        <v>33000</v>
      </c>
      <c r="V21" s="95" t="s">
        <v>185</v>
      </c>
      <c r="W21" s="95" t="s">
        <v>185</v>
      </c>
      <c r="X21" s="46">
        <v>400000</v>
      </c>
      <c r="Y21" s="95" t="s">
        <v>185</v>
      </c>
      <c r="Z21" s="95" t="s">
        <v>185</v>
      </c>
      <c r="AA21" s="95" t="s">
        <v>185</v>
      </c>
      <c r="AB21" s="51" t="s">
        <v>185</v>
      </c>
      <c r="AC21" s="95" t="s">
        <v>185</v>
      </c>
      <c r="AD21" s="44">
        <v>6000</v>
      </c>
      <c r="AE21" s="95" t="s">
        <v>185</v>
      </c>
      <c r="AF21" s="95" t="s">
        <v>185</v>
      </c>
      <c r="AG21" s="95" t="s">
        <v>185</v>
      </c>
      <c r="AH21" s="95" t="s">
        <v>185</v>
      </c>
      <c r="AI21" s="44">
        <v>38000</v>
      </c>
      <c r="AJ21" s="46">
        <v>20000</v>
      </c>
      <c r="AK21" s="95" t="s">
        <v>185</v>
      </c>
      <c r="AL21" s="95" t="s">
        <v>185</v>
      </c>
      <c r="AM21" s="95" t="s">
        <v>185</v>
      </c>
      <c r="AN21" s="95" t="s">
        <v>185</v>
      </c>
      <c r="AO21" s="59">
        <v>4</v>
      </c>
      <c r="AP21" s="95" t="s">
        <v>185</v>
      </c>
      <c r="AQ21" s="95" t="s">
        <v>185</v>
      </c>
      <c r="AR21" s="95" t="s">
        <v>185</v>
      </c>
      <c r="AS21" s="44">
        <v>4100</v>
      </c>
      <c r="AT21" s="42">
        <v>55000</v>
      </c>
      <c r="AU21" s="42">
        <v>5000</v>
      </c>
      <c r="AV21" s="95" t="s">
        <v>185</v>
      </c>
      <c r="AW21" s="95" t="s">
        <v>185</v>
      </c>
      <c r="AX21" s="95" t="s">
        <v>185</v>
      </c>
      <c r="AY21" s="95" t="s">
        <v>185</v>
      </c>
      <c r="AZ21" s="215"/>
      <c r="BA21" s="216"/>
    </row>
    <row r="22" spans="1:53" ht="15.75" customHeight="1">
      <c r="A22" s="40">
        <v>3</v>
      </c>
      <c r="B22" s="42">
        <f>Inputs!$C$49*$B$44</f>
        <v>270000</v>
      </c>
      <c r="C22" s="95" t="s">
        <v>185</v>
      </c>
      <c r="D22" s="42">
        <v>2400</v>
      </c>
      <c r="E22" s="95" t="s">
        <v>185</v>
      </c>
      <c r="F22" s="95" t="s">
        <v>185</v>
      </c>
      <c r="G22" s="42">
        <v>140</v>
      </c>
      <c r="H22" s="95" t="s">
        <v>185</v>
      </c>
      <c r="I22" s="46">
        <v>182000</v>
      </c>
      <c r="J22" s="46">
        <v>1200000</v>
      </c>
      <c r="K22" s="95" t="s">
        <v>185</v>
      </c>
      <c r="L22" s="59">
        <v>770</v>
      </c>
      <c r="M22" s="46">
        <v>250000</v>
      </c>
      <c r="N22" s="95" t="s">
        <v>185</v>
      </c>
      <c r="O22" s="42">
        <v>7600</v>
      </c>
      <c r="P22" s="46">
        <v>2500000</v>
      </c>
      <c r="Q22" s="46" t="e">
        <f>5*#REF!</f>
        <v>#REF!</v>
      </c>
      <c r="R22" s="46">
        <v>712857</v>
      </c>
      <c r="S22" s="95" t="s">
        <v>185</v>
      </c>
      <c r="T22" s="46">
        <v>96750</v>
      </c>
      <c r="U22" s="44">
        <v>33000</v>
      </c>
      <c r="V22" s="95" t="s">
        <v>185</v>
      </c>
      <c r="W22" s="95" t="s">
        <v>185</v>
      </c>
      <c r="X22" s="46">
        <v>400000</v>
      </c>
      <c r="Y22" s="95" t="s">
        <v>185</v>
      </c>
      <c r="Z22" s="95" t="s">
        <v>185</v>
      </c>
      <c r="AA22" s="95" t="s">
        <v>185</v>
      </c>
      <c r="AB22" s="51" t="s">
        <v>185</v>
      </c>
      <c r="AC22" s="95" t="s">
        <v>185</v>
      </c>
      <c r="AD22" s="44">
        <v>4000</v>
      </c>
      <c r="AE22" s="95" t="s">
        <v>185</v>
      </c>
      <c r="AF22" s="95" t="s">
        <v>185</v>
      </c>
      <c r="AG22" s="95" t="s">
        <v>185</v>
      </c>
      <c r="AH22" s="95" t="s">
        <v>185</v>
      </c>
      <c r="AI22" s="44">
        <v>20000</v>
      </c>
      <c r="AJ22" s="46">
        <v>20000</v>
      </c>
      <c r="AK22" s="95" t="s">
        <v>185</v>
      </c>
      <c r="AL22" s="95" t="s">
        <v>185</v>
      </c>
      <c r="AM22" s="95" t="s">
        <v>185</v>
      </c>
      <c r="AN22" s="95" t="s">
        <v>185</v>
      </c>
      <c r="AO22" s="59">
        <v>4</v>
      </c>
      <c r="AP22" s="95" t="s">
        <v>185</v>
      </c>
      <c r="AQ22" s="95" t="s">
        <v>185</v>
      </c>
      <c r="AR22" s="95" t="s">
        <v>185</v>
      </c>
      <c r="AS22" s="44">
        <v>4100</v>
      </c>
      <c r="AT22" s="42">
        <v>85000</v>
      </c>
      <c r="AU22" s="42">
        <v>5000</v>
      </c>
      <c r="AV22" s="95" t="s">
        <v>185</v>
      </c>
      <c r="AW22" s="95" t="s">
        <v>185</v>
      </c>
      <c r="AX22" s="95" t="s">
        <v>185</v>
      </c>
      <c r="AY22" s="95" t="s">
        <v>185</v>
      </c>
      <c r="AZ22" s="215"/>
      <c r="BA22" s="216"/>
    </row>
    <row r="23" spans="1:53" ht="15.75" customHeight="1">
      <c r="A23" s="40">
        <v>4</v>
      </c>
      <c r="B23" s="42">
        <f>Inputs!$C$49*$B$44</f>
        <v>270000</v>
      </c>
      <c r="C23" s="95" t="s">
        <v>185</v>
      </c>
      <c r="D23" s="42">
        <v>2500</v>
      </c>
      <c r="E23" s="95" t="s">
        <v>185</v>
      </c>
      <c r="F23" s="95" t="s">
        <v>185</v>
      </c>
      <c r="G23" s="42">
        <v>140</v>
      </c>
      <c r="H23" s="95" t="s">
        <v>185</v>
      </c>
      <c r="I23" s="46">
        <v>722000</v>
      </c>
      <c r="J23" s="46">
        <v>1200000</v>
      </c>
      <c r="K23" s="95" t="s">
        <v>185</v>
      </c>
      <c r="L23" s="59">
        <v>550</v>
      </c>
      <c r="M23" s="46">
        <v>250000</v>
      </c>
      <c r="N23" s="95" t="s">
        <v>185</v>
      </c>
      <c r="O23" s="46">
        <v>5200</v>
      </c>
      <c r="P23" s="46">
        <v>2500000</v>
      </c>
      <c r="Q23" s="46" t="e">
        <f>5*#REF!</f>
        <v>#REF!</v>
      </c>
      <c r="R23" s="46">
        <v>712857</v>
      </c>
      <c r="S23" s="95" t="s">
        <v>185</v>
      </c>
      <c r="T23" s="46">
        <v>78750</v>
      </c>
      <c r="U23" s="44">
        <v>33000</v>
      </c>
      <c r="V23" s="95" t="s">
        <v>185</v>
      </c>
      <c r="W23" s="95" t="s">
        <v>185</v>
      </c>
      <c r="X23" s="46">
        <v>400000</v>
      </c>
      <c r="Y23" s="95" t="s">
        <v>185</v>
      </c>
      <c r="Z23" s="95" t="s">
        <v>185</v>
      </c>
      <c r="AA23" s="95" t="s">
        <v>185</v>
      </c>
      <c r="AB23" s="51" t="s">
        <v>185</v>
      </c>
      <c r="AC23" s="95" t="s">
        <v>185</v>
      </c>
      <c r="AD23" s="42">
        <v>1400</v>
      </c>
      <c r="AE23" s="95" t="s">
        <v>185</v>
      </c>
      <c r="AF23" s="95" t="s">
        <v>185</v>
      </c>
      <c r="AG23" s="95" t="s">
        <v>185</v>
      </c>
      <c r="AH23" s="95" t="s">
        <v>185</v>
      </c>
      <c r="AI23" s="44">
        <v>70000</v>
      </c>
      <c r="AJ23" s="46">
        <v>20000</v>
      </c>
      <c r="AK23" s="95" t="s">
        <v>185</v>
      </c>
      <c r="AL23" s="95" t="s">
        <v>185</v>
      </c>
      <c r="AM23" s="95" t="s">
        <v>185</v>
      </c>
      <c r="AN23" s="95" t="s">
        <v>185</v>
      </c>
      <c r="AO23" s="59">
        <v>4</v>
      </c>
      <c r="AP23" s="95" t="s">
        <v>185</v>
      </c>
      <c r="AQ23" s="95" t="s">
        <v>185</v>
      </c>
      <c r="AR23" s="95" t="s">
        <v>185</v>
      </c>
      <c r="AS23" s="44">
        <v>4100</v>
      </c>
      <c r="AT23" s="42">
        <v>41000</v>
      </c>
      <c r="AU23" s="42">
        <v>5000</v>
      </c>
      <c r="AV23" s="95" t="s">
        <v>185</v>
      </c>
      <c r="AW23" s="95" t="s">
        <v>185</v>
      </c>
      <c r="AX23" s="95" t="s">
        <v>185</v>
      </c>
      <c r="AY23" s="95" t="s">
        <v>185</v>
      </c>
      <c r="AZ23" s="215"/>
      <c r="BA23" s="216"/>
    </row>
    <row r="24" spans="1:53" ht="15.75" customHeight="1">
      <c r="A24" s="40">
        <v>5</v>
      </c>
      <c r="B24" s="42">
        <f>Inputs!$C$49*$B$44</f>
        <v>270000</v>
      </c>
      <c r="C24" s="95" t="s">
        <v>185</v>
      </c>
      <c r="D24" s="42">
        <v>2600</v>
      </c>
      <c r="E24" s="95" t="s">
        <v>185</v>
      </c>
      <c r="F24" s="95" t="s">
        <v>185</v>
      </c>
      <c r="G24" s="42">
        <v>140</v>
      </c>
      <c r="H24" s="95" t="s">
        <v>185</v>
      </c>
      <c r="I24" s="46">
        <v>342000</v>
      </c>
      <c r="J24" s="46">
        <v>1200000</v>
      </c>
      <c r="K24" s="95" t="s">
        <v>185</v>
      </c>
      <c r="L24" s="59">
        <v>660</v>
      </c>
      <c r="M24" s="46">
        <v>250000</v>
      </c>
      <c r="N24" s="95" t="s">
        <v>185</v>
      </c>
      <c r="O24" s="42">
        <v>4400</v>
      </c>
      <c r="P24" s="46">
        <v>2500000</v>
      </c>
      <c r="Q24" s="46" t="e">
        <f>5*#REF!</f>
        <v>#REF!</v>
      </c>
      <c r="R24" s="46">
        <v>712857</v>
      </c>
      <c r="S24" s="95" t="s">
        <v>185</v>
      </c>
      <c r="T24" s="46">
        <v>78750</v>
      </c>
      <c r="U24" s="44">
        <v>33000</v>
      </c>
      <c r="V24" s="95" t="s">
        <v>185</v>
      </c>
      <c r="W24" s="95" t="s">
        <v>185</v>
      </c>
      <c r="X24" s="46">
        <v>400000</v>
      </c>
      <c r="Y24" s="95" t="s">
        <v>185</v>
      </c>
      <c r="Z24" s="95" t="s">
        <v>185</v>
      </c>
      <c r="AA24" s="95" t="s">
        <v>185</v>
      </c>
      <c r="AB24" s="51" t="s">
        <v>185</v>
      </c>
      <c r="AC24" s="95" t="s">
        <v>185</v>
      </c>
      <c r="AD24" s="42">
        <v>3200</v>
      </c>
      <c r="AE24" s="95" t="s">
        <v>185</v>
      </c>
      <c r="AF24" s="95" t="s">
        <v>185</v>
      </c>
      <c r="AG24" s="95" t="s">
        <v>185</v>
      </c>
      <c r="AH24" s="95" t="s">
        <v>185</v>
      </c>
      <c r="AI24" s="44">
        <v>20000</v>
      </c>
      <c r="AJ24" s="46">
        <v>20000</v>
      </c>
      <c r="AK24" s="95" t="s">
        <v>185</v>
      </c>
      <c r="AL24" s="95" t="s">
        <v>185</v>
      </c>
      <c r="AM24" s="95" t="s">
        <v>185</v>
      </c>
      <c r="AN24" s="95" t="s">
        <v>185</v>
      </c>
      <c r="AO24" s="59">
        <v>4</v>
      </c>
      <c r="AP24" s="95" t="s">
        <v>185</v>
      </c>
      <c r="AQ24" s="95" t="s">
        <v>185</v>
      </c>
      <c r="AR24" s="95" t="s">
        <v>185</v>
      </c>
      <c r="AS24" s="44">
        <v>4100</v>
      </c>
      <c r="AT24" s="42">
        <v>99000</v>
      </c>
      <c r="AU24" s="42">
        <v>5000</v>
      </c>
      <c r="AV24" s="95" t="s">
        <v>185</v>
      </c>
      <c r="AW24" s="95" t="s">
        <v>185</v>
      </c>
      <c r="AX24" s="95" t="s">
        <v>185</v>
      </c>
      <c r="AY24" s="95" t="s">
        <v>185</v>
      </c>
      <c r="AZ24" s="215"/>
      <c r="BA24" s="216"/>
    </row>
    <row r="25" spans="1:53" ht="15.75" customHeight="1">
      <c r="A25" s="40"/>
      <c r="B25" s="59"/>
      <c r="C25" s="59"/>
      <c r="D25" s="59"/>
      <c r="E25" s="59"/>
      <c r="F25" s="84"/>
      <c r="G25" s="59"/>
      <c r="H25" s="84"/>
      <c r="I25" s="84"/>
      <c r="J25" s="84"/>
      <c r="K25" s="84"/>
      <c r="L25" s="59"/>
      <c r="M25" s="84"/>
      <c r="N25" s="84"/>
      <c r="O25" s="85"/>
      <c r="P25" s="84"/>
      <c r="Q25" s="59"/>
      <c r="R25" s="84"/>
      <c r="S25" s="84"/>
      <c r="T25" s="84"/>
      <c r="U25" s="59"/>
      <c r="V25" s="84"/>
      <c r="W25" s="84"/>
      <c r="X25" s="84"/>
      <c r="Y25" s="84"/>
      <c r="Z25" s="84"/>
      <c r="AA25" s="84"/>
      <c r="AB25" s="84"/>
      <c r="AC25" s="84"/>
      <c r="AD25" s="59"/>
      <c r="AE25" s="84"/>
      <c r="AF25" s="84"/>
      <c r="AG25" s="84"/>
      <c r="AH25" s="84"/>
      <c r="AI25" s="59"/>
      <c r="AJ25" s="84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84"/>
      <c r="AZ25" s="215"/>
      <c r="BA25" s="216"/>
    </row>
    <row r="26" spans="1:53" ht="15.75" customHeight="1">
      <c r="A26" s="87" t="s">
        <v>203</v>
      </c>
      <c r="B26" s="89" t="s">
        <v>156</v>
      </c>
      <c r="C26" s="89" t="s">
        <v>153</v>
      </c>
      <c r="D26" s="89" t="s">
        <v>204</v>
      </c>
      <c r="E26" s="89" t="s">
        <v>153</v>
      </c>
      <c r="F26" s="89" t="s">
        <v>153</v>
      </c>
      <c r="G26" s="89" t="s">
        <v>153</v>
      </c>
      <c r="H26" s="89" t="s">
        <v>153</v>
      </c>
      <c r="I26" s="89" t="s">
        <v>153</v>
      </c>
      <c r="J26" s="89" t="s">
        <v>153</v>
      </c>
      <c r="K26" s="89" t="s">
        <v>153</v>
      </c>
      <c r="L26" s="89" t="s">
        <v>200</v>
      </c>
      <c r="M26" s="89" t="s">
        <v>153</v>
      </c>
      <c r="N26" s="89" t="s">
        <v>153</v>
      </c>
      <c r="O26" s="89" t="s">
        <v>156</v>
      </c>
      <c r="P26" s="89" t="s">
        <v>153</v>
      </c>
      <c r="Q26" s="89" t="s">
        <v>153</v>
      </c>
      <c r="R26" s="89" t="s">
        <v>156</v>
      </c>
      <c r="S26" s="89" t="s">
        <v>153</v>
      </c>
      <c r="T26" s="89" t="s">
        <v>204</v>
      </c>
      <c r="U26" s="89" t="s">
        <v>153</v>
      </c>
      <c r="V26" s="89" t="s">
        <v>153</v>
      </c>
      <c r="W26" s="89" t="s">
        <v>153</v>
      </c>
      <c r="X26" s="89" t="s">
        <v>153</v>
      </c>
      <c r="Y26" s="89" t="s">
        <v>153</v>
      </c>
      <c r="Z26" s="89" t="s">
        <v>153</v>
      </c>
      <c r="AA26" s="89" t="s">
        <v>153</v>
      </c>
      <c r="AB26" s="89" t="s">
        <v>153</v>
      </c>
      <c r="AC26" s="89" t="s">
        <v>153</v>
      </c>
      <c r="AD26" s="89" t="s">
        <v>156</v>
      </c>
      <c r="AE26" s="89" t="s">
        <v>153</v>
      </c>
      <c r="AF26" s="89" t="s">
        <v>153</v>
      </c>
      <c r="AG26" s="89" t="s">
        <v>153</v>
      </c>
      <c r="AH26" s="89" t="s">
        <v>153</v>
      </c>
      <c r="AI26" s="89" t="s">
        <v>153</v>
      </c>
      <c r="AJ26" s="89" t="s">
        <v>153</v>
      </c>
      <c r="AK26" s="89" t="s">
        <v>153</v>
      </c>
      <c r="AL26" s="89" t="s">
        <v>153</v>
      </c>
      <c r="AM26" s="89" t="s">
        <v>153</v>
      </c>
      <c r="AN26" s="89" t="s">
        <v>153</v>
      </c>
      <c r="AO26" s="89" t="s">
        <v>153</v>
      </c>
      <c r="AP26" s="89" t="s">
        <v>153</v>
      </c>
      <c r="AQ26" s="89" t="s">
        <v>153</v>
      </c>
      <c r="AR26" s="89" t="s">
        <v>153</v>
      </c>
      <c r="AS26" s="89" t="s">
        <v>153</v>
      </c>
      <c r="AT26" s="89" t="s">
        <v>153</v>
      </c>
      <c r="AU26" s="89" t="s">
        <v>153</v>
      </c>
      <c r="AV26" s="89" t="s">
        <v>153</v>
      </c>
      <c r="AW26" s="89" t="s">
        <v>153</v>
      </c>
      <c r="AX26" s="89" t="s">
        <v>153</v>
      </c>
      <c r="AY26" s="89" t="s">
        <v>153</v>
      </c>
      <c r="AZ26" s="215"/>
      <c r="BA26" s="216"/>
    </row>
    <row r="27" spans="1:53" ht="15.75" customHeight="1">
      <c r="A27" s="40">
        <v>1</v>
      </c>
      <c r="B27" s="42">
        <v>100000</v>
      </c>
      <c r="C27" s="95" t="s">
        <v>185</v>
      </c>
      <c r="D27" s="42">
        <v>2000</v>
      </c>
      <c r="E27" s="95" t="s">
        <v>185</v>
      </c>
      <c r="F27" s="95" t="s">
        <v>185</v>
      </c>
      <c r="G27" s="95" t="s">
        <v>185</v>
      </c>
      <c r="H27" s="95" t="s">
        <v>185</v>
      </c>
      <c r="I27" s="95" t="s">
        <v>185</v>
      </c>
      <c r="J27" s="95" t="s">
        <v>185</v>
      </c>
      <c r="K27" s="95" t="s">
        <v>185</v>
      </c>
      <c r="L27" s="59">
        <v>100</v>
      </c>
      <c r="M27" s="95" t="s">
        <v>185</v>
      </c>
      <c r="N27" s="95" t="s">
        <v>185</v>
      </c>
      <c r="O27" s="46">
        <v>1000</v>
      </c>
      <c r="P27" s="95" t="s">
        <v>185</v>
      </c>
      <c r="Q27" s="95" t="s">
        <v>185</v>
      </c>
      <c r="R27" s="46">
        <v>600000</v>
      </c>
      <c r="S27" s="95" t="s">
        <v>185</v>
      </c>
      <c r="T27" s="46">
        <v>61875</v>
      </c>
      <c r="U27" s="95" t="s">
        <v>185</v>
      </c>
      <c r="V27" s="95" t="s">
        <v>185</v>
      </c>
      <c r="W27" s="95" t="s">
        <v>185</v>
      </c>
      <c r="X27" s="95" t="s">
        <v>185</v>
      </c>
      <c r="Y27" s="95" t="s">
        <v>185</v>
      </c>
      <c r="Z27" s="95" t="s">
        <v>185</v>
      </c>
      <c r="AA27" s="95" t="s">
        <v>185</v>
      </c>
      <c r="AB27" s="95" t="s">
        <v>185</v>
      </c>
      <c r="AC27" s="95" t="s">
        <v>185</v>
      </c>
      <c r="AD27" s="51">
        <v>500</v>
      </c>
      <c r="AE27" s="95" t="s">
        <v>185</v>
      </c>
      <c r="AF27" s="95" t="s">
        <v>185</v>
      </c>
      <c r="AG27" s="95" t="s">
        <v>185</v>
      </c>
      <c r="AH27" s="95" t="s">
        <v>185</v>
      </c>
      <c r="AI27" s="95" t="s">
        <v>185</v>
      </c>
      <c r="AJ27" s="95" t="s">
        <v>185</v>
      </c>
      <c r="AK27" s="95" t="s">
        <v>185</v>
      </c>
      <c r="AL27" s="95" t="s">
        <v>185</v>
      </c>
      <c r="AM27" s="95" t="s">
        <v>185</v>
      </c>
      <c r="AN27" s="95" t="s">
        <v>185</v>
      </c>
      <c r="AO27" s="95" t="s">
        <v>185</v>
      </c>
      <c r="AP27" s="95" t="s">
        <v>185</v>
      </c>
      <c r="AQ27" s="95" t="s">
        <v>185</v>
      </c>
      <c r="AR27" s="95" t="s">
        <v>185</v>
      </c>
      <c r="AS27" s="95" t="s">
        <v>185</v>
      </c>
      <c r="AT27" s="95" t="s">
        <v>185</v>
      </c>
      <c r="AU27" s="95" t="s">
        <v>185</v>
      </c>
      <c r="AV27" s="95" t="s">
        <v>185</v>
      </c>
      <c r="AW27" s="95" t="s">
        <v>185</v>
      </c>
      <c r="AX27" s="95" t="s">
        <v>185</v>
      </c>
      <c r="AY27" s="95" t="s">
        <v>185</v>
      </c>
      <c r="AZ27" s="215"/>
      <c r="BA27" s="216"/>
    </row>
    <row r="28" spans="1:53" ht="15.75" customHeight="1">
      <c r="A28" s="40">
        <v>2</v>
      </c>
      <c r="B28" s="42">
        <v>100000</v>
      </c>
      <c r="C28" s="95" t="s">
        <v>185</v>
      </c>
      <c r="D28" s="42">
        <v>2800</v>
      </c>
      <c r="E28" s="95" t="s">
        <v>185</v>
      </c>
      <c r="F28" s="95" t="s">
        <v>185</v>
      </c>
      <c r="G28" s="95" t="s">
        <v>185</v>
      </c>
      <c r="H28" s="95" t="s">
        <v>185</v>
      </c>
      <c r="I28" s="95" t="s">
        <v>185</v>
      </c>
      <c r="J28" s="95" t="s">
        <v>185</v>
      </c>
      <c r="K28" s="95" t="s">
        <v>185</v>
      </c>
      <c r="L28" s="59">
        <v>100</v>
      </c>
      <c r="M28" s="95" t="s">
        <v>185</v>
      </c>
      <c r="N28" s="95" t="s">
        <v>185</v>
      </c>
      <c r="O28" s="46">
        <v>1000</v>
      </c>
      <c r="P28" s="95" t="s">
        <v>185</v>
      </c>
      <c r="Q28" s="95" t="s">
        <v>185</v>
      </c>
      <c r="R28" s="46">
        <v>600000</v>
      </c>
      <c r="S28" s="95" t="s">
        <v>185</v>
      </c>
      <c r="T28" s="46">
        <v>56250</v>
      </c>
      <c r="U28" s="95" t="s">
        <v>185</v>
      </c>
      <c r="V28" s="95" t="s">
        <v>185</v>
      </c>
      <c r="W28" s="95" t="s">
        <v>185</v>
      </c>
      <c r="X28" s="95" t="s">
        <v>185</v>
      </c>
      <c r="Y28" s="95" t="s">
        <v>185</v>
      </c>
      <c r="Z28" s="95" t="s">
        <v>185</v>
      </c>
      <c r="AA28" s="95" t="s">
        <v>185</v>
      </c>
      <c r="AB28" s="95" t="s">
        <v>185</v>
      </c>
      <c r="AC28" s="95" t="s">
        <v>185</v>
      </c>
      <c r="AD28" s="59">
        <v>500</v>
      </c>
      <c r="AE28" s="95" t="s">
        <v>185</v>
      </c>
      <c r="AF28" s="95" t="s">
        <v>185</v>
      </c>
      <c r="AG28" s="95" t="s">
        <v>185</v>
      </c>
      <c r="AH28" s="95" t="s">
        <v>185</v>
      </c>
      <c r="AI28" s="95" t="s">
        <v>185</v>
      </c>
      <c r="AJ28" s="95" t="s">
        <v>185</v>
      </c>
      <c r="AK28" s="95" t="s">
        <v>185</v>
      </c>
      <c r="AL28" s="95" t="s">
        <v>185</v>
      </c>
      <c r="AM28" s="95" t="s">
        <v>185</v>
      </c>
      <c r="AN28" s="95" t="s">
        <v>185</v>
      </c>
      <c r="AO28" s="95" t="s">
        <v>185</v>
      </c>
      <c r="AP28" s="95" t="s">
        <v>185</v>
      </c>
      <c r="AQ28" s="95" t="s">
        <v>185</v>
      </c>
      <c r="AR28" s="95" t="s">
        <v>185</v>
      </c>
      <c r="AS28" s="95" t="s">
        <v>185</v>
      </c>
      <c r="AT28" s="95" t="s">
        <v>185</v>
      </c>
      <c r="AU28" s="95" t="s">
        <v>185</v>
      </c>
      <c r="AV28" s="95" t="s">
        <v>185</v>
      </c>
      <c r="AW28" s="95" t="s">
        <v>185</v>
      </c>
      <c r="AX28" s="95" t="s">
        <v>185</v>
      </c>
      <c r="AY28" s="95" t="s">
        <v>185</v>
      </c>
      <c r="AZ28" s="215"/>
      <c r="BA28" s="216"/>
    </row>
    <row r="29" spans="1:53" ht="15.75" customHeight="1">
      <c r="A29" s="40">
        <v>3</v>
      </c>
      <c r="B29" s="42">
        <v>100000</v>
      </c>
      <c r="C29" s="95" t="s">
        <v>185</v>
      </c>
      <c r="D29" s="42">
        <v>2000</v>
      </c>
      <c r="E29" s="95" t="s">
        <v>185</v>
      </c>
      <c r="F29" s="95" t="s">
        <v>185</v>
      </c>
      <c r="G29" s="95" t="s">
        <v>185</v>
      </c>
      <c r="H29" s="95" t="s">
        <v>185</v>
      </c>
      <c r="I29" s="95" t="s">
        <v>185</v>
      </c>
      <c r="J29" s="95" t="s">
        <v>185</v>
      </c>
      <c r="K29" s="95" t="s">
        <v>185</v>
      </c>
      <c r="L29" s="59">
        <v>100</v>
      </c>
      <c r="M29" s="95" t="s">
        <v>185</v>
      </c>
      <c r="N29" s="95" t="s">
        <v>185</v>
      </c>
      <c r="O29" s="46">
        <v>1000</v>
      </c>
      <c r="P29" s="95" t="s">
        <v>185</v>
      </c>
      <c r="Q29" s="95" t="s">
        <v>185</v>
      </c>
      <c r="R29" s="46">
        <v>600000</v>
      </c>
      <c r="S29" s="95" t="s">
        <v>185</v>
      </c>
      <c r="T29" s="46">
        <v>39375</v>
      </c>
      <c r="U29" s="95" t="s">
        <v>185</v>
      </c>
      <c r="V29" s="95" t="s">
        <v>185</v>
      </c>
      <c r="W29" s="95" t="s">
        <v>185</v>
      </c>
      <c r="X29" s="95" t="s">
        <v>185</v>
      </c>
      <c r="Y29" s="95" t="s">
        <v>185</v>
      </c>
      <c r="Z29" s="95" t="s">
        <v>185</v>
      </c>
      <c r="AA29" s="95" t="s">
        <v>185</v>
      </c>
      <c r="AB29" s="95" t="s">
        <v>185</v>
      </c>
      <c r="AC29" s="95" t="s">
        <v>185</v>
      </c>
      <c r="AD29" s="59">
        <v>500</v>
      </c>
      <c r="AE29" s="95" t="s">
        <v>185</v>
      </c>
      <c r="AF29" s="95" t="s">
        <v>185</v>
      </c>
      <c r="AG29" s="95" t="s">
        <v>185</v>
      </c>
      <c r="AH29" s="95" t="s">
        <v>185</v>
      </c>
      <c r="AI29" s="95" t="s">
        <v>185</v>
      </c>
      <c r="AJ29" s="95" t="s">
        <v>185</v>
      </c>
      <c r="AK29" s="95" t="s">
        <v>185</v>
      </c>
      <c r="AL29" s="95" t="s">
        <v>185</v>
      </c>
      <c r="AM29" s="95" t="s">
        <v>185</v>
      </c>
      <c r="AN29" s="95" t="s">
        <v>185</v>
      </c>
      <c r="AO29" s="95" t="s">
        <v>185</v>
      </c>
      <c r="AP29" s="95" t="s">
        <v>185</v>
      </c>
      <c r="AQ29" s="95" t="s">
        <v>185</v>
      </c>
      <c r="AR29" s="95" t="s">
        <v>185</v>
      </c>
      <c r="AS29" s="95" t="s">
        <v>185</v>
      </c>
      <c r="AT29" s="95" t="s">
        <v>185</v>
      </c>
      <c r="AU29" s="95" t="s">
        <v>185</v>
      </c>
      <c r="AV29" s="95" t="s">
        <v>185</v>
      </c>
      <c r="AW29" s="95" t="s">
        <v>185</v>
      </c>
      <c r="AX29" s="95" t="s">
        <v>185</v>
      </c>
      <c r="AY29" s="95" t="s">
        <v>185</v>
      </c>
      <c r="AZ29" s="215"/>
      <c r="BA29" s="216"/>
    </row>
    <row r="30" spans="1:53" ht="15.75" customHeight="1">
      <c r="A30" s="40">
        <v>4</v>
      </c>
      <c r="B30" s="42">
        <v>100000</v>
      </c>
      <c r="C30" s="95" t="s">
        <v>185</v>
      </c>
      <c r="D30" s="42">
        <v>2000</v>
      </c>
      <c r="E30" s="95" t="s">
        <v>185</v>
      </c>
      <c r="F30" s="95" t="s">
        <v>185</v>
      </c>
      <c r="G30" s="95" t="s">
        <v>185</v>
      </c>
      <c r="H30" s="95" t="s">
        <v>185</v>
      </c>
      <c r="I30" s="95" t="s">
        <v>185</v>
      </c>
      <c r="J30" s="95" t="s">
        <v>185</v>
      </c>
      <c r="K30" s="95" t="s">
        <v>185</v>
      </c>
      <c r="L30" s="59">
        <v>100</v>
      </c>
      <c r="M30" s="95" t="s">
        <v>185</v>
      </c>
      <c r="N30" s="95" t="s">
        <v>185</v>
      </c>
      <c r="O30" s="46">
        <v>1000</v>
      </c>
      <c r="P30" s="95" t="s">
        <v>185</v>
      </c>
      <c r="Q30" s="95" t="s">
        <v>185</v>
      </c>
      <c r="R30" s="46">
        <v>600000</v>
      </c>
      <c r="S30" s="95" t="s">
        <v>185</v>
      </c>
      <c r="T30" s="46">
        <v>45000</v>
      </c>
      <c r="U30" s="95" t="s">
        <v>185</v>
      </c>
      <c r="V30" s="95" t="s">
        <v>185</v>
      </c>
      <c r="W30" s="95" t="s">
        <v>185</v>
      </c>
      <c r="X30" s="95" t="s">
        <v>185</v>
      </c>
      <c r="Y30" s="95" t="s">
        <v>185</v>
      </c>
      <c r="Z30" s="95" t="s">
        <v>185</v>
      </c>
      <c r="AA30" s="95" t="s">
        <v>185</v>
      </c>
      <c r="AB30" s="95" t="s">
        <v>185</v>
      </c>
      <c r="AC30" s="95" t="s">
        <v>185</v>
      </c>
      <c r="AD30" s="59">
        <v>500</v>
      </c>
      <c r="AE30" s="95" t="s">
        <v>185</v>
      </c>
      <c r="AF30" s="95" t="s">
        <v>185</v>
      </c>
      <c r="AG30" s="95" t="s">
        <v>185</v>
      </c>
      <c r="AH30" s="95" t="s">
        <v>185</v>
      </c>
      <c r="AI30" s="95" t="s">
        <v>185</v>
      </c>
      <c r="AJ30" s="95" t="s">
        <v>185</v>
      </c>
      <c r="AK30" s="95" t="s">
        <v>185</v>
      </c>
      <c r="AL30" s="95" t="s">
        <v>185</v>
      </c>
      <c r="AM30" s="95" t="s">
        <v>185</v>
      </c>
      <c r="AN30" s="95" t="s">
        <v>185</v>
      </c>
      <c r="AO30" s="95" t="s">
        <v>185</v>
      </c>
      <c r="AP30" s="95" t="s">
        <v>185</v>
      </c>
      <c r="AQ30" s="95" t="s">
        <v>185</v>
      </c>
      <c r="AR30" s="95" t="s">
        <v>185</v>
      </c>
      <c r="AS30" s="95" t="s">
        <v>185</v>
      </c>
      <c r="AT30" s="95" t="s">
        <v>185</v>
      </c>
      <c r="AU30" s="95" t="s">
        <v>185</v>
      </c>
      <c r="AV30" s="95" t="s">
        <v>185</v>
      </c>
      <c r="AW30" s="95" t="s">
        <v>185</v>
      </c>
      <c r="AX30" s="95" t="s">
        <v>185</v>
      </c>
      <c r="AY30" s="95" t="s">
        <v>185</v>
      </c>
      <c r="AZ30" s="215"/>
      <c r="BA30" s="216"/>
    </row>
    <row r="31" spans="1:53" ht="15.75" customHeight="1">
      <c r="A31" s="40">
        <v>5</v>
      </c>
      <c r="B31" s="42">
        <v>100000</v>
      </c>
      <c r="C31" s="95" t="s">
        <v>185</v>
      </c>
      <c r="D31" s="42">
        <v>1550</v>
      </c>
      <c r="E31" s="95" t="s">
        <v>185</v>
      </c>
      <c r="F31" s="95" t="s">
        <v>185</v>
      </c>
      <c r="G31" s="95" t="s">
        <v>185</v>
      </c>
      <c r="H31" s="95" t="s">
        <v>185</v>
      </c>
      <c r="I31" s="95" t="s">
        <v>185</v>
      </c>
      <c r="J31" s="95" t="s">
        <v>185</v>
      </c>
      <c r="K31" s="95" t="s">
        <v>185</v>
      </c>
      <c r="L31" s="59">
        <v>100</v>
      </c>
      <c r="M31" s="95" t="s">
        <v>185</v>
      </c>
      <c r="N31" s="95" t="s">
        <v>185</v>
      </c>
      <c r="O31" s="46">
        <v>1000</v>
      </c>
      <c r="P31" s="95" t="s">
        <v>185</v>
      </c>
      <c r="Q31" s="95" t="s">
        <v>185</v>
      </c>
      <c r="R31" s="46">
        <v>600000</v>
      </c>
      <c r="S31" s="95" t="s">
        <v>185</v>
      </c>
      <c r="T31" s="46">
        <v>45000</v>
      </c>
      <c r="U31" s="95" t="s">
        <v>185</v>
      </c>
      <c r="V31" s="95" t="s">
        <v>185</v>
      </c>
      <c r="W31" s="95" t="s">
        <v>185</v>
      </c>
      <c r="X31" s="95" t="s">
        <v>185</v>
      </c>
      <c r="Y31" s="95" t="s">
        <v>185</v>
      </c>
      <c r="Z31" s="95" t="s">
        <v>185</v>
      </c>
      <c r="AA31" s="95" t="s">
        <v>185</v>
      </c>
      <c r="AB31" s="95" t="s">
        <v>185</v>
      </c>
      <c r="AC31" s="95" t="s">
        <v>185</v>
      </c>
      <c r="AD31" s="59">
        <v>500</v>
      </c>
      <c r="AE31" s="95" t="s">
        <v>185</v>
      </c>
      <c r="AF31" s="95" t="s">
        <v>185</v>
      </c>
      <c r="AG31" s="95" t="s">
        <v>185</v>
      </c>
      <c r="AH31" s="95" t="s">
        <v>185</v>
      </c>
      <c r="AI31" s="95" t="s">
        <v>185</v>
      </c>
      <c r="AJ31" s="95" t="s">
        <v>185</v>
      </c>
      <c r="AK31" s="95" t="s">
        <v>185</v>
      </c>
      <c r="AL31" s="95" t="s">
        <v>185</v>
      </c>
      <c r="AM31" s="95" t="s">
        <v>185</v>
      </c>
      <c r="AN31" s="95" t="s">
        <v>185</v>
      </c>
      <c r="AO31" s="95" t="s">
        <v>185</v>
      </c>
      <c r="AP31" s="95" t="s">
        <v>185</v>
      </c>
      <c r="AQ31" s="95" t="s">
        <v>185</v>
      </c>
      <c r="AR31" s="95" t="s">
        <v>185</v>
      </c>
      <c r="AS31" s="95" t="s">
        <v>185</v>
      </c>
      <c r="AT31" s="95" t="s">
        <v>185</v>
      </c>
      <c r="AU31" s="95" t="s">
        <v>185</v>
      </c>
      <c r="AV31" s="95" t="s">
        <v>185</v>
      </c>
      <c r="AW31" s="95" t="s">
        <v>185</v>
      </c>
      <c r="AX31" s="95" t="s">
        <v>185</v>
      </c>
      <c r="AY31" s="95" t="s">
        <v>185</v>
      </c>
      <c r="AZ31" s="215"/>
      <c r="BA31" s="216"/>
    </row>
    <row r="32" spans="1:53" ht="15.75" customHeight="1">
      <c r="A32" s="40"/>
      <c r="B32" s="59"/>
      <c r="C32" s="59"/>
      <c r="D32" s="59"/>
      <c r="E32" s="59"/>
      <c r="F32" s="84"/>
      <c r="G32" s="59"/>
      <c r="H32" s="59"/>
      <c r="I32" s="84"/>
      <c r="J32" s="85"/>
      <c r="K32" s="59"/>
      <c r="L32" s="59"/>
      <c r="M32" s="84"/>
      <c r="N32" s="84"/>
      <c r="O32" s="85"/>
      <c r="P32" s="85"/>
      <c r="Q32" s="59"/>
      <c r="R32" s="84"/>
      <c r="S32" s="84"/>
      <c r="T32" s="85"/>
      <c r="U32" s="59"/>
      <c r="V32" s="84"/>
      <c r="W32" s="84"/>
      <c r="X32" s="84"/>
      <c r="Y32" s="84"/>
      <c r="Z32" s="84"/>
      <c r="AA32" s="84"/>
      <c r="AB32" s="59"/>
      <c r="AC32" s="84"/>
      <c r="AD32" s="59"/>
      <c r="AE32" s="84"/>
      <c r="AF32" s="59"/>
      <c r="AG32" s="59"/>
      <c r="AH32" s="84"/>
      <c r="AI32" s="84"/>
      <c r="AJ32" s="84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85"/>
      <c r="AZ32" s="215"/>
      <c r="BA32" s="216"/>
    </row>
    <row r="33" spans="1:53" ht="15.75" customHeight="1">
      <c r="A33" s="87" t="s">
        <v>205</v>
      </c>
      <c r="B33" s="106">
        <v>100000</v>
      </c>
      <c r="C33" s="89">
        <v>0</v>
      </c>
      <c r="D33" s="106">
        <f>AVERAGE(D27:D31)</f>
        <v>2070</v>
      </c>
      <c r="E33" s="107">
        <v>5000</v>
      </c>
      <c r="F33" s="89">
        <v>0</v>
      </c>
      <c r="G33" s="106">
        <v>0</v>
      </c>
      <c r="H33" s="106">
        <v>200000</v>
      </c>
      <c r="I33" s="106">
        <v>0</v>
      </c>
      <c r="J33" s="106">
        <v>10000000</v>
      </c>
      <c r="K33" s="106">
        <v>3000000</v>
      </c>
      <c r="L33" s="106">
        <v>0</v>
      </c>
      <c r="M33" s="106">
        <v>0</v>
      </c>
      <c r="N33" s="106">
        <v>0</v>
      </c>
      <c r="O33" s="106">
        <v>0</v>
      </c>
      <c r="P33" s="106">
        <v>3600000</v>
      </c>
      <c r="Q33" s="107">
        <v>35000</v>
      </c>
      <c r="R33" s="89">
        <v>0</v>
      </c>
      <c r="S33" s="89">
        <v>1677000</v>
      </c>
      <c r="T33" s="106">
        <f>AVERAGE(T27:T31)</f>
        <v>49500</v>
      </c>
      <c r="U33" s="106">
        <v>30000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89">
        <v>0</v>
      </c>
      <c r="AB33" s="106">
        <v>500</v>
      </c>
      <c r="AC33" s="106">
        <v>0</v>
      </c>
      <c r="AD33" s="106">
        <v>10000</v>
      </c>
      <c r="AE33" s="106">
        <v>0</v>
      </c>
      <c r="AF33" s="106">
        <v>1000</v>
      </c>
      <c r="AG33" s="106">
        <v>1000</v>
      </c>
      <c r="AH33" s="106">
        <v>0</v>
      </c>
      <c r="AI33" s="106">
        <v>0</v>
      </c>
      <c r="AJ33" s="106">
        <v>7500</v>
      </c>
      <c r="AK33" s="89">
        <v>4</v>
      </c>
      <c r="AL33" s="89">
        <v>0</v>
      </c>
      <c r="AM33" s="89">
        <v>30</v>
      </c>
      <c r="AN33" s="108">
        <f>5*$AN$44*Inputs!$AO$49</f>
        <v>1.37225</v>
      </c>
      <c r="AO33" s="89">
        <v>0</v>
      </c>
      <c r="AP33" s="92">
        <v>3</v>
      </c>
      <c r="AQ33" s="89">
        <v>0</v>
      </c>
      <c r="AR33" s="89">
        <v>0</v>
      </c>
      <c r="AS33" s="89">
        <v>0</v>
      </c>
      <c r="AT33" s="89">
        <v>0</v>
      </c>
      <c r="AU33" s="89">
        <v>5000</v>
      </c>
      <c r="AV33" s="89">
        <v>2000</v>
      </c>
      <c r="AW33" s="89">
        <v>0</v>
      </c>
      <c r="AX33" s="89">
        <v>0</v>
      </c>
      <c r="AY33" s="89">
        <v>0</v>
      </c>
      <c r="AZ33" s="215"/>
      <c r="BA33" s="216"/>
    </row>
    <row r="34" spans="1:53" ht="15.75" customHeight="1">
      <c r="A34" s="109" t="s">
        <v>206</v>
      </c>
      <c r="B34" s="110">
        <f>IFERROR(B33/Inputs!C49,0)</f>
        <v>5.5555555555555552E-2</v>
      </c>
      <c r="C34" s="110">
        <f>IFERROR(C33/Inputs!D49,0)</f>
        <v>0</v>
      </c>
      <c r="D34" s="110">
        <f>IFERROR(D33/Inputs!E49,0)</f>
        <v>0.18818181818181817</v>
      </c>
      <c r="E34" s="110">
        <f>IFERROR(E33/Inputs!F49,0)</f>
        <v>0.43859649122807015</v>
      </c>
      <c r="F34" s="110">
        <f>IFERROR(F33/Inputs!G49,0)</f>
        <v>0</v>
      </c>
      <c r="G34" s="110">
        <f>IFERROR(G33/Inputs!H49,0)</f>
        <v>0</v>
      </c>
      <c r="H34" s="110">
        <f>IFERROR(H33/Inputs!I49,0)</f>
        <v>0.1</v>
      </c>
      <c r="I34" s="110">
        <f>IFERROR(I33/Inputs!J49,0)</f>
        <v>0</v>
      </c>
      <c r="J34" s="110">
        <f>IFERROR(J33/Inputs!K49,0)</f>
        <v>0.90909090909090906</v>
      </c>
      <c r="K34" s="110">
        <f>IFERROR(K33/Inputs!L49,0)</f>
        <v>31.578947368421051</v>
      </c>
      <c r="L34" s="110">
        <f>IFERROR(L33/Inputs!M49,0)</f>
        <v>0</v>
      </c>
      <c r="M34" s="110">
        <f>IFERROR(M33/Inputs!N49,0)</f>
        <v>0</v>
      </c>
      <c r="N34" s="110">
        <f>IFERROR(N33/Inputs!O49,0)</f>
        <v>0</v>
      </c>
      <c r="O34" s="110">
        <f>IFERROR(O33/Inputs!P49,0)</f>
        <v>0</v>
      </c>
      <c r="P34" s="110">
        <f>IFERROR(P33/Inputs!Q49,0)</f>
        <v>3</v>
      </c>
      <c r="Q34" s="110">
        <f>IFERROR(Q33/Inputs!R49,0)</f>
        <v>0.14583333333333334</v>
      </c>
      <c r="R34" s="110">
        <f>IFERROR(R33/Inputs!S49,0)</f>
        <v>0</v>
      </c>
      <c r="S34" s="110">
        <f>IFERROR(S33/Inputs!T49,0)</f>
        <v>1.1645833333333333</v>
      </c>
      <c r="T34" s="110">
        <f>IFERROR(T33/Inputs!U49,0)</f>
        <v>0.2475</v>
      </c>
      <c r="U34" s="110">
        <f>IFERROR(U33/Inputs!V49,0)</f>
        <v>0.5714285714285714</v>
      </c>
      <c r="V34" s="110">
        <f>IFERROR(V33/Inputs!W49,0)</f>
        <v>0</v>
      </c>
      <c r="W34" s="110">
        <f>IFERROR(W33/Inputs!X49,0)</f>
        <v>0</v>
      </c>
      <c r="X34" s="110">
        <f>IFERROR(X33/Inputs!Y49,0)</f>
        <v>0</v>
      </c>
      <c r="Y34" s="110">
        <f>IFERROR(Y33/Inputs!Z49,0)</f>
        <v>0</v>
      </c>
      <c r="Z34" s="110">
        <f>IFERROR(Z33/Inputs!AA49,0)</f>
        <v>0</v>
      </c>
      <c r="AA34" s="110">
        <f>IFERROR(AA33/Inputs!AB49,0)</f>
        <v>0</v>
      </c>
      <c r="AB34" s="110">
        <f>IFERROR(AB33/Inputs!AC49,0)</f>
        <v>1.3888888888888888E-2</v>
      </c>
      <c r="AC34" s="110">
        <f>IFERROR(AC33/Inputs!AD49,0)</f>
        <v>0</v>
      </c>
      <c r="AD34" s="110">
        <f>IFERROR(AD33/Inputs!AE49,0)</f>
        <v>2</v>
      </c>
      <c r="AE34" s="110">
        <f>IFERROR(AE33/Inputs!AF49,0)</f>
        <v>0</v>
      </c>
      <c r="AF34" s="110">
        <f>IFERROR(AF33/Inputs!AG49,0)</f>
        <v>0.30864197530864196</v>
      </c>
      <c r="AG34" s="110">
        <f>IFERROR(AG33/Inputs!AH49,0)</f>
        <v>0.5</v>
      </c>
      <c r="AH34" s="110">
        <f>IFERROR(AH33/Inputs!AI49,0)</f>
        <v>0</v>
      </c>
      <c r="AI34" s="110">
        <f>IFERROR(AI33/Inputs!AJ49,0)</f>
        <v>0</v>
      </c>
      <c r="AJ34" s="110">
        <f>IFERROR(AJ33/Inputs!AK49,0)</f>
        <v>1.4999999999999999E-2</v>
      </c>
      <c r="AK34" s="110">
        <f>IFERROR(AK33/Inputs!AL49,0)</f>
        <v>0.26666666666666666</v>
      </c>
      <c r="AL34" s="110">
        <f>IFERROR(AL33/Inputs!AM49,0)</f>
        <v>0</v>
      </c>
      <c r="AM34" s="110">
        <f>IFERROR(AM33/Inputs!AN49,0)</f>
        <v>0.3</v>
      </c>
      <c r="AN34" s="110">
        <f>IFERROR(AN33/Inputs!AO49,0)</f>
        <v>0.20791666666666667</v>
      </c>
      <c r="AO34" s="110">
        <f>IFERROR(AO33/Inputs!AP49,0)</f>
        <v>0</v>
      </c>
      <c r="AP34" s="110">
        <f>IFERROR(AP33/Inputs!AQ49,0)</f>
        <v>0.375</v>
      </c>
      <c r="AQ34" s="110">
        <f>IFERROR(AQ33/Inputs!AR49,0)</f>
        <v>0</v>
      </c>
      <c r="AR34" s="110">
        <f>IFERROR(AR33/Inputs!AS49,0)</f>
        <v>0</v>
      </c>
      <c r="AS34" s="110">
        <f>IFERROR(AS33/Inputs!AT49,0)</f>
        <v>0</v>
      </c>
      <c r="AT34" s="110">
        <f>IFERROR(AT33/Inputs!AU49,0)</f>
        <v>0</v>
      </c>
      <c r="AU34" s="110">
        <f>IFERROR(AU33/Inputs!AV49,0)</f>
        <v>1.6666666666666668E-3</v>
      </c>
      <c r="AV34" s="110">
        <f>IFERROR(AV33/Inputs!AW49,0)</f>
        <v>2E-3</v>
      </c>
      <c r="AW34" s="110">
        <f>IFERROR(AW33/Inputs!AX49,0)</f>
        <v>0</v>
      </c>
      <c r="AX34" s="110">
        <f>IFERROR(AX33/Inputs!AY49,0)</f>
        <v>0</v>
      </c>
      <c r="AY34" s="110">
        <f>IFERROR(AY33/Inputs!AZ49,0)</f>
        <v>0</v>
      </c>
      <c r="AZ34" s="217"/>
      <c r="BA34" s="218"/>
    </row>
    <row r="35" spans="1:53" ht="15.75" customHeight="1">
      <c r="A35" s="40"/>
      <c r="B35" s="59"/>
      <c r="C35" s="59"/>
      <c r="D35" s="111"/>
      <c r="E35" s="59"/>
      <c r="F35" s="59"/>
      <c r="G35" s="59"/>
      <c r="H35" s="59"/>
      <c r="I35" s="85"/>
      <c r="J35" s="85"/>
      <c r="K35" s="59"/>
      <c r="L35" s="59"/>
      <c r="M35" s="84"/>
      <c r="N35" s="84"/>
      <c r="O35" s="85"/>
      <c r="P35" s="85"/>
      <c r="Q35" s="59"/>
      <c r="R35" s="84"/>
      <c r="S35" s="84"/>
      <c r="T35" s="85"/>
      <c r="U35" s="59"/>
      <c r="V35" s="59"/>
      <c r="W35" s="59"/>
      <c r="X35" s="84"/>
      <c r="Y35" s="59"/>
      <c r="Z35" s="84"/>
      <c r="AA35" s="84"/>
      <c r="AB35" s="59"/>
      <c r="AC35" s="59"/>
      <c r="AD35" s="59"/>
      <c r="AE35" s="59"/>
      <c r="AF35" s="59"/>
      <c r="AG35" s="59"/>
      <c r="AH35" s="59"/>
      <c r="AI35" s="84"/>
      <c r="AJ35" s="84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85"/>
      <c r="AZ35" s="215"/>
      <c r="BA35" s="216"/>
    </row>
    <row r="36" spans="1:53" ht="15.75" customHeight="1">
      <c r="A36" s="112" t="s">
        <v>81</v>
      </c>
      <c r="B36" s="113" t="s">
        <v>208</v>
      </c>
      <c r="C36" s="114"/>
      <c r="D36" s="68" t="s">
        <v>209</v>
      </c>
      <c r="E36" s="114"/>
      <c r="F36" s="114"/>
      <c r="G36" s="115"/>
      <c r="H36" s="115"/>
      <c r="I36" s="68" t="s">
        <v>210</v>
      </c>
      <c r="J36" s="116" t="s">
        <v>211</v>
      </c>
      <c r="K36" s="85"/>
      <c r="L36" s="85"/>
      <c r="M36" s="117" t="s">
        <v>212</v>
      </c>
      <c r="N36" s="118"/>
      <c r="O36" s="68" t="s">
        <v>213</v>
      </c>
      <c r="P36" s="113" t="s">
        <v>214</v>
      </c>
      <c r="Q36" s="119" t="s">
        <v>215</v>
      </c>
      <c r="R36" s="120"/>
      <c r="S36" s="122" t="s">
        <v>216</v>
      </c>
      <c r="T36" s="68" t="s">
        <v>217</v>
      </c>
      <c r="U36" s="114"/>
      <c r="V36" s="114"/>
      <c r="W36" s="114"/>
      <c r="X36" s="114"/>
      <c r="Y36" s="114"/>
      <c r="Z36" s="114" t="s">
        <v>218</v>
      </c>
      <c r="AA36" s="85"/>
      <c r="AB36" s="114"/>
      <c r="AC36" s="114"/>
      <c r="AD36" s="114" t="s">
        <v>219</v>
      </c>
      <c r="AE36" s="114"/>
      <c r="AF36" s="114"/>
      <c r="AG36" s="114" t="s">
        <v>220</v>
      </c>
      <c r="AH36" s="114"/>
      <c r="AI36" s="123"/>
      <c r="AJ36" s="123" t="s">
        <v>221</v>
      </c>
      <c r="AK36" s="114"/>
      <c r="AL36" s="114"/>
      <c r="AM36" s="114"/>
      <c r="AN36" s="119" t="s">
        <v>222</v>
      </c>
      <c r="AO36" s="114"/>
      <c r="AP36" s="114" t="s">
        <v>223</v>
      </c>
      <c r="AQ36" s="114"/>
      <c r="AR36" s="114" t="s">
        <v>224</v>
      </c>
      <c r="AS36" s="114" t="s">
        <v>225</v>
      </c>
      <c r="AT36" s="114" t="s">
        <v>226</v>
      </c>
      <c r="AU36" s="114" t="s">
        <v>227</v>
      </c>
      <c r="AV36" s="114" t="s">
        <v>228</v>
      </c>
      <c r="AW36" s="114"/>
      <c r="AX36" s="119" t="s">
        <v>229</v>
      </c>
      <c r="AY36" s="68" t="s">
        <v>230</v>
      </c>
      <c r="AZ36" s="219"/>
      <c r="BA36" s="220"/>
    </row>
    <row r="37" spans="1:53" ht="15.75" customHeight="1">
      <c r="A37" s="40"/>
      <c r="B37" s="59"/>
      <c r="C37" s="59"/>
      <c r="D37" s="59"/>
      <c r="E37" s="59"/>
      <c r="F37" s="59"/>
      <c r="G37" s="59"/>
      <c r="H37" s="59"/>
      <c r="I37" s="85"/>
      <c r="J37" s="85"/>
      <c r="K37" s="59"/>
      <c r="L37" s="59"/>
      <c r="M37" s="85"/>
      <c r="N37" s="84"/>
      <c r="O37" s="85"/>
      <c r="P37" s="85"/>
      <c r="Q37" s="59"/>
      <c r="R37" s="85"/>
      <c r="S37" s="85"/>
      <c r="T37" s="85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84"/>
      <c r="AJ37" s="84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85"/>
      <c r="AZ37" s="215"/>
      <c r="BA37" s="216"/>
    </row>
    <row r="38" spans="1:53" ht="15.75" customHeight="1">
      <c r="A38" s="112" t="s">
        <v>231</v>
      </c>
      <c r="B38" s="113" t="s">
        <v>232</v>
      </c>
      <c r="C38" s="124">
        <v>1000000</v>
      </c>
      <c r="D38" s="116">
        <v>100000</v>
      </c>
      <c r="E38" s="125">
        <v>12500</v>
      </c>
      <c r="F38" s="125">
        <v>2000000</v>
      </c>
      <c r="G38" s="116">
        <v>1000</v>
      </c>
      <c r="H38" s="116">
        <v>6000000</v>
      </c>
      <c r="I38" s="116">
        <v>1000000</v>
      </c>
      <c r="J38" s="126">
        <v>5500000</v>
      </c>
      <c r="K38" s="126">
        <v>10000000</v>
      </c>
      <c r="L38" s="116">
        <v>20000</v>
      </c>
      <c r="M38" s="126">
        <v>3500000</v>
      </c>
      <c r="N38" s="126">
        <v>1250000</v>
      </c>
      <c r="O38" s="126">
        <v>40000</v>
      </c>
      <c r="P38" s="126">
        <v>10000000</v>
      </c>
      <c r="Q38" s="124" t="s">
        <v>122</v>
      </c>
      <c r="R38" s="126">
        <v>6000000</v>
      </c>
      <c r="S38" s="126">
        <v>5000000</v>
      </c>
      <c r="T38" s="126">
        <v>1000000</v>
      </c>
      <c r="U38" s="124" t="s">
        <v>124</v>
      </c>
      <c r="V38" s="125" t="s">
        <v>125</v>
      </c>
      <c r="W38" s="125">
        <v>2000</v>
      </c>
      <c r="X38" s="125">
        <v>3000000</v>
      </c>
      <c r="Y38" s="124" t="s">
        <v>128</v>
      </c>
      <c r="Z38" s="124">
        <v>10000</v>
      </c>
      <c r="AA38" s="126">
        <v>1400000</v>
      </c>
      <c r="AB38" s="125">
        <v>5000</v>
      </c>
      <c r="AC38" s="125">
        <v>40000</v>
      </c>
      <c r="AD38" s="125" t="s">
        <v>131</v>
      </c>
      <c r="AE38" s="125" t="s">
        <v>125</v>
      </c>
      <c r="AF38" s="124" t="s">
        <v>132</v>
      </c>
      <c r="AG38" s="125">
        <v>15000</v>
      </c>
      <c r="AH38" s="125">
        <v>2000000</v>
      </c>
      <c r="AI38" s="127">
        <v>2000000</v>
      </c>
      <c r="AJ38" s="127">
        <v>200000</v>
      </c>
      <c r="AK38" s="128" t="s">
        <v>135</v>
      </c>
      <c r="AL38" s="114" t="s">
        <v>136</v>
      </c>
      <c r="AM38" s="114" t="s">
        <v>137</v>
      </c>
      <c r="AN38" s="114" t="s">
        <v>233</v>
      </c>
      <c r="AO38" s="119" t="s">
        <v>139</v>
      </c>
      <c r="AP38" s="114" t="s">
        <v>140</v>
      </c>
      <c r="AQ38" s="119" t="s">
        <v>234</v>
      </c>
      <c r="AR38" s="124" t="s">
        <v>142</v>
      </c>
      <c r="AS38" s="114" t="s">
        <v>143</v>
      </c>
      <c r="AT38" s="114" t="s">
        <v>144</v>
      </c>
      <c r="AU38" s="114" t="s">
        <v>235</v>
      </c>
      <c r="AV38" s="114" t="s">
        <v>146</v>
      </c>
      <c r="AW38" s="114" t="s">
        <v>147</v>
      </c>
      <c r="AX38" s="116" t="s">
        <v>236</v>
      </c>
      <c r="AY38" s="126" t="s">
        <v>237</v>
      </c>
      <c r="AZ38" s="221"/>
      <c r="BA38" s="222"/>
    </row>
    <row r="39" spans="1:53" ht="15.75" customHeight="1">
      <c r="A39" s="40"/>
      <c r="B39" s="59"/>
      <c r="C39" s="59"/>
      <c r="D39" s="59"/>
      <c r="E39" s="59"/>
      <c r="F39" s="59"/>
      <c r="G39" s="59"/>
      <c r="H39" s="59"/>
      <c r="I39" s="85"/>
      <c r="J39" s="85"/>
      <c r="K39" s="59"/>
      <c r="L39" s="59"/>
      <c r="M39" s="85"/>
      <c r="N39" s="84"/>
      <c r="O39" s="85"/>
      <c r="P39" s="85"/>
      <c r="Q39" s="59"/>
      <c r="R39" s="85"/>
      <c r="S39" s="85"/>
      <c r="T39" s="85"/>
      <c r="U39" s="59"/>
      <c r="V39" s="59">
        <f>50*V44</f>
        <v>12.475</v>
      </c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84"/>
      <c r="AJ39" s="84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85"/>
      <c r="AZ39" s="215"/>
      <c r="BA39" s="216"/>
    </row>
    <row r="40" spans="1:53" ht="15.75" customHeight="1">
      <c r="A40" s="109" t="s">
        <v>238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223"/>
      <c r="BA40" s="224"/>
    </row>
    <row r="41" spans="1:53" ht="15.75" customHeight="1">
      <c r="A41" s="40" t="s">
        <v>239</v>
      </c>
      <c r="B41" s="59" t="s">
        <v>240</v>
      </c>
      <c r="C41" s="59" t="s">
        <v>153</v>
      </c>
      <c r="D41" s="59" t="s">
        <v>153</v>
      </c>
      <c r="E41" s="59" t="s">
        <v>153</v>
      </c>
      <c r="F41" s="59" t="s">
        <v>153</v>
      </c>
      <c r="G41" s="59" t="s">
        <v>153</v>
      </c>
      <c r="H41" s="59" t="s">
        <v>153</v>
      </c>
      <c r="I41" s="59" t="s">
        <v>153</v>
      </c>
      <c r="J41" s="59" t="s">
        <v>153</v>
      </c>
      <c r="K41" s="59" t="s">
        <v>153</v>
      </c>
      <c r="L41" s="59" t="s">
        <v>153</v>
      </c>
      <c r="M41" s="59" t="s">
        <v>153</v>
      </c>
      <c r="N41" s="59" t="s">
        <v>153</v>
      </c>
      <c r="O41" s="59" t="s">
        <v>153</v>
      </c>
      <c r="P41" s="59" t="s">
        <v>153</v>
      </c>
      <c r="Q41" s="59" t="s">
        <v>153</v>
      </c>
      <c r="R41" s="59" t="s">
        <v>241</v>
      </c>
      <c r="S41" s="59" t="s">
        <v>153</v>
      </c>
      <c r="T41" s="59" t="s">
        <v>153</v>
      </c>
      <c r="U41" s="59" t="s">
        <v>153</v>
      </c>
      <c r="V41" s="59" t="s">
        <v>242</v>
      </c>
      <c r="W41" s="59" t="s">
        <v>153</v>
      </c>
      <c r="X41" s="59" t="s">
        <v>153</v>
      </c>
      <c r="Y41" s="59" t="s">
        <v>153</v>
      </c>
      <c r="Z41" s="59" t="s">
        <v>153</v>
      </c>
      <c r="AA41" s="59" t="s">
        <v>153</v>
      </c>
      <c r="AB41" s="59" t="s">
        <v>153</v>
      </c>
      <c r="AC41" s="59" t="s">
        <v>153</v>
      </c>
      <c r="AD41" s="59" t="s">
        <v>242</v>
      </c>
      <c r="AE41" s="59" t="s">
        <v>242</v>
      </c>
      <c r="AF41" s="59" t="s">
        <v>243</v>
      </c>
      <c r="AG41" s="59" t="s">
        <v>153</v>
      </c>
      <c r="AH41" s="59" t="s">
        <v>153</v>
      </c>
      <c r="AI41" s="59" t="s">
        <v>153</v>
      </c>
      <c r="AJ41" s="59" t="s">
        <v>153</v>
      </c>
      <c r="AK41" s="59" t="s">
        <v>244</v>
      </c>
      <c r="AL41" s="59" t="s">
        <v>244</v>
      </c>
      <c r="AM41" s="59" t="s">
        <v>245</v>
      </c>
      <c r="AN41" s="59" t="s">
        <v>242</v>
      </c>
      <c r="AO41" s="59" t="s">
        <v>245</v>
      </c>
      <c r="AP41" s="59" t="s">
        <v>244</v>
      </c>
      <c r="AQ41" s="59" t="s">
        <v>153</v>
      </c>
      <c r="AR41" s="59" t="s">
        <v>246</v>
      </c>
      <c r="AS41" s="59" t="s">
        <v>153</v>
      </c>
      <c r="AT41" s="59" t="s">
        <v>242</v>
      </c>
      <c r="AU41" s="59" t="s">
        <v>247</v>
      </c>
      <c r="AV41" s="59" t="s">
        <v>246</v>
      </c>
      <c r="AW41" s="59" t="s">
        <v>153</v>
      </c>
      <c r="AX41" s="59" t="s">
        <v>242</v>
      </c>
      <c r="AY41" s="59" t="s">
        <v>248</v>
      </c>
      <c r="AZ41" s="215"/>
      <c r="BA41" s="216"/>
    </row>
    <row r="42" spans="1:53" ht="15.75" customHeight="1">
      <c r="A42" s="40" t="s">
        <v>249</v>
      </c>
      <c r="B42" s="59">
        <v>40</v>
      </c>
      <c r="C42" s="59" t="s">
        <v>153</v>
      </c>
      <c r="D42" s="59" t="s">
        <v>153</v>
      </c>
      <c r="E42" s="59" t="s">
        <v>153</v>
      </c>
      <c r="F42" s="59" t="s">
        <v>153</v>
      </c>
      <c r="G42" s="59" t="s">
        <v>153</v>
      </c>
      <c r="H42" s="59" t="s">
        <v>153</v>
      </c>
      <c r="I42" s="59" t="s">
        <v>153</v>
      </c>
      <c r="J42" s="59" t="s">
        <v>153</v>
      </c>
      <c r="K42" s="59" t="s">
        <v>153</v>
      </c>
      <c r="L42" s="59" t="s">
        <v>153</v>
      </c>
      <c r="M42" s="59" t="s">
        <v>153</v>
      </c>
      <c r="N42" s="59" t="s">
        <v>153</v>
      </c>
      <c r="O42" s="59" t="s">
        <v>153</v>
      </c>
      <c r="P42" s="59" t="s">
        <v>153</v>
      </c>
      <c r="Q42" s="59" t="s">
        <v>153</v>
      </c>
      <c r="R42" s="59">
        <v>7</v>
      </c>
      <c r="S42" s="59" t="s">
        <v>153</v>
      </c>
      <c r="T42" s="59" t="s">
        <v>153</v>
      </c>
      <c r="U42" s="59" t="s">
        <v>153</v>
      </c>
      <c r="V42" s="59">
        <v>20</v>
      </c>
      <c r="W42" s="59" t="s">
        <v>153</v>
      </c>
      <c r="X42" s="59" t="s">
        <v>153</v>
      </c>
      <c r="Y42" s="59" t="s">
        <v>153</v>
      </c>
      <c r="Z42" s="59" t="s">
        <v>153</v>
      </c>
      <c r="AA42" s="59" t="s">
        <v>153</v>
      </c>
      <c r="AB42" s="59" t="s">
        <v>153</v>
      </c>
      <c r="AC42" s="59" t="s">
        <v>153</v>
      </c>
      <c r="AD42" s="59">
        <v>100</v>
      </c>
      <c r="AE42" s="59">
        <v>20</v>
      </c>
      <c r="AF42" s="59">
        <v>24</v>
      </c>
      <c r="AG42" s="59" t="s">
        <v>153</v>
      </c>
      <c r="AH42" s="59" t="s">
        <v>153</v>
      </c>
      <c r="AI42" s="59" t="s">
        <v>153</v>
      </c>
      <c r="AJ42" s="59" t="s">
        <v>153</v>
      </c>
      <c r="AK42" s="59">
        <v>6600</v>
      </c>
      <c r="AL42" s="59">
        <v>30000</v>
      </c>
      <c r="AM42" s="59">
        <v>13</v>
      </c>
      <c r="AN42" s="59">
        <v>120</v>
      </c>
      <c r="AO42" s="59">
        <v>30</v>
      </c>
      <c r="AP42" s="59">
        <v>5000</v>
      </c>
      <c r="AQ42" s="59" t="s">
        <v>153</v>
      </c>
      <c r="AR42" s="59">
        <v>83</v>
      </c>
      <c r="AS42" s="59" t="s">
        <v>153</v>
      </c>
      <c r="AT42" s="59">
        <v>20</v>
      </c>
      <c r="AU42" s="59">
        <v>100</v>
      </c>
      <c r="AV42" s="59">
        <v>200</v>
      </c>
      <c r="AW42" s="59" t="s">
        <v>153</v>
      </c>
      <c r="AX42" s="59">
        <v>250</v>
      </c>
      <c r="AY42" s="59" t="s">
        <v>153</v>
      </c>
      <c r="AZ42" s="215"/>
      <c r="BA42" s="216"/>
    </row>
    <row r="43" spans="1:53" ht="15.75" customHeight="1">
      <c r="A43" s="40" t="s">
        <v>250</v>
      </c>
      <c r="B43" s="132">
        <v>6</v>
      </c>
      <c r="C43" s="132" t="s">
        <v>153</v>
      </c>
      <c r="D43" s="132" t="s">
        <v>153</v>
      </c>
      <c r="E43" s="132" t="s">
        <v>153</v>
      </c>
      <c r="F43" s="132" t="s">
        <v>153</v>
      </c>
      <c r="G43" s="132" t="s">
        <v>153</v>
      </c>
      <c r="H43" s="132" t="s">
        <v>153</v>
      </c>
      <c r="I43" s="132" t="s">
        <v>153</v>
      </c>
      <c r="J43" s="132" t="s">
        <v>153</v>
      </c>
      <c r="K43" s="132" t="s">
        <v>153</v>
      </c>
      <c r="L43" s="132" t="s">
        <v>153</v>
      </c>
      <c r="M43" s="132" t="s">
        <v>153</v>
      </c>
      <c r="N43" s="132" t="s">
        <v>153</v>
      </c>
      <c r="O43" s="132" t="s">
        <v>153</v>
      </c>
      <c r="P43" s="132" t="s">
        <v>153</v>
      </c>
      <c r="Q43" s="132" t="s">
        <v>153</v>
      </c>
      <c r="R43" s="132">
        <v>4.99</v>
      </c>
      <c r="S43" s="132" t="s">
        <v>153</v>
      </c>
      <c r="T43" s="132" t="s">
        <v>153</v>
      </c>
      <c r="U43" s="132" t="s">
        <v>153</v>
      </c>
      <c r="V43" s="132">
        <v>4.99</v>
      </c>
      <c r="W43" s="132" t="s">
        <v>153</v>
      </c>
      <c r="X43" s="132" t="s">
        <v>153</v>
      </c>
      <c r="Y43" s="132" t="s">
        <v>153</v>
      </c>
      <c r="Z43" s="132" t="s">
        <v>153</v>
      </c>
      <c r="AA43" s="132" t="s">
        <v>153</v>
      </c>
      <c r="AB43" s="132" t="s">
        <v>153</v>
      </c>
      <c r="AC43" s="132" t="s">
        <v>153</v>
      </c>
      <c r="AD43" s="132">
        <v>9.99</v>
      </c>
      <c r="AE43" s="132">
        <v>4.99</v>
      </c>
      <c r="AF43" s="132">
        <v>4.99</v>
      </c>
      <c r="AG43" s="132" t="s">
        <v>153</v>
      </c>
      <c r="AH43" s="132" t="s">
        <v>153</v>
      </c>
      <c r="AI43" s="132" t="s">
        <v>153</v>
      </c>
      <c r="AJ43" s="132" t="s">
        <v>153</v>
      </c>
      <c r="AK43" s="132">
        <v>4.99</v>
      </c>
      <c r="AL43" s="132">
        <v>9.99</v>
      </c>
      <c r="AM43" s="132">
        <v>4.99</v>
      </c>
      <c r="AN43" s="132">
        <v>4.99</v>
      </c>
      <c r="AO43" s="132">
        <v>4.99</v>
      </c>
      <c r="AP43" s="132">
        <v>4.99</v>
      </c>
      <c r="AQ43" s="132" t="s">
        <v>153</v>
      </c>
      <c r="AR43" s="132">
        <v>4.99</v>
      </c>
      <c r="AS43" s="132" t="s">
        <v>153</v>
      </c>
      <c r="AT43" s="132">
        <v>4.99</v>
      </c>
      <c r="AU43" s="132">
        <v>9.99</v>
      </c>
      <c r="AV43" s="132">
        <v>4.99</v>
      </c>
      <c r="AW43" s="132" t="s">
        <v>153</v>
      </c>
      <c r="AX43" s="132">
        <v>4.99</v>
      </c>
      <c r="AY43" s="132" t="s">
        <v>153</v>
      </c>
      <c r="AZ43" s="215"/>
      <c r="BA43" s="216"/>
    </row>
    <row r="44" spans="1:53" ht="15.75" customHeight="1">
      <c r="A44" s="40" t="s">
        <v>251</v>
      </c>
      <c r="B44" s="132">
        <f>IFERROR(B43/B42,0)</f>
        <v>0.15</v>
      </c>
      <c r="C44" s="132" t="s">
        <v>153</v>
      </c>
      <c r="D44" s="132" t="s">
        <v>153</v>
      </c>
      <c r="E44" s="132" t="s">
        <v>153</v>
      </c>
      <c r="F44" s="132" t="s">
        <v>153</v>
      </c>
      <c r="G44" s="132" t="s">
        <v>153</v>
      </c>
      <c r="H44" s="132" t="s">
        <v>153</v>
      </c>
      <c r="I44" s="132" t="s">
        <v>153</v>
      </c>
      <c r="J44" s="132" t="s">
        <v>153</v>
      </c>
      <c r="K44" s="132" t="s">
        <v>153</v>
      </c>
      <c r="L44" s="132" t="s">
        <v>153</v>
      </c>
      <c r="M44" s="132" t="s">
        <v>153</v>
      </c>
      <c r="N44" s="132" t="s">
        <v>153</v>
      </c>
      <c r="O44" s="132" t="s">
        <v>153</v>
      </c>
      <c r="P44" s="132" t="s">
        <v>153</v>
      </c>
      <c r="Q44" s="132" t="s">
        <v>153</v>
      </c>
      <c r="R44" s="132">
        <f>IFERROR(R43/R42,0)</f>
        <v>0.71285714285714286</v>
      </c>
      <c r="S44" s="132" t="s">
        <v>153</v>
      </c>
      <c r="T44" s="132" t="s">
        <v>153</v>
      </c>
      <c r="U44" s="132" t="s">
        <v>153</v>
      </c>
      <c r="V44" s="132">
        <f>IFERROR(V43/V42,0)</f>
        <v>0.2495</v>
      </c>
      <c r="W44" s="132" t="s">
        <v>153</v>
      </c>
      <c r="X44" s="132" t="s">
        <v>153</v>
      </c>
      <c r="Y44" s="132" t="s">
        <v>153</v>
      </c>
      <c r="Z44" s="132" t="s">
        <v>153</v>
      </c>
      <c r="AA44" s="132" t="s">
        <v>153</v>
      </c>
      <c r="AB44" s="132" t="s">
        <v>153</v>
      </c>
      <c r="AC44" s="132" t="s">
        <v>153</v>
      </c>
      <c r="AD44" s="132">
        <f t="shared" ref="AD44:AF44" si="0">IFERROR(AD43/AD42,0)</f>
        <v>9.9900000000000003E-2</v>
      </c>
      <c r="AE44" s="132">
        <f t="shared" si="0"/>
        <v>0.2495</v>
      </c>
      <c r="AF44" s="132">
        <f t="shared" si="0"/>
        <v>0.20791666666666667</v>
      </c>
      <c r="AG44" s="132" t="s">
        <v>153</v>
      </c>
      <c r="AH44" s="132" t="s">
        <v>153</v>
      </c>
      <c r="AI44" s="132" t="s">
        <v>153</v>
      </c>
      <c r="AJ44" s="132" t="s">
        <v>153</v>
      </c>
      <c r="AK44" s="132">
        <f t="shared" ref="AK44:AP44" si="1">IFERROR(AK43/AK42,0)</f>
        <v>7.5606060606060613E-4</v>
      </c>
      <c r="AL44" s="132">
        <f t="shared" si="1"/>
        <v>3.3300000000000002E-4</v>
      </c>
      <c r="AM44" s="132">
        <f t="shared" si="1"/>
        <v>0.38384615384615384</v>
      </c>
      <c r="AN44" s="132">
        <f t="shared" si="1"/>
        <v>4.1583333333333333E-2</v>
      </c>
      <c r="AO44" s="132">
        <f t="shared" si="1"/>
        <v>0.16633333333333333</v>
      </c>
      <c r="AP44" s="132">
        <f t="shared" si="1"/>
        <v>9.9799999999999997E-4</v>
      </c>
      <c r="AQ44" s="132" t="s">
        <v>153</v>
      </c>
      <c r="AR44" s="132">
        <f>IFERROR(AR43/AR42,0)</f>
        <v>6.0120481927710849E-2</v>
      </c>
      <c r="AS44" s="132" t="s">
        <v>153</v>
      </c>
      <c r="AT44" s="132">
        <f t="shared" ref="AT44:AV44" si="2">IFERROR(AT43/AT42,0)</f>
        <v>0.2495</v>
      </c>
      <c r="AU44" s="132">
        <f t="shared" si="2"/>
        <v>9.9900000000000003E-2</v>
      </c>
      <c r="AV44" s="132">
        <f t="shared" si="2"/>
        <v>2.495E-2</v>
      </c>
      <c r="AW44" s="132" t="s">
        <v>153</v>
      </c>
      <c r="AX44" s="132">
        <f t="shared" ref="AX44" si="3">IFERROR(AX43/AX42,0)</f>
        <v>1.9960000000000002E-2</v>
      </c>
      <c r="AY44" s="132" t="s">
        <v>153</v>
      </c>
      <c r="AZ44" s="225"/>
      <c r="BA44" s="226"/>
    </row>
    <row r="45" spans="1:53" ht="15.75" customHeight="1">
      <c r="A45" s="40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215"/>
      <c r="BA45" s="216"/>
    </row>
    <row r="46" spans="1:53" ht="15.75" customHeight="1">
      <c r="A46" s="40" t="s">
        <v>239</v>
      </c>
      <c r="B46" s="59" t="s">
        <v>243</v>
      </c>
      <c r="C46" s="59" t="s">
        <v>153</v>
      </c>
      <c r="D46" s="59" t="s">
        <v>153</v>
      </c>
      <c r="E46" s="59" t="s">
        <v>153</v>
      </c>
      <c r="F46" s="59" t="s">
        <v>153</v>
      </c>
      <c r="G46" s="59" t="s">
        <v>153</v>
      </c>
      <c r="H46" s="59" t="s">
        <v>153</v>
      </c>
      <c r="I46" s="59" t="s">
        <v>153</v>
      </c>
      <c r="J46" s="59" t="s">
        <v>153</v>
      </c>
      <c r="K46" s="59" t="s">
        <v>153</v>
      </c>
      <c r="L46" s="59" t="s">
        <v>153</v>
      </c>
      <c r="M46" s="59" t="s">
        <v>153</v>
      </c>
      <c r="N46" s="59" t="s">
        <v>153</v>
      </c>
      <c r="O46" s="59" t="s">
        <v>153</v>
      </c>
      <c r="P46" s="59" t="s">
        <v>153</v>
      </c>
      <c r="Q46" s="59" t="s">
        <v>153</v>
      </c>
      <c r="R46" s="59" t="s">
        <v>153</v>
      </c>
      <c r="S46" s="59" t="s">
        <v>153</v>
      </c>
      <c r="T46" s="59" t="s">
        <v>153</v>
      </c>
      <c r="U46" s="59" t="s">
        <v>153</v>
      </c>
      <c r="V46" s="59" t="s">
        <v>153</v>
      </c>
      <c r="W46" s="59" t="s">
        <v>153</v>
      </c>
      <c r="X46" s="59" t="s">
        <v>153</v>
      </c>
      <c r="Y46" s="59" t="s">
        <v>153</v>
      </c>
      <c r="Z46" s="59" t="s">
        <v>153</v>
      </c>
      <c r="AA46" s="59" t="s">
        <v>153</v>
      </c>
      <c r="AB46" s="59" t="s">
        <v>153</v>
      </c>
      <c r="AC46" s="59" t="s">
        <v>153</v>
      </c>
      <c r="AD46" s="59" t="s">
        <v>253</v>
      </c>
      <c r="AE46" s="59" t="s">
        <v>153</v>
      </c>
      <c r="AF46" s="59" t="s">
        <v>153</v>
      </c>
      <c r="AG46" s="59" t="s">
        <v>153</v>
      </c>
      <c r="AH46" s="59" t="s">
        <v>153</v>
      </c>
      <c r="AI46" s="59" t="s">
        <v>153</v>
      </c>
      <c r="AJ46" s="59" t="s">
        <v>153</v>
      </c>
      <c r="AK46" s="59" t="s">
        <v>245</v>
      </c>
      <c r="AL46" s="59" t="s">
        <v>245</v>
      </c>
      <c r="AM46" s="59" t="s">
        <v>153</v>
      </c>
      <c r="AN46" s="59" t="s">
        <v>254</v>
      </c>
      <c r="AO46" s="59" t="s">
        <v>255</v>
      </c>
      <c r="AP46" s="59" t="s">
        <v>153</v>
      </c>
      <c r="AQ46" s="59" t="s">
        <v>153</v>
      </c>
      <c r="AR46" s="59" t="s">
        <v>153</v>
      </c>
      <c r="AS46" s="59" t="s">
        <v>153</v>
      </c>
      <c r="AT46" s="59" t="s">
        <v>153</v>
      </c>
      <c r="AU46" s="59" t="s">
        <v>153</v>
      </c>
      <c r="AV46" s="59" t="s">
        <v>153</v>
      </c>
      <c r="AW46" s="59" t="s">
        <v>153</v>
      </c>
      <c r="AX46" s="59" t="s">
        <v>153</v>
      </c>
      <c r="AY46" s="59" t="s">
        <v>153</v>
      </c>
      <c r="AZ46" s="215"/>
      <c r="BA46" s="216"/>
    </row>
    <row r="47" spans="1:53" ht="15.75" customHeight="1">
      <c r="A47" s="40" t="s">
        <v>249</v>
      </c>
      <c r="B47" s="59">
        <v>93</v>
      </c>
      <c r="C47" s="59" t="s">
        <v>153</v>
      </c>
      <c r="D47" s="59" t="s">
        <v>153</v>
      </c>
      <c r="E47" s="59" t="s">
        <v>153</v>
      </c>
      <c r="F47" s="59" t="s">
        <v>153</v>
      </c>
      <c r="G47" s="59" t="s">
        <v>153</v>
      </c>
      <c r="H47" s="59" t="s">
        <v>153</v>
      </c>
      <c r="I47" s="59" t="s">
        <v>153</v>
      </c>
      <c r="J47" s="59" t="s">
        <v>153</v>
      </c>
      <c r="K47" s="59" t="s">
        <v>153</v>
      </c>
      <c r="L47" s="59" t="s">
        <v>153</v>
      </c>
      <c r="M47" s="59" t="s">
        <v>153</v>
      </c>
      <c r="N47" s="59" t="s">
        <v>153</v>
      </c>
      <c r="O47" s="59" t="s">
        <v>153</v>
      </c>
      <c r="P47" s="59" t="s">
        <v>153</v>
      </c>
      <c r="Q47" s="59" t="s">
        <v>153</v>
      </c>
      <c r="R47" s="59" t="s">
        <v>153</v>
      </c>
      <c r="S47" s="59" t="s">
        <v>153</v>
      </c>
      <c r="T47" s="59" t="s">
        <v>153</v>
      </c>
      <c r="U47" s="59" t="s">
        <v>153</v>
      </c>
      <c r="V47" s="59" t="s">
        <v>153</v>
      </c>
      <c r="W47" s="59" t="s">
        <v>153</v>
      </c>
      <c r="X47" s="59" t="s">
        <v>153</v>
      </c>
      <c r="Y47" s="59" t="s">
        <v>153</v>
      </c>
      <c r="Z47" s="59" t="s">
        <v>153</v>
      </c>
      <c r="AA47" s="59" t="s">
        <v>153</v>
      </c>
      <c r="AB47" s="59" t="s">
        <v>153</v>
      </c>
      <c r="AC47" s="59" t="s">
        <v>153</v>
      </c>
      <c r="AD47" s="59">
        <v>1000</v>
      </c>
      <c r="AE47" s="59" t="s">
        <v>153</v>
      </c>
      <c r="AF47" s="59" t="s">
        <v>153</v>
      </c>
      <c r="AG47" s="59" t="s">
        <v>153</v>
      </c>
      <c r="AH47" s="59" t="s">
        <v>153</v>
      </c>
      <c r="AI47" s="59" t="s">
        <v>153</v>
      </c>
      <c r="AJ47" s="59" t="s">
        <v>153</v>
      </c>
      <c r="AK47" s="59">
        <v>20</v>
      </c>
      <c r="AL47" s="59">
        <v>5</v>
      </c>
      <c r="AM47" s="59" t="s">
        <v>153</v>
      </c>
      <c r="AN47" s="59">
        <v>2900</v>
      </c>
      <c r="AO47" s="59" t="s">
        <v>153</v>
      </c>
      <c r="AP47" s="59" t="s">
        <v>153</v>
      </c>
      <c r="AQ47" s="59" t="s">
        <v>153</v>
      </c>
      <c r="AR47" s="59" t="s">
        <v>153</v>
      </c>
      <c r="AS47" s="59" t="s">
        <v>153</v>
      </c>
      <c r="AT47" s="59" t="s">
        <v>153</v>
      </c>
      <c r="AU47" s="59" t="s">
        <v>153</v>
      </c>
      <c r="AV47" s="59" t="s">
        <v>153</v>
      </c>
      <c r="AW47" s="59" t="s">
        <v>153</v>
      </c>
      <c r="AX47" s="59" t="s">
        <v>153</v>
      </c>
      <c r="AY47" s="59" t="s">
        <v>153</v>
      </c>
      <c r="AZ47" s="215"/>
      <c r="BA47" s="216"/>
    </row>
    <row r="48" spans="1:53" ht="15.75" customHeight="1">
      <c r="A48" s="40" t="s">
        <v>250</v>
      </c>
      <c r="B48" s="132">
        <v>5</v>
      </c>
      <c r="C48" s="132" t="s">
        <v>153</v>
      </c>
      <c r="D48" s="132" t="s">
        <v>153</v>
      </c>
      <c r="E48" s="132" t="s">
        <v>153</v>
      </c>
      <c r="F48" s="132" t="s">
        <v>153</v>
      </c>
      <c r="G48" s="132" t="s">
        <v>153</v>
      </c>
      <c r="H48" s="132" t="s">
        <v>153</v>
      </c>
      <c r="I48" s="132" t="s">
        <v>153</v>
      </c>
      <c r="J48" s="132" t="s">
        <v>153</v>
      </c>
      <c r="K48" s="132" t="s">
        <v>153</v>
      </c>
      <c r="L48" s="132" t="s">
        <v>153</v>
      </c>
      <c r="M48" s="132" t="s">
        <v>153</v>
      </c>
      <c r="N48" s="132" t="s">
        <v>153</v>
      </c>
      <c r="O48" s="132" t="s">
        <v>153</v>
      </c>
      <c r="P48" s="132" t="s">
        <v>153</v>
      </c>
      <c r="Q48" s="132" t="s">
        <v>153</v>
      </c>
      <c r="R48" s="132" t="s">
        <v>153</v>
      </c>
      <c r="S48" s="132" t="s">
        <v>153</v>
      </c>
      <c r="T48" s="132" t="s">
        <v>153</v>
      </c>
      <c r="U48" s="132" t="s">
        <v>153</v>
      </c>
      <c r="V48" s="132" t="s">
        <v>153</v>
      </c>
      <c r="W48" s="132" t="s">
        <v>153</v>
      </c>
      <c r="X48" s="132" t="s">
        <v>153</v>
      </c>
      <c r="Y48" s="132" t="s">
        <v>153</v>
      </c>
      <c r="Z48" s="132" t="s">
        <v>153</v>
      </c>
      <c r="AA48" s="132" t="s">
        <v>153</v>
      </c>
      <c r="AB48" s="132" t="s">
        <v>153</v>
      </c>
      <c r="AC48" s="132" t="s">
        <v>153</v>
      </c>
      <c r="AD48" s="132">
        <v>14.99</v>
      </c>
      <c r="AE48" s="132" t="s">
        <v>153</v>
      </c>
      <c r="AF48" s="132" t="s">
        <v>153</v>
      </c>
      <c r="AG48" s="132" t="s">
        <v>153</v>
      </c>
      <c r="AH48" s="132" t="s">
        <v>153</v>
      </c>
      <c r="AI48" s="132" t="s">
        <v>153</v>
      </c>
      <c r="AJ48" s="132" t="s">
        <v>153</v>
      </c>
      <c r="AK48" s="132">
        <v>1.99</v>
      </c>
      <c r="AL48" s="132">
        <v>4.99</v>
      </c>
      <c r="AM48" s="132" t="s">
        <v>153</v>
      </c>
      <c r="AN48" s="132">
        <v>4.99</v>
      </c>
      <c r="AO48" s="132" t="s">
        <v>153</v>
      </c>
      <c r="AP48" s="132" t="s">
        <v>153</v>
      </c>
      <c r="AQ48" s="132" t="s">
        <v>153</v>
      </c>
      <c r="AR48" s="132" t="s">
        <v>153</v>
      </c>
      <c r="AS48" s="132" t="s">
        <v>153</v>
      </c>
      <c r="AT48" s="132" t="s">
        <v>153</v>
      </c>
      <c r="AU48" s="132" t="s">
        <v>153</v>
      </c>
      <c r="AV48" s="132" t="s">
        <v>153</v>
      </c>
      <c r="AW48" s="132" t="s">
        <v>153</v>
      </c>
      <c r="AX48" s="132" t="s">
        <v>153</v>
      </c>
      <c r="AY48" s="132" t="s">
        <v>153</v>
      </c>
      <c r="AZ48" s="215"/>
      <c r="BA48" s="216"/>
    </row>
    <row r="49" spans="1:53" ht="15.75" customHeight="1">
      <c r="A49" s="40" t="s">
        <v>251</v>
      </c>
      <c r="B49" s="132">
        <f>IFERROR(B48/B47,0)</f>
        <v>5.3763440860215055E-2</v>
      </c>
      <c r="C49" s="132" t="s">
        <v>153</v>
      </c>
      <c r="D49" s="132" t="s">
        <v>153</v>
      </c>
      <c r="E49" s="132" t="s">
        <v>153</v>
      </c>
      <c r="F49" s="132" t="s">
        <v>153</v>
      </c>
      <c r="G49" s="132" t="s">
        <v>153</v>
      </c>
      <c r="H49" s="132" t="s">
        <v>153</v>
      </c>
      <c r="I49" s="132" t="s">
        <v>153</v>
      </c>
      <c r="J49" s="132" t="s">
        <v>153</v>
      </c>
      <c r="K49" s="132" t="s">
        <v>153</v>
      </c>
      <c r="L49" s="132" t="s">
        <v>153</v>
      </c>
      <c r="M49" s="132" t="s">
        <v>153</v>
      </c>
      <c r="N49" s="132" t="s">
        <v>153</v>
      </c>
      <c r="O49" s="132" t="s">
        <v>153</v>
      </c>
      <c r="P49" s="132" t="s">
        <v>153</v>
      </c>
      <c r="Q49" s="132" t="s">
        <v>153</v>
      </c>
      <c r="R49" s="132" t="s">
        <v>153</v>
      </c>
      <c r="S49" s="132" t="s">
        <v>153</v>
      </c>
      <c r="T49" s="132" t="s">
        <v>153</v>
      </c>
      <c r="U49" s="132" t="s">
        <v>153</v>
      </c>
      <c r="V49" s="132" t="s">
        <v>153</v>
      </c>
      <c r="W49" s="132" t="s">
        <v>153</v>
      </c>
      <c r="X49" s="132" t="s">
        <v>153</v>
      </c>
      <c r="Y49" s="132" t="s">
        <v>153</v>
      </c>
      <c r="Z49" s="132" t="s">
        <v>153</v>
      </c>
      <c r="AA49" s="132" t="s">
        <v>153</v>
      </c>
      <c r="AB49" s="132" t="s">
        <v>153</v>
      </c>
      <c r="AC49" s="132" t="s">
        <v>153</v>
      </c>
      <c r="AD49" s="132">
        <f>IFERROR(AD48/AD47,0)</f>
        <v>1.499E-2</v>
      </c>
      <c r="AE49" s="132" t="s">
        <v>153</v>
      </c>
      <c r="AF49" s="132" t="s">
        <v>153</v>
      </c>
      <c r="AG49" s="132" t="s">
        <v>153</v>
      </c>
      <c r="AH49" s="132" t="s">
        <v>153</v>
      </c>
      <c r="AI49" s="132" t="s">
        <v>153</v>
      </c>
      <c r="AJ49" s="132" t="s">
        <v>153</v>
      </c>
      <c r="AK49" s="132">
        <f t="shared" ref="AK49:AL49" si="4">IFERROR(AK48/AK47,0)</f>
        <v>9.9500000000000005E-2</v>
      </c>
      <c r="AL49" s="132">
        <f t="shared" si="4"/>
        <v>0.998</v>
      </c>
      <c r="AM49" s="132" t="s">
        <v>153</v>
      </c>
      <c r="AN49" s="132">
        <f>IFERROR(AN48/AN47,0)</f>
        <v>1.7206896551724138E-3</v>
      </c>
      <c r="AO49" s="132" t="s">
        <v>153</v>
      </c>
      <c r="AP49" s="132" t="s">
        <v>153</v>
      </c>
      <c r="AQ49" s="132" t="s">
        <v>153</v>
      </c>
      <c r="AR49" s="132" t="s">
        <v>153</v>
      </c>
      <c r="AS49" s="132" t="s">
        <v>153</v>
      </c>
      <c r="AT49" s="132" t="s">
        <v>153</v>
      </c>
      <c r="AU49" s="132" t="s">
        <v>153</v>
      </c>
      <c r="AV49" s="132" t="s">
        <v>153</v>
      </c>
      <c r="AW49" s="132" t="s">
        <v>153</v>
      </c>
      <c r="AX49" s="132" t="s">
        <v>153</v>
      </c>
      <c r="AY49" s="132" t="s">
        <v>153</v>
      </c>
      <c r="AZ49" s="215"/>
      <c r="BA49" s="216"/>
    </row>
    <row r="50" spans="1:53" ht="15.75" customHeight="1">
      <c r="A50" s="40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215"/>
      <c r="BA50" s="216"/>
    </row>
    <row r="51" spans="1:53" ht="15.75" customHeight="1">
      <c r="A51" s="40" t="s">
        <v>239</v>
      </c>
      <c r="B51" s="59" t="s">
        <v>153</v>
      </c>
      <c r="C51" s="59" t="s">
        <v>153</v>
      </c>
      <c r="D51" s="59" t="s">
        <v>153</v>
      </c>
      <c r="E51" s="59" t="s">
        <v>153</v>
      </c>
      <c r="F51" s="59" t="s">
        <v>153</v>
      </c>
      <c r="G51" s="59" t="s">
        <v>153</v>
      </c>
      <c r="H51" s="59" t="s">
        <v>153</v>
      </c>
      <c r="I51" s="59" t="s">
        <v>153</v>
      </c>
      <c r="J51" s="59" t="s">
        <v>153</v>
      </c>
      <c r="K51" s="59" t="s">
        <v>153</v>
      </c>
      <c r="L51" s="59" t="s">
        <v>153</v>
      </c>
      <c r="M51" s="59" t="s">
        <v>153</v>
      </c>
      <c r="N51" s="59" t="s">
        <v>153</v>
      </c>
      <c r="O51" s="59" t="s">
        <v>153</v>
      </c>
      <c r="P51" s="59" t="s">
        <v>153</v>
      </c>
      <c r="Q51" s="59" t="s">
        <v>153</v>
      </c>
      <c r="R51" s="59" t="s">
        <v>153</v>
      </c>
      <c r="S51" s="59" t="s">
        <v>153</v>
      </c>
      <c r="T51" s="59" t="s">
        <v>153</v>
      </c>
      <c r="U51" s="59" t="s">
        <v>153</v>
      </c>
      <c r="V51" s="59" t="s">
        <v>153</v>
      </c>
      <c r="W51" s="59" t="s">
        <v>153</v>
      </c>
      <c r="X51" s="59" t="s">
        <v>153</v>
      </c>
      <c r="Y51" s="59" t="s">
        <v>153</v>
      </c>
      <c r="Z51" s="59" t="s">
        <v>153</v>
      </c>
      <c r="AA51" s="59" t="s">
        <v>153</v>
      </c>
      <c r="AB51" s="59" t="s">
        <v>153</v>
      </c>
      <c r="AC51" s="59" t="s">
        <v>153</v>
      </c>
      <c r="AD51" s="59" t="s">
        <v>153</v>
      </c>
      <c r="AE51" s="59" t="s">
        <v>153</v>
      </c>
      <c r="AF51" s="59" t="s">
        <v>153</v>
      </c>
      <c r="AG51" s="59" t="s">
        <v>153</v>
      </c>
      <c r="AH51" s="59" t="s">
        <v>153</v>
      </c>
      <c r="AI51" s="59" t="s">
        <v>153</v>
      </c>
      <c r="AJ51" s="59" t="s">
        <v>153</v>
      </c>
      <c r="AK51" s="59" t="s">
        <v>256</v>
      </c>
      <c r="AL51" s="59" t="s">
        <v>153</v>
      </c>
      <c r="AM51" s="59" t="s">
        <v>153</v>
      </c>
      <c r="AN51" s="59" t="s">
        <v>257</v>
      </c>
      <c r="AO51" s="59" t="s">
        <v>153</v>
      </c>
      <c r="AP51" s="59" t="s">
        <v>153</v>
      </c>
      <c r="AQ51" s="59" t="s">
        <v>153</v>
      </c>
      <c r="AR51" s="59" t="s">
        <v>153</v>
      </c>
      <c r="AS51" s="59" t="s">
        <v>153</v>
      </c>
      <c r="AT51" s="59" t="s">
        <v>153</v>
      </c>
      <c r="AU51" s="59" t="s">
        <v>153</v>
      </c>
      <c r="AV51" s="59" t="s">
        <v>153</v>
      </c>
      <c r="AW51" s="59" t="s">
        <v>153</v>
      </c>
      <c r="AX51" s="59" t="s">
        <v>153</v>
      </c>
      <c r="AY51" s="59" t="s">
        <v>153</v>
      </c>
      <c r="AZ51" s="215"/>
      <c r="BA51" s="216"/>
    </row>
    <row r="52" spans="1:53" ht="15.75" customHeight="1">
      <c r="A52" s="40" t="s">
        <v>249</v>
      </c>
      <c r="B52" s="59" t="s">
        <v>153</v>
      </c>
      <c r="C52" s="59" t="s">
        <v>153</v>
      </c>
      <c r="D52" s="59" t="s">
        <v>153</v>
      </c>
      <c r="E52" s="59" t="s">
        <v>153</v>
      </c>
      <c r="F52" s="59" t="s">
        <v>153</v>
      </c>
      <c r="G52" s="59" t="s">
        <v>153</v>
      </c>
      <c r="H52" s="59" t="s">
        <v>153</v>
      </c>
      <c r="I52" s="59" t="s">
        <v>153</v>
      </c>
      <c r="J52" s="59" t="s">
        <v>153</v>
      </c>
      <c r="K52" s="59" t="s">
        <v>153</v>
      </c>
      <c r="L52" s="59" t="s">
        <v>153</v>
      </c>
      <c r="M52" s="59" t="s">
        <v>153</v>
      </c>
      <c r="N52" s="59" t="s">
        <v>153</v>
      </c>
      <c r="O52" s="59" t="s">
        <v>153</v>
      </c>
      <c r="P52" s="59" t="s">
        <v>153</v>
      </c>
      <c r="Q52" s="59" t="s">
        <v>153</v>
      </c>
      <c r="R52" s="59" t="s">
        <v>153</v>
      </c>
      <c r="S52" s="59" t="s">
        <v>153</v>
      </c>
      <c r="T52" s="59" t="s">
        <v>153</v>
      </c>
      <c r="U52" s="59" t="s">
        <v>153</v>
      </c>
      <c r="V52" s="59" t="s">
        <v>153</v>
      </c>
      <c r="W52" s="59" t="s">
        <v>153</v>
      </c>
      <c r="X52" s="59" t="s">
        <v>153</v>
      </c>
      <c r="Y52" s="59" t="s">
        <v>153</v>
      </c>
      <c r="Z52" s="59" t="s">
        <v>153</v>
      </c>
      <c r="AA52" s="59" t="s">
        <v>153</v>
      </c>
      <c r="AB52" s="59" t="s">
        <v>153</v>
      </c>
      <c r="AC52" s="59" t="s">
        <v>153</v>
      </c>
      <c r="AD52" s="59" t="s">
        <v>153</v>
      </c>
      <c r="AE52" s="59" t="s">
        <v>153</v>
      </c>
      <c r="AF52" s="59" t="s">
        <v>153</v>
      </c>
      <c r="AG52" s="59" t="s">
        <v>153</v>
      </c>
      <c r="AH52" s="59" t="s">
        <v>153</v>
      </c>
      <c r="AI52" s="59" t="s">
        <v>153</v>
      </c>
      <c r="AJ52" s="59" t="s">
        <v>153</v>
      </c>
      <c r="AK52" s="59">
        <v>1</v>
      </c>
      <c r="AL52" s="59" t="s">
        <v>153</v>
      </c>
      <c r="AM52" s="59" t="s">
        <v>153</v>
      </c>
      <c r="AN52" s="59">
        <v>1</v>
      </c>
      <c r="AO52" s="59" t="s">
        <v>153</v>
      </c>
      <c r="AP52" s="59" t="s">
        <v>153</v>
      </c>
      <c r="AQ52" s="59" t="s">
        <v>153</v>
      </c>
      <c r="AR52" s="59" t="s">
        <v>153</v>
      </c>
      <c r="AS52" s="59" t="s">
        <v>153</v>
      </c>
      <c r="AT52" s="59" t="s">
        <v>153</v>
      </c>
      <c r="AU52" s="59" t="s">
        <v>153</v>
      </c>
      <c r="AV52" s="59" t="s">
        <v>153</v>
      </c>
      <c r="AW52" s="59" t="s">
        <v>153</v>
      </c>
      <c r="AX52" s="59" t="s">
        <v>153</v>
      </c>
      <c r="AY52" s="59" t="s">
        <v>153</v>
      </c>
      <c r="AZ52" s="215"/>
      <c r="BA52" s="216"/>
    </row>
    <row r="53" spans="1:53" ht="15.75" customHeight="1">
      <c r="A53" s="40" t="s">
        <v>250</v>
      </c>
      <c r="B53" s="59" t="s">
        <v>153</v>
      </c>
      <c r="C53" s="59" t="s">
        <v>153</v>
      </c>
      <c r="D53" s="59" t="s">
        <v>153</v>
      </c>
      <c r="E53" s="59" t="s">
        <v>153</v>
      </c>
      <c r="F53" s="59" t="s">
        <v>153</v>
      </c>
      <c r="G53" s="59" t="s">
        <v>153</v>
      </c>
      <c r="H53" s="59" t="s">
        <v>153</v>
      </c>
      <c r="I53" s="59" t="s">
        <v>153</v>
      </c>
      <c r="J53" s="59" t="s">
        <v>153</v>
      </c>
      <c r="K53" s="59" t="s">
        <v>153</v>
      </c>
      <c r="L53" s="59" t="s">
        <v>153</v>
      </c>
      <c r="M53" s="59" t="s">
        <v>153</v>
      </c>
      <c r="N53" s="59" t="s">
        <v>153</v>
      </c>
      <c r="O53" s="59" t="s">
        <v>153</v>
      </c>
      <c r="P53" s="59" t="s">
        <v>153</v>
      </c>
      <c r="Q53" s="59" t="s">
        <v>153</v>
      </c>
      <c r="R53" s="59" t="s">
        <v>153</v>
      </c>
      <c r="S53" s="59" t="s">
        <v>153</v>
      </c>
      <c r="T53" s="59" t="s">
        <v>153</v>
      </c>
      <c r="U53" s="59" t="s">
        <v>153</v>
      </c>
      <c r="V53" s="59" t="s">
        <v>153</v>
      </c>
      <c r="W53" s="59" t="s">
        <v>153</v>
      </c>
      <c r="X53" s="59" t="s">
        <v>153</v>
      </c>
      <c r="Y53" s="59" t="s">
        <v>153</v>
      </c>
      <c r="Z53" s="59" t="s">
        <v>153</v>
      </c>
      <c r="AA53" s="59" t="s">
        <v>153</v>
      </c>
      <c r="AB53" s="59" t="s">
        <v>153</v>
      </c>
      <c r="AC53" s="59" t="s">
        <v>153</v>
      </c>
      <c r="AD53" s="59" t="s">
        <v>153</v>
      </c>
      <c r="AE53" s="59" t="s">
        <v>153</v>
      </c>
      <c r="AF53" s="59" t="s">
        <v>153</v>
      </c>
      <c r="AG53" s="59" t="s">
        <v>153</v>
      </c>
      <c r="AH53" s="59" t="s">
        <v>153</v>
      </c>
      <c r="AI53" s="59" t="s">
        <v>153</v>
      </c>
      <c r="AJ53" s="59" t="s">
        <v>153</v>
      </c>
      <c r="AK53" s="59">
        <f>5*(Inputs!AM26/Inputs!AM25)</f>
        <v>0.25</v>
      </c>
      <c r="AL53" s="59" t="s">
        <v>153</v>
      </c>
      <c r="AM53" s="59" t="s">
        <v>153</v>
      </c>
      <c r="AN53" s="59">
        <f>(AN43/AN42)*5</f>
        <v>0.20791666666666667</v>
      </c>
      <c r="AO53" s="59" t="s">
        <v>153</v>
      </c>
      <c r="AP53" s="59" t="s">
        <v>153</v>
      </c>
      <c r="AQ53" s="59" t="s">
        <v>153</v>
      </c>
      <c r="AR53" s="59" t="s">
        <v>153</v>
      </c>
      <c r="AS53" s="59" t="s">
        <v>153</v>
      </c>
      <c r="AT53" s="59" t="s">
        <v>153</v>
      </c>
      <c r="AU53" s="59" t="s">
        <v>153</v>
      </c>
      <c r="AV53" s="59" t="s">
        <v>153</v>
      </c>
      <c r="AW53" s="59" t="s">
        <v>153</v>
      </c>
      <c r="AX53" s="59" t="s">
        <v>153</v>
      </c>
      <c r="AY53" s="59" t="s">
        <v>153</v>
      </c>
      <c r="AZ53" s="215"/>
      <c r="BA53" s="216"/>
    </row>
    <row r="54" spans="1:53" ht="15.75" customHeight="1">
      <c r="A54" s="40" t="s">
        <v>251</v>
      </c>
      <c r="B54" s="59" t="s">
        <v>153</v>
      </c>
      <c r="C54" s="59" t="s">
        <v>153</v>
      </c>
      <c r="D54" s="59" t="s">
        <v>153</v>
      </c>
      <c r="E54" s="59" t="s">
        <v>153</v>
      </c>
      <c r="F54" s="59" t="s">
        <v>153</v>
      </c>
      <c r="G54" s="59" t="s">
        <v>153</v>
      </c>
      <c r="H54" s="59" t="s">
        <v>153</v>
      </c>
      <c r="I54" s="59" t="s">
        <v>153</v>
      </c>
      <c r="J54" s="59" t="s">
        <v>153</v>
      </c>
      <c r="K54" s="59" t="s">
        <v>153</v>
      </c>
      <c r="L54" s="59" t="s">
        <v>153</v>
      </c>
      <c r="M54" s="59" t="s">
        <v>153</v>
      </c>
      <c r="N54" s="59" t="s">
        <v>153</v>
      </c>
      <c r="O54" s="59" t="s">
        <v>153</v>
      </c>
      <c r="P54" s="59" t="s">
        <v>153</v>
      </c>
      <c r="Q54" s="59" t="s">
        <v>153</v>
      </c>
      <c r="R54" s="59" t="s">
        <v>153</v>
      </c>
      <c r="S54" s="59" t="s">
        <v>153</v>
      </c>
      <c r="T54" s="59" t="s">
        <v>153</v>
      </c>
      <c r="U54" s="59" t="s">
        <v>153</v>
      </c>
      <c r="V54" s="59" t="s">
        <v>153</v>
      </c>
      <c r="W54" s="59" t="s">
        <v>153</v>
      </c>
      <c r="X54" s="59" t="s">
        <v>153</v>
      </c>
      <c r="Y54" s="59" t="s">
        <v>153</v>
      </c>
      <c r="Z54" s="59" t="s">
        <v>153</v>
      </c>
      <c r="AA54" s="59" t="s">
        <v>153</v>
      </c>
      <c r="AB54" s="59" t="s">
        <v>153</v>
      </c>
      <c r="AC54" s="59" t="s">
        <v>153</v>
      </c>
      <c r="AD54" s="59" t="s">
        <v>153</v>
      </c>
      <c r="AE54" s="59" t="s">
        <v>153</v>
      </c>
      <c r="AF54" s="59" t="s">
        <v>153</v>
      </c>
      <c r="AG54" s="59" t="s">
        <v>153</v>
      </c>
      <c r="AH54" s="59" t="s">
        <v>153</v>
      </c>
      <c r="AI54" s="59" t="s">
        <v>153</v>
      </c>
      <c r="AJ54" s="59" t="s">
        <v>153</v>
      </c>
      <c r="AK54" s="59">
        <f>IFERROR(AK53/AK52,0)</f>
        <v>0.25</v>
      </c>
      <c r="AL54" s="59" t="s">
        <v>153</v>
      </c>
      <c r="AM54" s="59" t="s">
        <v>153</v>
      </c>
      <c r="AN54" s="59">
        <f>IFERROR(AN53/AN52,0)</f>
        <v>0.20791666666666667</v>
      </c>
      <c r="AO54" s="59" t="s">
        <v>153</v>
      </c>
      <c r="AP54" s="59" t="s">
        <v>153</v>
      </c>
      <c r="AQ54" s="59" t="s">
        <v>153</v>
      </c>
      <c r="AR54" s="59" t="s">
        <v>153</v>
      </c>
      <c r="AS54" s="59" t="s">
        <v>153</v>
      </c>
      <c r="AT54" s="59" t="s">
        <v>153</v>
      </c>
      <c r="AU54" s="59" t="s">
        <v>153</v>
      </c>
      <c r="AV54" s="59" t="s">
        <v>153</v>
      </c>
      <c r="AW54" s="59" t="s">
        <v>153</v>
      </c>
      <c r="AX54" s="59" t="s">
        <v>153</v>
      </c>
      <c r="AY54" s="59" t="s">
        <v>153</v>
      </c>
      <c r="AZ54" s="215"/>
      <c r="BA54" s="216"/>
    </row>
    <row r="55" spans="1:53" ht="15.75" customHeight="1">
      <c r="A55" s="100"/>
      <c r="B55" s="85"/>
      <c r="C55" s="85"/>
      <c r="D55" s="85"/>
      <c r="E55" s="85"/>
      <c r="F55" s="85"/>
      <c r="G55" s="85"/>
      <c r="H55" s="85"/>
      <c r="I55" s="85"/>
      <c r="J55" s="120"/>
      <c r="K55" s="120"/>
      <c r="L55" s="85"/>
      <c r="M55" s="120"/>
      <c r="N55" s="120"/>
      <c r="O55" s="85"/>
      <c r="P55" s="85"/>
      <c r="Q55" s="85"/>
      <c r="R55" s="85"/>
      <c r="S55" s="85"/>
      <c r="T55" s="120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120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227"/>
      <c r="BA55" s="228"/>
    </row>
    <row r="56" spans="1:53" ht="15.75" customHeight="1">
      <c r="A56" s="100"/>
      <c r="B56" s="85"/>
      <c r="C56" s="85"/>
      <c r="D56" s="85"/>
      <c r="E56" s="85"/>
      <c r="F56" s="85"/>
      <c r="G56" s="85"/>
      <c r="H56" s="85" t="s">
        <v>258</v>
      </c>
      <c r="I56" s="85"/>
      <c r="J56" s="120"/>
      <c r="K56" s="85"/>
      <c r="L56" s="85"/>
      <c r="M56" s="85" t="s">
        <v>258</v>
      </c>
      <c r="N56" s="120"/>
      <c r="O56" s="85"/>
      <c r="P56" s="59" t="s">
        <v>259</v>
      </c>
      <c r="Q56" s="85"/>
      <c r="R56" s="85"/>
      <c r="S56" s="85"/>
      <c r="T56" s="120"/>
      <c r="U56" s="85"/>
      <c r="V56" s="85"/>
      <c r="W56" s="85"/>
      <c r="X56" s="85"/>
      <c r="Y56" s="85"/>
      <c r="Z56" s="85"/>
      <c r="AB56" s="85"/>
      <c r="AC56" s="85"/>
      <c r="AD56" s="85"/>
      <c r="AE56" s="85"/>
      <c r="AF56" s="85"/>
      <c r="AG56" s="85"/>
      <c r="AH56" s="85"/>
      <c r="AI56" s="120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59"/>
      <c r="AZ56" s="227"/>
      <c r="BA56" s="228"/>
    </row>
    <row r="57" spans="1:53" ht="15.75" customHeight="1">
      <c r="A57" s="100"/>
      <c r="B57" s="85"/>
      <c r="C57" s="85"/>
      <c r="D57" s="85"/>
      <c r="E57" s="85"/>
      <c r="F57" s="85"/>
      <c r="G57" s="85"/>
      <c r="H57" s="85" t="s">
        <v>260</v>
      </c>
      <c r="I57" s="85"/>
      <c r="J57" s="120"/>
      <c r="K57" s="85"/>
      <c r="L57" s="85"/>
      <c r="M57" s="120" t="s">
        <v>261</v>
      </c>
      <c r="N57" s="120"/>
      <c r="O57" s="85"/>
      <c r="P57" s="42">
        <v>250000</v>
      </c>
      <c r="Q57" s="85"/>
      <c r="R57" s="85"/>
      <c r="S57" s="85"/>
      <c r="T57" s="120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120"/>
      <c r="AJ57" s="85"/>
      <c r="AK57" s="85"/>
      <c r="AL57" s="85"/>
      <c r="AM57" s="139" t="s">
        <v>262</v>
      </c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227"/>
      <c r="BA57" s="228"/>
    </row>
    <row r="58" spans="1:53" ht="15.75" customHeight="1">
      <c r="A58" s="140" t="s">
        <v>263</v>
      </c>
      <c r="B58" s="85"/>
      <c r="C58" s="139" t="s">
        <v>264</v>
      </c>
      <c r="D58" s="85"/>
      <c r="E58" s="139" t="s">
        <v>261</v>
      </c>
      <c r="F58" s="139" t="s">
        <v>265</v>
      </c>
      <c r="G58" s="85"/>
      <c r="H58" s="85" t="s">
        <v>266</v>
      </c>
      <c r="I58" s="85"/>
      <c r="J58" s="120"/>
      <c r="K58" s="85"/>
      <c r="L58" s="85"/>
      <c r="M58" s="85" t="s">
        <v>267</v>
      </c>
      <c r="N58" s="85"/>
      <c r="O58" s="85"/>
      <c r="P58" s="42">
        <f t="shared" ref="P58:P62" si="5">3750000/5</f>
        <v>750000</v>
      </c>
      <c r="Q58" s="139" t="s">
        <v>268</v>
      </c>
      <c r="R58" s="85"/>
      <c r="S58" s="85"/>
      <c r="T58" s="120"/>
      <c r="U58" s="139" t="s">
        <v>261</v>
      </c>
      <c r="V58" s="139" t="s">
        <v>268</v>
      </c>
      <c r="W58" s="139" t="s">
        <v>261</v>
      </c>
      <c r="X58" s="139" t="s">
        <v>269</v>
      </c>
      <c r="Y58" s="139" t="s">
        <v>268</v>
      </c>
      <c r="Z58" s="139" t="s">
        <v>270</v>
      </c>
      <c r="AA58" s="120" t="s">
        <v>271</v>
      </c>
      <c r="AB58" s="139" t="s">
        <v>268</v>
      </c>
      <c r="AC58" s="141" t="s">
        <v>272</v>
      </c>
      <c r="AD58" s="139" t="s">
        <v>268</v>
      </c>
      <c r="AE58" s="139" t="s">
        <v>268</v>
      </c>
      <c r="AF58" s="139" t="s">
        <v>268</v>
      </c>
      <c r="AG58" s="142" t="s">
        <v>273</v>
      </c>
      <c r="AH58" s="139" t="s">
        <v>274</v>
      </c>
      <c r="AI58" s="143" t="s">
        <v>268</v>
      </c>
      <c r="AJ58" s="139" t="s">
        <v>261</v>
      </c>
      <c r="AK58" s="139" t="s">
        <v>275</v>
      </c>
      <c r="AL58" s="139">
        <v>300</v>
      </c>
      <c r="AM58" s="144">
        <f>AL58/Inputs!AM49</f>
        <v>15</v>
      </c>
      <c r="AN58" s="85"/>
      <c r="AO58" s="85"/>
      <c r="AP58" s="85"/>
      <c r="AQ58" s="85"/>
      <c r="AR58" s="95" t="s">
        <v>276</v>
      </c>
      <c r="AS58" s="85"/>
      <c r="AT58" s="85"/>
      <c r="AU58" s="85"/>
      <c r="AV58" s="85"/>
      <c r="AW58" s="85"/>
      <c r="AX58" s="85"/>
      <c r="AY58" s="85"/>
      <c r="AZ58" s="227"/>
      <c r="BA58" s="228"/>
    </row>
    <row r="59" spans="1:53" ht="15.75" customHeight="1">
      <c r="A59" s="100"/>
      <c r="B59" s="85"/>
      <c r="C59" s="139" t="s">
        <v>277</v>
      </c>
      <c r="D59" s="85"/>
      <c r="E59" s="139" t="s">
        <v>267</v>
      </c>
      <c r="F59" s="139" t="s">
        <v>278</v>
      </c>
      <c r="G59" s="85"/>
      <c r="H59" s="85" t="s">
        <v>279</v>
      </c>
      <c r="I59" s="85"/>
      <c r="J59" s="120"/>
      <c r="K59" s="85"/>
      <c r="L59" s="85"/>
      <c r="M59" s="85" t="s">
        <v>280</v>
      </c>
      <c r="N59" s="85"/>
      <c r="O59" s="85"/>
      <c r="P59" s="42">
        <f t="shared" si="5"/>
        <v>750000</v>
      </c>
      <c r="Q59" s="139" t="s">
        <v>281</v>
      </c>
      <c r="R59" s="85"/>
      <c r="S59" s="85"/>
      <c r="T59" s="120"/>
      <c r="U59" s="139" t="s">
        <v>282</v>
      </c>
      <c r="V59" s="139" t="s">
        <v>281</v>
      </c>
      <c r="W59" s="139" t="s">
        <v>267</v>
      </c>
      <c r="X59" s="139" t="s">
        <v>283</v>
      </c>
      <c r="Y59" s="139" t="s">
        <v>281</v>
      </c>
      <c r="Z59" s="139" t="s">
        <v>284</v>
      </c>
      <c r="AA59" s="85" t="s">
        <v>285</v>
      </c>
      <c r="AB59" s="139" t="s">
        <v>281</v>
      </c>
      <c r="AC59" s="141" t="s">
        <v>286</v>
      </c>
      <c r="AD59" s="139" t="s">
        <v>281</v>
      </c>
      <c r="AE59" s="139" t="s">
        <v>281</v>
      </c>
      <c r="AF59" s="139" t="s">
        <v>281</v>
      </c>
      <c r="AG59" s="142" t="s">
        <v>287</v>
      </c>
      <c r="AH59" s="139" t="s">
        <v>288</v>
      </c>
      <c r="AI59" s="139" t="s">
        <v>281</v>
      </c>
      <c r="AJ59" s="139" t="s">
        <v>267</v>
      </c>
      <c r="AK59" s="139" t="s">
        <v>289</v>
      </c>
      <c r="AL59" s="139">
        <v>50000</v>
      </c>
      <c r="AM59" s="144">
        <f>AL59/AL42*AL43</f>
        <v>16.650000000000002</v>
      </c>
      <c r="AN59" s="85"/>
      <c r="AO59" s="85"/>
      <c r="AP59" s="145"/>
      <c r="AQ59" s="85"/>
      <c r="AR59" s="146">
        <v>0.05</v>
      </c>
      <c r="AS59" s="85"/>
      <c r="AT59" s="85"/>
      <c r="AU59" s="85"/>
      <c r="AV59" s="85"/>
      <c r="AW59" s="85"/>
      <c r="AX59" s="85"/>
      <c r="AY59" s="85"/>
      <c r="AZ59" s="227"/>
      <c r="BA59" s="228"/>
    </row>
    <row r="60" spans="1:53" ht="15.75" customHeight="1">
      <c r="A60" s="100"/>
      <c r="B60" s="85"/>
      <c r="C60" s="139" t="s">
        <v>290</v>
      </c>
      <c r="D60" s="85"/>
      <c r="E60" s="139" t="s">
        <v>280</v>
      </c>
      <c r="F60" s="139" t="s">
        <v>291</v>
      </c>
      <c r="G60" s="85"/>
      <c r="H60" s="85" t="s">
        <v>292</v>
      </c>
      <c r="I60" s="85"/>
      <c r="J60" s="120"/>
      <c r="K60" s="85"/>
      <c r="L60" s="85"/>
      <c r="M60" s="85" t="s">
        <v>293</v>
      </c>
      <c r="N60" s="85"/>
      <c r="O60" s="85"/>
      <c r="P60" s="42">
        <f t="shared" si="5"/>
        <v>750000</v>
      </c>
      <c r="Q60" s="139" t="s">
        <v>294</v>
      </c>
      <c r="R60" s="85"/>
      <c r="S60" s="85"/>
      <c r="T60" s="85"/>
      <c r="U60" s="139" t="s">
        <v>295</v>
      </c>
      <c r="V60" s="139" t="s">
        <v>294</v>
      </c>
      <c r="W60" s="139" t="s">
        <v>280</v>
      </c>
      <c r="X60" s="139" t="s">
        <v>296</v>
      </c>
      <c r="Y60" s="139" t="s">
        <v>294</v>
      </c>
      <c r="Z60" s="139" t="s">
        <v>297</v>
      </c>
      <c r="AA60" s="85" t="s">
        <v>298</v>
      </c>
      <c r="AB60" s="139" t="s">
        <v>294</v>
      </c>
      <c r="AC60" s="141" t="s">
        <v>299</v>
      </c>
      <c r="AD60" s="139" t="s">
        <v>294</v>
      </c>
      <c r="AE60" s="139" t="s">
        <v>294</v>
      </c>
      <c r="AF60" s="139" t="s">
        <v>294</v>
      </c>
      <c r="AG60" s="142" t="s">
        <v>300</v>
      </c>
      <c r="AH60" s="139" t="s">
        <v>301</v>
      </c>
      <c r="AI60" s="139" t="s">
        <v>294</v>
      </c>
      <c r="AJ60" s="139" t="s">
        <v>280</v>
      </c>
      <c r="AK60" s="139" t="s">
        <v>302</v>
      </c>
      <c r="AL60" s="139">
        <v>30</v>
      </c>
      <c r="AM60" s="144">
        <f>AL60/AK47*AK48</f>
        <v>2.9849999999999999</v>
      </c>
      <c r="AN60" s="85"/>
      <c r="AO60" s="85"/>
      <c r="AP60" s="85"/>
      <c r="AQ60" s="85"/>
      <c r="AR60" s="146">
        <v>0.15</v>
      </c>
      <c r="AS60" s="85"/>
      <c r="AT60" s="85"/>
      <c r="AU60" s="85"/>
      <c r="AV60" s="85"/>
      <c r="AW60" s="85"/>
      <c r="AX60" s="85"/>
      <c r="AY60" s="85"/>
      <c r="AZ60" s="227"/>
      <c r="BA60" s="228"/>
    </row>
    <row r="61" spans="1:53" ht="15.75" customHeight="1">
      <c r="A61" s="100"/>
      <c r="B61" s="85"/>
      <c r="C61" s="139" t="s">
        <v>303</v>
      </c>
      <c r="D61" s="85"/>
      <c r="E61" s="139" t="s">
        <v>293</v>
      </c>
      <c r="F61" s="139" t="s">
        <v>304</v>
      </c>
      <c r="G61" s="85"/>
      <c r="H61" s="85" t="s">
        <v>305</v>
      </c>
      <c r="I61" s="85"/>
      <c r="J61" s="120"/>
      <c r="K61" s="85"/>
      <c r="L61" s="85"/>
      <c r="M61" s="85" t="s">
        <v>306</v>
      </c>
      <c r="N61" s="85"/>
      <c r="O61" s="85"/>
      <c r="P61" s="42">
        <f t="shared" si="5"/>
        <v>750000</v>
      </c>
      <c r="Q61" s="139" t="s">
        <v>307</v>
      </c>
      <c r="R61" s="85"/>
      <c r="S61" s="85"/>
      <c r="T61" s="85"/>
      <c r="U61" s="139" t="s">
        <v>307</v>
      </c>
      <c r="V61" s="139" t="s">
        <v>307</v>
      </c>
      <c r="W61" s="139" t="s">
        <v>293</v>
      </c>
      <c r="X61" s="139" t="s">
        <v>308</v>
      </c>
      <c r="Y61" s="139" t="s">
        <v>307</v>
      </c>
      <c r="Z61" s="139" t="s">
        <v>309</v>
      </c>
      <c r="AA61" s="85" t="s">
        <v>310</v>
      </c>
      <c r="AB61" s="139" t="s">
        <v>307</v>
      </c>
      <c r="AC61" s="141" t="s">
        <v>311</v>
      </c>
      <c r="AD61" s="139" t="s">
        <v>307</v>
      </c>
      <c r="AE61" s="139" t="s">
        <v>307</v>
      </c>
      <c r="AF61" s="139" t="s">
        <v>307</v>
      </c>
      <c r="AG61" s="142" t="s">
        <v>312</v>
      </c>
      <c r="AH61" s="139" t="s">
        <v>313</v>
      </c>
      <c r="AI61" s="139" t="s">
        <v>307</v>
      </c>
      <c r="AJ61" s="139" t="s">
        <v>293</v>
      </c>
      <c r="AK61" s="85"/>
      <c r="AL61" s="85"/>
      <c r="AM61" s="144">
        <f>SUM(AM58:AM60)</f>
        <v>34.635000000000005</v>
      </c>
      <c r="AN61" s="85"/>
      <c r="AO61" s="85"/>
      <c r="AP61" s="85"/>
      <c r="AQ61" s="85"/>
      <c r="AR61" s="146">
        <v>0.25</v>
      </c>
      <c r="AS61" s="85"/>
      <c r="AT61" s="85"/>
      <c r="AU61" s="85"/>
      <c r="AV61" s="85"/>
      <c r="AW61" s="85"/>
      <c r="AX61" s="85"/>
      <c r="AY61" s="85"/>
      <c r="AZ61" s="227"/>
      <c r="BA61" s="228"/>
    </row>
    <row r="62" spans="1:53" ht="15.75" customHeight="1">
      <c r="A62" s="100"/>
      <c r="B62" s="85"/>
      <c r="C62" s="139" t="s">
        <v>314</v>
      </c>
      <c r="D62" s="85"/>
      <c r="E62" s="139" t="s">
        <v>306</v>
      </c>
      <c r="F62" s="139" t="s">
        <v>315</v>
      </c>
      <c r="G62" s="85"/>
      <c r="H62" s="85"/>
      <c r="I62" s="85"/>
      <c r="J62" s="120"/>
      <c r="K62" s="120"/>
      <c r="L62" s="85"/>
      <c r="M62" s="120"/>
      <c r="N62" s="85"/>
      <c r="O62" s="85"/>
      <c r="P62" s="42">
        <f t="shared" si="5"/>
        <v>750000</v>
      </c>
      <c r="Q62" s="139" t="s">
        <v>316</v>
      </c>
      <c r="R62" s="85"/>
      <c r="S62" s="85"/>
      <c r="T62" s="85"/>
      <c r="U62" s="139" t="s">
        <v>316</v>
      </c>
      <c r="V62" s="139" t="s">
        <v>316</v>
      </c>
      <c r="W62" s="139" t="s">
        <v>306</v>
      </c>
      <c r="X62" s="139" t="s">
        <v>317</v>
      </c>
      <c r="Y62" s="139" t="s">
        <v>316</v>
      </c>
      <c r="Z62" s="139" t="s">
        <v>318</v>
      </c>
      <c r="AA62" s="115" t="s">
        <v>319</v>
      </c>
      <c r="AB62" s="139" t="s">
        <v>316</v>
      </c>
      <c r="AC62" s="141" t="s">
        <v>320</v>
      </c>
      <c r="AD62" s="139" t="s">
        <v>316</v>
      </c>
      <c r="AE62" s="139" t="s">
        <v>316</v>
      </c>
      <c r="AF62" s="139" t="s">
        <v>316</v>
      </c>
      <c r="AG62" s="142" t="s">
        <v>321</v>
      </c>
      <c r="AH62" s="139" t="s">
        <v>322</v>
      </c>
      <c r="AI62" s="139" t="s">
        <v>316</v>
      </c>
      <c r="AJ62" s="139" t="s">
        <v>323</v>
      </c>
      <c r="AK62" s="85"/>
      <c r="AL62" s="85"/>
      <c r="AM62" s="85"/>
      <c r="AN62" s="85"/>
      <c r="AO62" s="85"/>
      <c r="AP62" s="85"/>
      <c r="AQ62" s="85"/>
      <c r="AR62" s="146">
        <v>0.4</v>
      </c>
      <c r="AS62" s="85"/>
      <c r="AT62" s="85"/>
      <c r="AU62" s="85"/>
      <c r="AV62" s="85"/>
      <c r="AW62" s="85"/>
      <c r="AX62" s="85"/>
      <c r="AY62" s="85"/>
      <c r="AZ62" s="227"/>
      <c r="BA62" s="228"/>
    </row>
    <row r="63" spans="1:53" ht="15.75" customHeight="1">
      <c r="A63" s="100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42">
        <f t="shared" ref="P63:P81" si="6">14250000/19</f>
        <v>750000</v>
      </c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146">
        <v>0.55000000000000004</v>
      </c>
      <c r="AS63" s="85"/>
      <c r="AT63" s="85"/>
      <c r="AU63" s="85"/>
      <c r="AV63" s="85"/>
      <c r="AW63" s="85"/>
      <c r="AX63" s="85"/>
      <c r="AY63" s="85"/>
      <c r="AZ63" s="227"/>
      <c r="BA63" s="228"/>
    </row>
    <row r="64" spans="1:53" ht="15.75" customHeight="1">
      <c r="A64" s="100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42">
        <f t="shared" si="6"/>
        <v>750000</v>
      </c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120"/>
      <c r="AS64" s="85"/>
      <c r="AT64" s="85"/>
      <c r="AU64" s="85"/>
      <c r="AV64" s="85"/>
      <c r="AW64" s="85"/>
      <c r="AX64" s="85"/>
      <c r="AY64" s="85"/>
      <c r="AZ64" s="227"/>
      <c r="BA64" s="228"/>
    </row>
    <row r="65" spans="1:53" ht="15.75" customHeight="1">
      <c r="A65" s="100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42">
        <f t="shared" si="6"/>
        <v>750000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139">
        <v>165000</v>
      </c>
      <c r="AS65" s="148"/>
      <c r="AT65" s="85"/>
      <c r="AU65" s="85"/>
      <c r="AV65" s="85"/>
      <c r="AW65" s="85"/>
      <c r="AX65" s="85"/>
      <c r="AY65" s="85"/>
      <c r="AZ65" s="227"/>
      <c r="BA65" s="228"/>
    </row>
    <row r="66" spans="1:53" ht="15.75" customHeight="1">
      <c r="A66" s="100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42">
        <f t="shared" si="6"/>
        <v>750000</v>
      </c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115"/>
      <c r="AS66" s="149">
        <f>AR65/1.05</f>
        <v>157142.85714285713</v>
      </c>
      <c r="AT66" s="85"/>
      <c r="AU66" s="85"/>
      <c r="AV66" s="85"/>
      <c r="AW66" s="85"/>
      <c r="AX66" s="85"/>
      <c r="AY66" s="85"/>
      <c r="AZ66" s="227"/>
      <c r="BA66" s="228"/>
    </row>
    <row r="67" spans="1:53" ht="15.75" customHeight="1">
      <c r="A67" s="100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42">
        <f t="shared" si="6"/>
        <v>750000</v>
      </c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115"/>
      <c r="AS67" s="149">
        <f>AS66*0.05</f>
        <v>7857.1428571428569</v>
      </c>
      <c r="AT67" s="85"/>
      <c r="AU67" s="85"/>
      <c r="AV67" s="85"/>
      <c r="AW67" s="85"/>
      <c r="AX67" s="85"/>
      <c r="AY67" s="85"/>
      <c r="AZ67" s="227"/>
      <c r="BA67" s="228"/>
    </row>
    <row r="68" spans="1:53" ht="15.75" customHeight="1">
      <c r="A68" s="100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42">
        <f t="shared" si="6"/>
        <v>750000</v>
      </c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149">
        <f>AS67+AS66</f>
        <v>165000</v>
      </c>
      <c r="AT68" s="85"/>
      <c r="AU68" s="85"/>
      <c r="AV68" s="85"/>
      <c r="AW68" s="85"/>
      <c r="AX68" s="85"/>
      <c r="AY68" s="85"/>
      <c r="AZ68" s="227"/>
      <c r="BA68" s="228"/>
    </row>
    <row r="69" spans="1:53" ht="15.75" customHeight="1">
      <c r="A69" s="100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42">
        <f t="shared" si="6"/>
        <v>750000</v>
      </c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227"/>
      <c r="BA69" s="228"/>
    </row>
    <row r="70" spans="1:53" ht="15.75" customHeight="1">
      <c r="A70" s="100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42">
        <f t="shared" si="6"/>
        <v>750000</v>
      </c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227"/>
      <c r="BA70" s="228"/>
    </row>
    <row r="71" spans="1:53" ht="15.75" customHeight="1">
      <c r="A71" s="100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42">
        <f t="shared" si="6"/>
        <v>750000</v>
      </c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227"/>
      <c r="BA71" s="228"/>
    </row>
    <row r="72" spans="1:53" ht="15.75" customHeight="1">
      <c r="A72" s="100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42">
        <f t="shared" si="6"/>
        <v>750000</v>
      </c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227"/>
      <c r="BA72" s="228"/>
    </row>
    <row r="73" spans="1:53" ht="15.75" customHeight="1">
      <c r="A73" s="100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42">
        <f t="shared" si="6"/>
        <v>750000</v>
      </c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227"/>
      <c r="BA73" s="228"/>
    </row>
    <row r="74" spans="1:53" ht="15.75" customHeight="1">
      <c r="A74" s="100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42">
        <f t="shared" si="6"/>
        <v>750000</v>
      </c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227"/>
      <c r="BA74" s="228"/>
    </row>
    <row r="75" spans="1:53" ht="15.75" customHeight="1">
      <c r="A75" s="100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42">
        <f t="shared" si="6"/>
        <v>750000</v>
      </c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227"/>
      <c r="BA75" s="228"/>
    </row>
    <row r="76" spans="1:53" ht="15.75" customHeight="1">
      <c r="A76" s="100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42">
        <f t="shared" si="6"/>
        <v>750000</v>
      </c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227"/>
      <c r="BA76" s="228"/>
    </row>
    <row r="77" spans="1:53" ht="15.75" customHeight="1">
      <c r="A77" s="100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42">
        <f t="shared" si="6"/>
        <v>750000</v>
      </c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227"/>
      <c r="BA77" s="228"/>
    </row>
    <row r="78" spans="1:53" ht="15.75" customHeight="1">
      <c r="A78" s="100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42">
        <f t="shared" si="6"/>
        <v>750000</v>
      </c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227"/>
      <c r="BA78" s="228"/>
    </row>
    <row r="79" spans="1:53" ht="15.75" customHeight="1">
      <c r="A79" s="100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42">
        <f t="shared" si="6"/>
        <v>750000</v>
      </c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227"/>
      <c r="BA79" s="228"/>
    </row>
    <row r="80" spans="1:53" ht="15.75" customHeight="1">
      <c r="A80" s="100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42">
        <f t="shared" si="6"/>
        <v>750000</v>
      </c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227"/>
      <c r="BA80" s="228"/>
    </row>
    <row r="81" spans="1:53" ht="15.75" customHeight="1">
      <c r="A81" s="100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42">
        <f t="shared" si="6"/>
        <v>750000</v>
      </c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227"/>
      <c r="BA81" s="228"/>
    </row>
    <row r="82" spans="1:53" ht="15.75" customHeight="1">
      <c r="A82" s="100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227"/>
      <c r="BA82" s="228"/>
    </row>
    <row r="83" spans="1:53" ht="15.75" customHeight="1">
      <c r="A83" s="100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42">
        <f>AVERAGE(P57:P66)</f>
        <v>700000</v>
      </c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227"/>
      <c r="BA83" s="228"/>
    </row>
    <row r="84" spans="1:53" ht="15.75" customHeight="1">
      <c r="A84" s="100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227"/>
      <c r="BA84" s="228"/>
    </row>
    <row r="85" spans="1:53" ht="15.75" customHeight="1">
      <c r="A85" s="100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227"/>
      <c r="BA85" s="228"/>
    </row>
    <row r="86" spans="1:53" ht="15.75" customHeight="1">
      <c r="A86" s="100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227"/>
      <c r="BA86" s="228"/>
    </row>
    <row r="87" spans="1:53" ht="15.75" customHeight="1">
      <c r="A87" s="100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227"/>
      <c r="BA87" s="228"/>
    </row>
    <row r="88" spans="1:53" ht="15.75" customHeight="1">
      <c r="A88" s="100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227"/>
      <c r="BA88" s="228"/>
    </row>
    <row r="89" spans="1:53" ht="15.75" customHeight="1">
      <c r="A89" s="100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227"/>
      <c r="BA89" s="228"/>
    </row>
    <row r="90" spans="1:53" ht="15.75" customHeight="1">
      <c r="A90" s="100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227"/>
      <c r="BA90" s="228"/>
    </row>
    <row r="91" spans="1:53" ht="15.75" customHeight="1">
      <c r="A91" s="100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227"/>
      <c r="BA91" s="228"/>
    </row>
    <row r="92" spans="1:53" ht="15.75" customHeight="1">
      <c r="A92" s="100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227"/>
      <c r="BA92" s="228"/>
    </row>
    <row r="93" spans="1:53" ht="15.75" customHeight="1">
      <c r="A93" s="100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227"/>
      <c r="BA93" s="228"/>
    </row>
    <row r="94" spans="1:53" ht="15.75" customHeight="1">
      <c r="A94" s="100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227"/>
      <c r="BA94" s="228"/>
    </row>
    <row r="95" spans="1:53" ht="15.75" customHeight="1">
      <c r="A95" s="100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227"/>
      <c r="BA95" s="228"/>
    </row>
    <row r="96" spans="1:53" ht="15.75" customHeight="1">
      <c r="A96" s="100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227"/>
      <c r="BA96" s="228"/>
    </row>
    <row r="97" spans="1:53" ht="15.75" customHeight="1">
      <c r="A97" s="100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227"/>
      <c r="BA97" s="228"/>
    </row>
    <row r="98" spans="1:53" ht="15.75" customHeight="1">
      <c r="A98" s="100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227"/>
      <c r="BA98" s="228"/>
    </row>
    <row r="99" spans="1:53" ht="15.75" customHeight="1">
      <c r="A99" s="100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227"/>
      <c r="BA99" s="228"/>
    </row>
    <row r="100" spans="1:53" ht="15.75" customHeight="1">
      <c r="A100" s="100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227"/>
      <c r="BA100" s="228"/>
    </row>
    <row r="101" spans="1:53" ht="15.75" customHeight="1">
      <c r="A101" s="100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227"/>
      <c r="BA101" s="228"/>
    </row>
    <row r="102" spans="1:53" ht="15.75" customHeight="1">
      <c r="A102" s="100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227"/>
      <c r="BA102" s="228"/>
    </row>
    <row r="103" spans="1:53" ht="15.75" customHeight="1">
      <c r="A103" s="100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227"/>
      <c r="BA103" s="228"/>
    </row>
    <row r="104" spans="1:53" ht="15.75" customHeight="1">
      <c r="A104" s="100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227"/>
      <c r="BA104" s="228"/>
    </row>
    <row r="105" spans="1:53" ht="15.75" customHeight="1">
      <c r="A105" s="100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227"/>
      <c r="BA105" s="228"/>
    </row>
    <row r="106" spans="1:53" ht="15.75" customHeight="1">
      <c r="A106" s="100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227"/>
      <c r="BA106" s="228"/>
    </row>
    <row r="107" spans="1:53" ht="15.75" customHeight="1">
      <c r="A107" s="100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227"/>
      <c r="BA107" s="228"/>
    </row>
    <row r="108" spans="1:53" ht="15.75" customHeight="1">
      <c r="A108" s="100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227"/>
      <c r="BA108" s="228"/>
    </row>
    <row r="109" spans="1:53" ht="15.75" customHeight="1">
      <c r="A109" s="100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227"/>
      <c r="BA109" s="228"/>
    </row>
    <row r="110" spans="1:53" ht="15.75" customHeight="1">
      <c r="A110" s="100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227"/>
      <c r="BA110" s="228"/>
    </row>
    <row r="111" spans="1:53" ht="15.75" customHeight="1">
      <c r="A111" s="100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227"/>
      <c r="BA111" s="228"/>
    </row>
    <row r="112" spans="1:53" ht="15.75" customHeight="1">
      <c r="A112" s="100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227"/>
      <c r="BA112" s="228"/>
    </row>
    <row r="113" spans="1:53" ht="15.75" customHeight="1">
      <c r="A113" s="100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227"/>
      <c r="BA113" s="228"/>
    </row>
    <row r="114" spans="1:53" ht="15.75" customHeight="1">
      <c r="A114" s="100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227"/>
      <c r="BA114" s="228"/>
    </row>
    <row r="115" spans="1:53" ht="15.75" customHeight="1">
      <c r="A115" s="100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227"/>
      <c r="BA115" s="228"/>
    </row>
    <row r="116" spans="1:53" ht="15.75" customHeight="1">
      <c r="A116" s="100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227"/>
      <c r="BA116" s="228"/>
    </row>
    <row r="117" spans="1:53" ht="15.75" customHeight="1">
      <c r="A117" s="100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227"/>
      <c r="BA117" s="228"/>
    </row>
    <row r="118" spans="1:53" ht="15.75" customHeight="1">
      <c r="A118" s="100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227"/>
      <c r="BA118" s="228"/>
    </row>
    <row r="119" spans="1:53" ht="15.75" customHeight="1">
      <c r="A119" s="100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227"/>
      <c r="BA119" s="228"/>
    </row>
    <row r="120" spans="1:53" ht="15.75" customHeight="1">
      <c r="A120" s="100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227"/>
      <c r="BA120" s="228"/>
    </row>
    <row r="121" spans="1:53" ht="15.75" customHeight="1">
      <c r="A121" s="100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227"/>
      <c r="BA121" s="228"/>
    </row>
    <row r="122" spans="1:53" ht="15.75" customHeight="1">
      <c r="A122" s="100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227"/>
      <c r="BA122" s="228"/>
    </row>
    <row r="123" spans="1:53" ht="15.75" customHeight="1">
      <c r="A123" s="100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227"/>
      <c r="BA123" s="228"/>
    </row>
    <row r="124" spans="1:53" ht="15.75" customHeight="1">
      <c r="A124" s="100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227"/>
      <c r="BA124" s="228"/>
    </row>
    <row r="125" spans="1:53" ht="15.75" customHeight="1">
      <c r="A125" s="100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227"/>
      <c r="BA125" s="228"/>
    </row>
    <row r="126" spans="1:53" ht="15.75" customHeight="1">
      <c r="A126" s="100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227"/>
      <c r="BA126" s="228"/>
    </row>
    <row r="127" spans="1:53" ht="15.75" customHeight="1">
      <c r="A127" s="100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227"/>
      <c r="BA127" s="228"/>
    </row>
    <row r="128" spans="1:53" ht="15.75" customHeight="1">
      <c r="A128" s="100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227"/>
      <c r="BA128" s="228"/>
    </row>
    <row r="129" spans="1:53" ht="15.75" customHeight="1">
      <c r="A129" s="100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227"/>
      <c r="BA129" s="228"/>
    </row>
    <row r="130" spans="1:53" ht="15.75" customHeight="1">
      <c r="A130" s="100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227"/>
      <c r="BA130" s="228"/>
    </row>
    <row r="131" spans="1:53" ht="15.75" customHeight="1">
      <c r="A131" s="100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227"/>
      <c r="BA131" s="228"/>
    </row>
    <row r="132" spans="1:53" ht="15.75" customHeight="1">
      <c r="A132" s="100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227"/>
      <c r="BA132" s="228"/>
    </row>
    <row r="133" spans="1:53" ht="15.75" customHeight="1">
      <c r="A133" s="100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227"/>
      <c r="BA133" s="228"/>
    </row>
    <row r="134" spans="1:53" ht="15.75" customHeight="1">
      <c r="A134" s="100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227"/>
      <c r="BA134" s="228"/>
    </row>
    <row r="135" spans="1:53" ht="15.75" customHeight="1">
      <c r="A135" s="100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227"/>
      <c r="BA135" s="228"/>
    </row>
    <row r="136" spans="1:53" ht="15.75" customHeight="1">
      <c r="A136" s="100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227"/>
      <c r="BA136" s="228"/>
    </row>
    <row r="137" spans="1:53" ht="15.75" customHeight="1">
      <c r="A137" s="100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227"/>
      <c r="BA137" s="228"/>
    </row>
    <row r="138" spans="1:53" ht="15.75" customHeight="1">
      <c r="A138" s="100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227"/>
      <c r="BA138" s="228"/>
    </row>
    <row r="139" spans="1:53" ht="15.75" customHeight="1">
      <c r="A139" s="100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227"/>
      <c r="BA139" s="228"/>
    </row>
    <row r="140" spans="1:53" ht="15.75" customHeight="1">
      <c r="A140" s="100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227"/>
      <c r="BA140" s="228"/>
    </row>
    <row r="141" spans="1:53" ht="15.75" customHeight="1">
      <c r="A141" s="100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227"/>
      <c r="BA141" s="228"/>
    </row>
    <row r="142" spans="1:53" ht="15.75" customHeight="1">
      <c r="A142" s="100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227"/>
      <c r="BA142" s="228"/>
    </row>
    <row r="143" spans="1:53" ht="15.75" customHeight="1">
      <c r="A143" s="100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227"/>
      <c r="BA143" s="228"/>
    </row>
    <row r="144" spans="1:53" ht="15.75" customHeight="1">
      <c r="A144" s="100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227"/>
      <c r="BA144" s="228"/>
    </row>
    <row r="145" spans="1:53" ht="15.75" customHeight="1">
      <c r="A145" s="100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227"/>
      <c r="BA145" s="228"/>
    </row>
    <row r="146" spans="1:53" ht="15.75" customHeight="1">
      <c r="A146" s="100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227"/>
      <c r="BA146" s="228"/>
    </row>
    <row r="147" spans="1:53" ht="15.75" customHeight="1">
      <c r="A147" s="100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227"/>
      <c r="BA147" s="228"/>
    </row>
    <row r="148" spans="1:53" ht="15.75" customHeight="1">
      <c r="A148" s="100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227"/>
      <c r="BA148" s="228"/>
    </row>
    <row r="149" spans="1:53" ht="15.75" customHeight="1">
      <c r="A149" s="100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227"/>
      <c r="BA149" s="228"/>
    </row>
    <row r="150" spans="1:53" ht="15.75" customHeight="1">
      <c r="A150" s="100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227"/>
      <c r="BA150" s="228"/>
    </row>
    <row r="151" spans="1:53" ht="15.75" customHeight="1">
      <c r="A151" s="100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227"/>
      <c r="BA151" s="228"/>
    </row>
    <row r="152" spans="1:53" ht="15.75" customHeight="1">
      <c r="A152" s="100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227"/>
      <c r="BA152" s="228"/>
    </row>
    <row r="153" spans="1:53" ht="15.75" customHeight="1">
      <c r="A153" s="100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227"/>
      <c r="BA153" s="228"/>
    </row>
    <row r="154" spans="1:53" ht="15.75" customHeight="1">
      <c r="A154" s="100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227"/>
      <c r="BA154" s="228"/>
    </row>
    <row r="155" spans="1:53" ht="15.75" customHeight="1">
      <c r="A155" s="100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227"/>
      <c r="BA155" s="228"/>
    </row>
    <row r="156" spans="1:53" ht="15.75" customHeight="1">
      <c r="A156" s="100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227"/>
      <c r="BA156" s="228"/>
    </row>
    <row r="157" spans="1:53" ht="15.75" customHeight="1">
      <c r="A157" s="100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227"/>
      <c r="BA157" s="228"/>
    </row>
    <row r="158" spans="1:53" ht="15.75" customHeight="1">
      <c r="A158" s="100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227"/>
      <c r="BA158" s="228"/>
    </row>
    <row r="159" spans="1:53" ht="15.75" customHeight="1">
      <c r="A159" s="100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227"/>
      <c r="BA159" s="228"/>
    </row>
    <row r="160" spans="1:53" ht="15.75" customHeight="1">
      <c r="A160" s="100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227"/>
      <c r="BA160" s="228"/>
    </row>
    <row r="161" spans="1:53" ht="15.75" customHeight="1">
      <c r="A161" s="100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227"/>
      <c r="BA161" s="228"/>
    </row>
    <row r="162" spans="1:53" ht="15.75" customHeight="1">
      <c r="A162" s="100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227"/>
      <c r="BA162" s="228"/>
    </row>
    <row r="163" spans="1:53" ht="15.75" customHeight="1">
      <c r="A163" s="100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227"/>
      <c r="BA163" s="228"/>
    </row>
    <row r="164" spans="1:53" ht="15.75" customHeight="1">
      <c r="A164" s="100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227"/>
      <c r="BA164" s="228"/>
    </row>
    <row r="165" spans="1:53" ht="15.75" customHeight="1">
      <c r="A165" s="100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227"/>
      <c r="BA165" s="228"/>
    </row>
    <row r="166" spans="1:53" ht="15.75" customHeight="1">
      <c r="A166" s="100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227"/>
      <c r="BA166" s="228"/>
    </row>
    <row r="167" spans="1:53" ht="15.75" customHeight="1">
      <c r="A167" s="100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227"/>
      <c r="BA167" s="228"/>
    </row>
    <row r="168" spans="1:53" ht="15.75" customHeight="1">
      <c r="A168" s="100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227"/>
      <c r="BA168" s="228"/>
    </row>
    <row r="169" spans="1:53" ht="15.75" customHeight="1">
      <c r="A169" s="100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227"/>
      <c r="BA169" s="228"/>
    </row>
    <row r="170" spans="1:53" ht="15.75" customHeight="1">
      <c r="A170" s="100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227"/>
      <c r="BA170" s="228"/>
    </row>
    <row r="171" spans="1:53" ht="15.75" customHeight="1">
      <c r="A171" s="100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227"/>
      <c r="BA171" s="228"/>
    </row>
    <row r="172" spans="1:53" ht="15.75" customHeight="1">
      <c r="A172" s="100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227"/>
      <c r="BA172" s="228"/>
    </row>
    <row r="173" spans="1:53" ht="15.75" customHeight="1">
      <c r="A173" s="100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227"/>
      <c r="BA173" s="228"/>
    </row>
    <row r="174" spans="1:53" ht="15.75" customHeight="1">
      <c r="A174" s="100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227"/>
      <c r="BA174" s="228"/>
    </row>
    <row r="175" spans="1:53" ht="15.75" customHeight="1">
      <c r="A175" s="100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227"/>
      <c r="BA175" s="228"/>
    </row>
    <row r="176" spans="1:53" ht="15.75" customHeight="1">
      <c r="A176" s="100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227"/>
      <c r="BA176" s="228"/>
    </row>
    <row r="177" spans="1:53" ht="15.75" customHeight="1">
      <c r="A177" s="100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227"/>
      <c r="BA177" s="228"/>
    </row>
    <row r="178" spans="1:53" ht="15.75" customHeight="1">
      <c r="A178" s="100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227"/>
      <c r="BA178" s="228"/>
    </row>
    <row r="179" spans="1:53" ht="15.75" customHeight="1">
      <c r="A179" s="100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227"/>
      <c r="BA179" s="228"/>
    </row>
    <row r="180" spans="1:53" ht="15.75" customHeight="1">
      <c r="A180" s="100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227"/>
      <c r="BA180" s="228"/>
    </row>
    <row r="181" spans="1:53" ht="15.75" customHeight="1">
      <c r="A181" s="100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227"/>
      <c r="BA181" s="228"/>
    </row>
    <row r="182" spans="1:53" ht="15.75" customHeight="1">
      <c r="A182" s="100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227"/>
      <c r="BA182" s="228"/>
    </row>
    <row r="183" spans="1:53" ht="15.75" customHeight="1">
      <c r="A183" s="100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227"/>
      <c r="BA183" s="228"/>
    </row>
    <row r="184" spans="1:53" ht="15.75" customHeight="1">
      <c r="A184" s="100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227"/>
      <c r="BA184" s="228"/>
    </row>
    <row r="185" spans="1:53" ht="15.75" customHeight="1">
      <c r="A185" s="100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227"/>
      <c r="BA185" s="228"/>
    </row>
    <row r="186" spans="1:53" ht="15.75" customHeight="1">
      <c r="A186" s="100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227"/>
      <c r="BA186" s="228"/>
    </row>
    <row r="187" spans="1:53" ht="15.75" customHeight="1">
      <c r="A187" s="100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227"/>
      <c r="BA187" s="228"/>
    </row>
    <row r="188" spans="1:53" ht="15.75" customHeight="1">
      <c r="A188" s="100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227"/>
      <c r="BA188" s="228"/>
    </row>
    <row r="189" spans="1:53" ht="15.75" customHeight="1">
      <c r="A189" s="100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227"/>
      <c r="BA189" s="228"/>
    </row>
    <row r="190" spans="1:53" ht="15.75" customHeight="1">
      <c r="A190" s="100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227"/>
      <c r="BA190" s="228"/>
    </row>
    <row r="191" spans="1:53" ht="15.75" customHeight="1">
      <c r="A191" s="100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227"/>
      <c r="BA191" s="228"/>
    </row>
    <row r="192" spans="1:53" ht="15.75" customHeight="1">
      <c r="A192" s="100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227"/>
      <c r="BA192" s="228"/>
    </row>
    <row r="193" spans="1:53" ht="15.75" customHeight="1">
      <c r="A193" s="100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227"/>
      <c r="BA193" s="228"/>
    </row>
    <row r="194" spans="1:53" ht="15.75" customHeight="1">
      <c r="A194" s="100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227"/>
      <c r="BA194" s="228"/>
    </row>
    <row r="195" spans="1:53" ht="15.75" customHeight="1">
      <c r="A195" s="100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227"/>
      <c r="BA195" s="228"/>
    </row>
    <row r="196" spans="1:53" ht="15.75" customHeight="1">
      <c r="A196" s="100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227"/>
      <c r="BA196" s="228"/>
    </row>
    <row r="197" spans="1:53" ht="15.75" customHeight="1">
      <c r="A197" s="100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227"/>
      <c r="BA197" s="228"/>
    </row>
    <row r="198" spans="1:53" ht="15.75" customHeight="1">
      <c r="A198" s="100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227"/>
      <c r="BA198" s="228"/>
    </row>
    <row r="199" spans="1:53" ht="15.75" customHeight="1">
      <c r="A199" s="100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227"/>
      <c r="BA199" s="228"/>
    </row>
    <row r="200" spans="1:53" ht="15.75" customHeight="1">
      <c r="A200" s="100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227"/>
      <c r="BA200" s="228"/>
    </row>
    <row r="201" spans="1:53" ht="15.75" customHeight="1">
      <c r="A201" s="100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227"/>
      <c r="BA201" s="228"/>
    </row>
    <row r="202" spans="1:53" ht="15.75" customHeight="1">
      <c r="A202" s="100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227"/>
      <c r="BA202" s="228"/>
    </row>
    <row r="203" spans="1:53" ht="15.75" customHeight="1">
      <c r="A203" s="100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227"/>
      <c r="BA203" s="228"/>
    </row>
    <row r="204" spans="1:53" ht="15.75" customHeight="1">
      <c r="A204" s="100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227"/>
      <c r="BA204" s="228"/>
    </row>
    <row r="205" spans="1:53" ht="15.75" customHeight="1">
      <c r="A205" s="100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227"/>
      <c r="BA205" s="228"/>
    </row>
    <row r="206" spans="1:53" ht="15.75" customHeight="1">
      <c r="A206" s="100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227"/>
      <c r="BA206" s="228"/>
    </row>
    <row r="207" spans="1:53" ht="15.75" customHeight="1">
      <c r="A207" s="100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227"/>
      <c r="BA207" s="228"/>
    </row>
    <row r="208" spans="1:53" ht="15.75" customHeight="1">
      <c r="A208" s="100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227"/>
      <c r="BA208" s="228"/>
    </row>
    <row r="209" spans="1:53" ht="15.75" customHeight="1">
      <c r="A209" s="100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227"/>
      <c r="BA209" s="228"/>
    </row>
    <row r="210" spans="1:53" ht="15.75" customHeight="1">
      <c r="A210" s="100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227"/>
      <c r="BA210" s="228"/>
    </row>
    <row r="211" spans="1:53" ht="15.75" customHeight="1">
      <c r="A211" s="100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227"/>
      <c r="BA211" s="228"/>
    </row>
    <row r="212" spans="1:53" ht="15.75" customHeight="1">
      <c r="A212" s="100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227"/>
      <c r="BA212" s="228"/>
    </row>
    <row r="213" spans="1:53" ht="15.75" customHeight="1">
      <c r="A213" s="100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227"/>
      <c r="BA213" s="228"/>
    </row>
    <row r="214" spans="1:53" ht="15.75" customHeight="1">
      <c r="A214" s="100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227"/>
      <c r="BA214" s="228"/>
    </row>
    <row r="215" spans="1:53" ht="15.75" customHeight="1">
      <c r="A215" s="100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227"/>
      <c r="BA215" s="228"/>
    </row>
    <row r="216" spans="1:53" ht="15.75" customHeight="1">
      <c r="A216" s="100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227"/>
      <c r="BA216" s="228"/>
    </row>
    <row r="217" spans="1:53" ht="15.75" customHeight="1">
      <c r="A217" s="100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227"/>
      <c r="BA217" s="228"/>
    </row>
    <row r="218" spans="1:53" ht="15.75" customHeight="1">
      <c r="A218" s="100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227"/>
      <c r="BA218" s="228"/>
    </row>
    <row r="219" spans="1:53" ht="15.75" customHeight="1">
      <c r="A219" s="100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227"/>
      <c r="BA219" s="228"/>
    </row>
    <row r="220" spans="1:53" ht="15.75" customHeight="1">
      <c r="A220" s="100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227"/>
      <c r="BA220" s="228"/>
    </row>
    <row r="221" spans="1:53" ht="15.75" customHeight="1">
      <c r="A221" s="100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227"/>
      <c r="BA221" s="228"/>
    </row>
    <row r="222" spans="1:53" ht="15.75" customHeight="1">
      <c r="A222" s="100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227"/>
      <c r="BA222" s="228"/>
    </row>
    <row r="223" spans="1:53" ht="15.75" customHeight="1">
      <c r="A223" s="100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227"/>
      <c r="BA223" s="228"/>
    </row>
    <row r="224" spans="1:53" ht="15.75" customHeight="1">
      <c r="A224" s="100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227"/>
      <c r="BA224" s="228"/>
    </row>
    <row r="225" spans="1:53" ht="15.75" customHeight="1">
      <c r="A225" s="100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227"/>
      <c r="BA225" s="228"/>
    </row>
    <row r="226" spans="1:53" ht="15.75" customHeight="1">
      <c r="A226" s="100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227"/>
      <c r="BA226" s="228"/>
    </row>
    <row r="227" spans="1:53" ht="15.75" customHeight="1">
      <c r="A227" s="100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227"/>
      <c r="BA227" s="228"/>
    </row>
    <row r="228" spans="1:53" ht="15.75" customHeight="1">
      <c r="A228" s="100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227"/>
      <c r="BA228" s="228"/>
    </row>
    <row r="229" spans="1:53" ht="15.75" customHeight="1">
      <c r="A229" s="100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227"/>
      <c r="BA229" s="228"/>
    </row>
    <row r="230" spans="1:53" ht="15.75" customHeight="1">
      <c r="A230" s="100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227"/>
      <c r="BA230" s="228"/>
    </row>
    <row r="231" spans="1:53" ht="15.75" customHeight="1">
      <c r="A231" s="100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227"/>
      <c r="BA231" s="228"/>
    </row>
    <row r="232" spans="1:53" ht="15.75" customHeight="1">
      <c r="A232" s="100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227"/>
      <c r="BA232" s="228"/>
    </row>
    <row r="233" spans="1:53" ht="15.75" customHeight="1">
      <c r="A233" s="100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227"/>
      <c r="BA233" s="228"/>
    </row>
    <row r="234" spans="1:53" ht="15.75" customHeight="1">
      <c r="A234" s="100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227"/>
      <c r="BA234" s="228"/>
    </row>
    <row r="235" spans="1:53" ht="15.75" customHeight="1">
      <c r="A235" s="100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227"/>
      <c r="BA235" s="228"/>
    </row>
    <row r="236" spans="1:53" ht="15.75" customHeight="1">
      <c r="A236" s="100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227"/>
      <c r="BA236" s="228"/>
    </row>
    <row r="237" spans="1:53" ht="15.75" customHeight="1">
      <c r="A237" s="100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227"/>
      <c r="BA237" s="228"/>
    </row>
    <row r="238" spans="1:53" ht="15.75" customHeight="1">
      <c r="A238" s="100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227"/>
      <c r="BA238" s="228"/>
    </row>
    <row r="239" spans="1:53" ht="15.75" customHeight="1">
      <c r="A239" s="100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227"/>
      <c r="BA239" s="228"/>
    </row>
    <row r="240" spans="1:53" ht="15.75" customHeight="1">
      <c r="A240" s="100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227"/>
      <c r="BA240" s="228"/>
    </row>
    <row r="241" spans="1:53" ht="15.75" customHeight="1">
      <c r="A241" s="100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227"/>
      <c r="BA241" s="228"/>
    </row>
    <row r="242" spans="1:53" ht="15.75" customHeight="1">
      <c r="A242" s="100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227"/>
      <c r="BA242" s="228"/>
    </row>
    <row r="243" spans="1:53" ht="15.75" customHeight="1">
      <c r="A243" s="100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227"/>
      <c r="BA243" s="228"/>
    </row>
    <row r="244" spans="1:53" ht="15.75" customHeight="1">
      <c r="A244" s="100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227"/>
      <c r="BA244" s="228"/>
    </row>
    <row r="245" spans="1:53" ht="15.75" customHeight="1">
      <c r="A245" s="100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227"/>
      <c r="BA245" s="228"/>
    </row>
    <row r="246" spans="1:53" ht="15.75" customHeight="1">
      <c r="A246" s="100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227"/>
      <c r="BA246" s="228"/>
    </row>
    <row r="247" spans="1:53" ht="15.75" customHeight="1">
      <c r="A247" s="100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227"/>
      <c r="BA247" s="228"/>
    </row>
    <row r="248" spans="1:53" ht="15.75" customHeight="1">
      <c r="A248" s="100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227"/>
      <c r="BA248" s="228"/>
    </row>
    <row r="249" spans="1:53" ht="15.75" customHeight="1">
      <c r="A249" s="100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227"/>
      <c r="BA249" s="228"/>
    </row>
    <row r="250" spans="1:53" ht="15.75" customHeight="1">
      <c r="A250" s="100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227"/>
      <c r="BA250" s="228"/>
    </row>
    <row r="251" spans="1:53" ht="15.75" customHeight="1">
      <c r="A251" s="100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227"/>
      <c r="BA251" s="228"/>
    </row>
    <row r="252" spans="1:53" ht="15.75" customHeight="1">
      <c r="A252" s="100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227"/>
      <c r="BA252" s="228"/>
    </row>
    <row r="253" spans="1:53" ht="15.75" customHeight="1">
      <c r="A253" s="100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227"/>
      <c r="BA253" s="228"/>
    </row>
    <row r="254" spans="1:53" ht="15.75" customHeight="1">
      <c r="A254" s="100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227"/>
      <c r="BA254" s="228"/>
    </row>
    <row r="255" spans="1:53" ht="15.75" customHeight="1">
      <c r="A255" s="100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227"/>
      <c r="BA255" s="228"/>
    </row>
    <row r="256" spans="1:53" ht="15.75" customHeight="1">
      <c r="A256" s="100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227"/>
      <c r="BA256" s="228"/>
    </row>
    <row r="257" spans="1:53" ht="15.75" customHeight="1">
      <c r="A257" s="100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227"/>
      <c r="BA257" s="228"/>
    </row>
    <row r="258" spans="1:53" ht="15.75" customHeight="1">
      <c r="A258" s="100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227"/>
      <c r="BA258" s="228"/>
    </row>
    <row r="259" spans="1:53" ht="15.75" customHeight="1">
      <c r="A259" s="100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227"/>
      <c r="BA259" s="228"/>
    </row>
    <row r="260" spans="1:53" ht="15.75" customHeight="1">
      <c r="A260" s="100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227"/>
      <c r="BA260" s="228"/>
    </row>
    <row r="261" spans="1:53" ht="15.75" customHeight="1">
      <c r="A261" s="100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227"/>
      <c r="BA261" s="228"/>
    </row>
    <row r="262" spans="1:53" ht="15.75" customHeight="1">
      <c r="A262" s="100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227"/>
      <c r="BA262" s="228"/>
    </row>
    <row r="263" spans="1:53" ht="15.75" customHeight="1">
      <c r="A263" s="100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227"/>
      <c r="BA263" s="228"/>
    </row>
    <row r="264" spans="1:53" ht="15.75" customHeight="1">
      <c r="A264" s="100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227"/>
      <c r="BA264" s="228"/>
    </row>
    <row r="265" spans="1:53" ht="15.75" customHeight="1">
      <c r="A265" s="100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227"/>
      <c r="BA265" s="228"/>
    </row>
    <row r="266" spans="1:53" ht="15.75" customHeight="1">
      <c r="A266" s="100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227"/>
      <c r="BA266" s="228"/>
    </row>
    <row r="267" spans="1:53" ht="15.75" customHeight="1">
      <c r="A267" s="100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227"/>
      <c r="BA267" s="228"/>
    </row>
    <row r="268" spans="1:53" ht="15.75" customHeight="1">
      <c r="A268" s="100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227"/>
      <c r="BA268" s="228"/>
    </row>
    <row r="269" spans="1:53" ht="15.75" customHeight="1">
      <c r="A269" s="100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227"/>
      <c r="BA269" s="228"/>
    </row>
    <row r="270" spans="1:53" ht="15.75" customHeight="1">
      <c r="A270" s="100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227"/>
      <c r="BA270" s="228"/>
    </row>
    <row r="271" spans="1:53" ht="15.75" customHeight="1">
      <c r="A271" s="100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227"/>
      <c r="BA271" s="228"/>
    </row>
    <row r="272" spans="1:53" ht="15.75" customHeight="1">
      <c r="A272" s="100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227"/>
      <c r="BA272" s="228"/>
    </row>
    <row r="273" spans="1:53" ht="15.75" customHeight="1">
      <c r="A273" s="100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227"/>
      <c r="BA273" s="228"/>
    </row>
    <row r="274" spans="1:53" ht="15.75" customHeight="1">
      <c r="A274" s="100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227"/>
      <c r="BA274" s="228"/>
    </row>
    <row r="275" spans="1:53" ht="15.75" customHeight="1">
      <c r="A275" s="100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227"/>
      <c r="BA275" s="228"/>
    </row>
    <row r="276" spans="1:53" ht="15.75" customHeight="1">
      <c r="A276" s="100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227"/>
      <c r="BA276" s="228"/>
    </row>
    <row r="277" spans="1:53" ht="15.75" customHeight="1">
      <c r="A277" s="100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227"/>
      <c r="BA277" s="228"/>
    </row>
    <row r="278" spans="1:53" ht="15.75" customHeight="1">
      <c r="A278" s="100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227"/>
      <c r="BA278" s="228"/>
    </row>
    <row r="279" spans="1:53" ht="15.75" customHeight="1">
      <c r="A279" s="100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227"/>
      <c r="BA279" s="228"/>
    </row>
    <row r="280" spans="1:53" ht="15.75" customHeight="1">
      <c r="A280" s="100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227"/>
      <c r="BA280" s="228"/>
    </row>
    <row r="281" spans="1:53" ht="15.75" customHeight="1">
      <c r="A281" s="100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227"/>
      <c r="BA281" s="228"/>
    </row>
    <row r="282" spans="1:53" ht="15.75" customHeight="1">
      <c r="A282" s="100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227"/>
      <c r="BA282" s="228"/>
    </row>
    <row r="283" spans="1:53" ht="15.75" customHeight="1">
      <c r="A283" s="100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227"/>
      <c r="BA283" s="228"/>
    </row>
    <row r="284" spans="1:53" ht="15.75" customHeight="1">
      <c r="A284" s="100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227"/>
      <c r="BA284" s="228"/>
    </row>
    <row r="285" spans="1:53" ht="15.75" customHeight="1">
      <c r="A285" s="100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227"/>
      <c r="BA285" s="228"/>
    </row>
    <row r="286" spans="1:53" ht="15.75" customHeight="1">
      <c r="A286" s="100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227"/>
      <c r="BA286" s="228"/>
    </row>
    <row r="287" spans="1:53" ht="15.75" customHeight="1">
      <c r="A287" s="100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227"/>
      <c r="BA287" s="228"/>
    </row>
    <row r="288" spans="1:53" ht="15.75" customHeight="1">
      <c r="A288" s="100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227"/>
      <c r="BA288" s="228"/>
    </row>
    <row r="289" spans="1:53" ht="15.75" customHeight="1">
      <c r="A289" s="100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227"/>
      <c r="BA289" s="228"/>
    </row>
    <row r="290" spans="1:53" ht="15.75" customHeight="1">
      <c r="A290" s="100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227"/>
      <c r="BA290" s="228"/>
    </row>
    <row r="291" spans="1:53" ht="15.75" customHeight="1">
      <c r="A291" s="100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227"/>
      <c r="BA291" s="228"/>
    </row>
    <row r="292" spans="1:53" ht="15.75" customHeight="1">
      <c r="A292" s="100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227"/>
      <c r="BA292" s="228"/>
    </row>
    <row r="293" spans="1:53" ht="15.75" customHeight="1">
      <c r="A293" s="100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227"/>
      <c r="BA293" s="228"/>
    </row>
    <row r="294" spans="1:53" ht="15.75" customHeight="1">
      <c r="A294" s="100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227"/>
      <c r="BA294" s="228"/>
    </row>
    <row r="295" spans="1:53" ht="15.75" customHeight="1">
      <c r="A295" s="100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227"/>
      <c r="BA295" s="228"/>
    </row>
    <row r="296" spans="1:53" ht="15.75" customHeight="1">
      <c r="A296" s="100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227"/>
      <c r="BA296" s="228"/>
    </row>
    <row r="297" spans="1:53" ht="15.75" customHeight="1">
      <c r="A297" s="100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227"/>
      <c r="BA297" s="228"/>
    </row>
    <row r="298" spans="1:53" ht="15.75" customHeight="1">
      <c r="A298" s="100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227"/>
      <c r="BA298" s="228"/>
    </row>
    <row r="299" spans="1:53" ht="15.75" customHeight="1">
      <c r="A299" s="100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227"/>
      <c r="BA299" s="228"/>
    </row>
    <row r="300" spans="1:53" ht="15.75" customHeight="1">
      <c r="A300" s="100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227"/>
      <c r="BA300" s="228"/>
    </row>
    <row r="301" spans="1:53" ht="15.75" customHeight="1">
      <c r="A301" s="100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227"/>
      <c r="BA301" s="228"/>
    </row>
    <row r="302" spans="1:53" ht="15.75" customHeight="1">
      <c r="A302" s="100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227"/>
      <c r="BA302" s="228"/>
    </row>
    <row r="303" spans="1:53" ht="15.75" customHeight="1">
      <c r="A303" s="100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227"/>
      <c r="BA303" s="228"/>
    </row>
    <row r="304" spans="1:53" ht="15.75" customHeight="1">
      <c r="A304" s="100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227"/>
      <c r="BA304" s="228"/>
    </row>
    <row r="305" spans="1:53" ht="15.75" customHeight="1">
      <c r="A305" s="100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227"/>
      <c r="BA305" s="228"/>
    </row>
    <row r="306" spans="1:53" ht="15.75" customHeight="1">
      <c r="A306" s="100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227"/>
      <c r="BA306" s="228"/>
    </row>
    <row r="307" spans="1:53" ht="15.75" customHeight="1">
      <c r="A307" s="100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227"/>
      <c r="BA307" s="228"/>
    </row>
    <row r="308" spans="1:53" ht="15.75" customHeight="1">
      <c r="A308" s="100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227"/>
      <c r="BA308" s="228"/>
    </row>
    <row r="309" spans="1:53" ht="15.75" customHeight="1">
      <c r="A309" s="100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227"/>
      <c r="BA309" s="228"/>
    </row>
    <row r="310" spans="1:53" ht="15.75" customHeight="1">
      <c r="A310" s="100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227"/>
      <c r="BA310" s="228"/>
    </row>
    <row r="311" spans="1:53" ht="15.75" customHeight="1">
      <c r="A311" s="100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227"/>
      <c r="BA311" s="228"/>
    </row>
    <row r="312" spans="1:53" ht="15.75" customHeight="1">
      <c r="A312" s="100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227"/>
      <c r="BA312" s="228"/>
    </row>
    <row r="313" spans="1:53" ht="15.75" customHeight="1">
      <c r="A313" s="100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227"/>
      <c r="BA313" s="228"/>
    </row>
    <row r="314" spans="1:53" ht="15.75" customHeight="1">
      <c r="A314" s="100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227"/>
      <c r="BA314" s="228"/>
    </row>
    <row r="315" spans="1:53" ht="15.75" customHeight="1">
      <c r="A315" s="100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227"/>
      <c r="BA315" s="228"/>
    </row>
    <row r="316" spans="1:53" ht="15.75" customHeight="1">
      <c r="A316" s="100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227"/>
      <c r="BA316" s="228"/>
    </row>
    <row r="317" spans="1:53" ht="15.75" customHeight="1">
      <c r="A317" s="100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227"/>
      <c r="BA317" s="228"/>
    </row>
    <row r="318" spans="1:53" ht="15.75" customHeight="1">
      <c r="A318" s="100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227"/>
      <c r="BA318" s="228"/>
    </row>
    <row r="319" spans="1:53" ht="15.75" customHeight="1">
      <c r="A319" s="100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227"/>
      <c r="BA319" s="228"/>
    </row>
    <row r="320" spans="1:53" ht="15.75" customHeight="1">
      <c r="A320" s="100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227"/>
      <c r="BA320" s="228"/>
    </row>
    <row r="321" spans="1:53" ht="15.75" customHeight="1">
      <c r="A321" s="100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227"/>
      <c r="BA321" s="228"/>
    </row>
    <row r="322" spans="1:53" ht="15.75" customHeight="1">
      <c r="A322" s="100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227"/>
      <c r="BA322" s="228"/>
    </row>
    <row r="323" spans="1:53" ht="15.75" customHeight="1">
      <c r="A323" s="100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227"/>
      <c r="BA323" s="228"/>
    </row>
    <row r="324" spans="1:53" ht="15.75" customHeight="1">
      <c r="A324" s="100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227"/>
      <c r="BA324" s="228"/>
    </row>
    <row r="325" spans="1:53" ht="15.75" customHeight="1">
      <c r="A325" s="100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227"/>
      <c r="BA325" s="228"/>
    </row>
    <row r="326" spans="1:53" ht="15.75" customHeight="1">
      <c r="A326" s="100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227"/>
      <c r="BA326" s="228"/>
    </row>
    <row r="327" spans="1:53" ht="15.75" customHeight="1">
      <c r="A327" s="100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227"/>
      <c r="BA327" s="228"/>
    </row>
    <row r="328" spans="1:53" ht="15.75" customHeight="1">
      <c r="A328" s="100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227"/>
      <c r="BA328" s="228"/>
    </row>
    <row r="329" spans="1:53" ht="15.75" customHeight="1">
      <c r="A329" s="100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227"/>
      <c r="BA329" s="228"/>
    </row>
    <row r="330" spans="1:53" ht="15.75" customHeight="1">
      <c r="A330" s="100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227"/>
      <c r="BA330" s="228"/>
    </row>
    <row r="331" spans="1:53" ht="15.75" customHeight="1">
      <c r="A331" s="100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227"/>
      <c r="BA331" s="228"/>
    </row>
    <row r="332" spans="1:53" ht="15.75" customHeight="1">
      <c r="A332" s="100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227"/>
      <c r="BA332" s="228"/>
    </row>
    <row r="333" spans="1:53" ht="15.75" customHeight="1">
      <c r="A333" s="100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227"/>
      <c r="BA333" s="228"/>
    </row>
    <row r="334" spans="1:53" ht="15.75" customHeight="1">
      <c r="A334" s="100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227"/>
      <c r="BA334" s="228"/>
    </row>
    <row r="335" spans="1:53" ht="15.75" customHeight="1">
      <c r="A335" s="100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227"/>
      <c r="BA335" s="228"/>
    </row>
    <row r="336" spans="1:53" ht="15.75" customHeight="1">
      <c r="A336" s="100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227"/>
      <c r="BA336" s="228"/>
    </row>
    <row r="337" spans="1:53" ht="15.75" customHeight="1">
      <c r="A337" s="100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227"/>
      <c r="BA337" s="228"/>
    </row>
    <row r="338" spans="1:53" ht="15.75" customHeight="1">
      <c r="A338" s="100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227"/>
      <c r="BA338" s="228"/>
    </row>
    <row r="339" spans="1:53" ht="15.75" customHeight="1">
      <c r="A339" s="100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227"/>
      <c r="BA339" s="228"/>
    </row>
    <row r="340" spans="1:53" ht="15.75" customHeight="1">
      <c r="A340" s="100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227"/>
      <c r="BA340" s="228"/>
    </row>
    <row r="341" spans="1:53" ht="15.75" customHeight="1">
      <c r="A341" s="100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227"/>
      <c r="BA341" s="228"/>
    </row>
    <row r="342" spans="1:53" ht="15.75" customHeight="1">
      <c r="A342" s="100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227"/>
      <c r="BA342" s="228"/>
    </row>
    <row r="343" spans="1:53" ht="15.75" customHeight="1">
      <c r="A343" s="100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227"/>
      <c r="BA343" s="228"/>
    </row>
    <row r="344" spans="1:53" ht="15.75" customHeight="1">
      <c r="A344" s="100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227"/>
      <c r="BA344" s="228"/>
    </row>
    <row r="345" spans="1:53" ht="15.75" customHeight="1">
      <c r="A345" s="100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227"/>
      <c r="BA345" s="228"/>
    </row>
    <row r="346" spans="1:53" ht="15.75" customHeight="1">
      <c r="A346" s="100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227"/>
      <c r="BA346" s="228"/>
    </row>
    <row r="347" spans="1:53" ht="15.75" customHeight="1">
      <c r="A347" s="100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227"/>
      <c r="BA347" s="228"/>
    </row>
    <row r="348" spans="1:53" ht="15.75" customHeight="1">
      <c r="A348" s="100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227"/>
      <c r="BA348" s="228"/>
    </row>
    <row r="349" spans="1:53" ht="15.75" customHeight="1">
      <c r="A349" s="100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227"/>
      <c r="BA349" s="228"/>
    </row>
    <row r="350" spans="1:53" ht="15.75" customHeight="1">
      <c r="A350" s="100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227"/>
      <c r="BA350" s="228"/>
    </row>
    <row r="351" spans="1:53" ht="15.75" customHeight="1">
      <c r="A351" s="100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227"/>
      <c r="BA351" s="228"/>
    </row>
    <row r="352" spans="1:53" ht="15.75" customHeight="1">
      <c r="A352" s="100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227"/>
      <c r="BA352" s="228"/>
    </row>
    <row r="353" spans="1:53" ht="15.75" customHeight="1">
      <c r="A353" s="100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227"/>
      <c r="BA353" s="228"/>
    </row>
    <row r="354" spans="1:53" ht="15.75" customHeight="1">
      <c r="A354" s="100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227"/>
      <c r="BA354" s="228"/>
    </row>
    <row r="355" spans="1:53" ht="15.75" customHeight="1">
      <c r="A355" s="100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227"/>
      <c r="BA355" s="228"/>
    </row>
    <row r="356" spans="1:53" ht="15.75" customHeight="1">
      <c r="A356" s="100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227"/>
      <c r="BA356" s="228"/>
    </row>
    <row r="357" spans="1:53" ht="15.75" customHeight="1">
      <c r="A357" s="100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227"/>
      <c r="BA357" s="228"/>
    </row>
    <row r="358" spans="1:53" ht="15.75" customHeight="1">
      <c r="A358" s="100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227"/>
      <c r="BA358" s="228"/>
    </row>
    <row r="359" spans="1:53" ht="15.75" customHeight="1">
      <c r="A359" s="100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227"/>
      <c r="BA359" s="228"/>
    </row>
    <row r="360" spans="1:53" ht="15.75" customHeight="1">
      <c r="A360" s="100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227"/>
      <c r="BA360" s="228"/>
    </row>
    <row r="361" spans="1:53" ht="15.75" customHeight="1">
      <c r="A361" s="100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227"/>
      <c r="BA361" s="228"/>
    </row>
    <row r="362" spans="1:53" ht="15.75" customHeight="1">
      <c r="A362" s="100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227"/>
      <c r="BA362" s="228"/>
    </row>
    <row r="363" spans="1:53" ht="15.75" customHeight="1">
      <c r="A363" s="100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227"/>
      <c r="BA363" s="228"/>
    </row>
    <row r="364" spans="1:53" ht="15.75" customHeight="1">
      <c r="A364" s="100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227"/>
      <c r="BA364" s="228"/>
    </row>
    <row r="365" spans="1:53" ht="15.75" customHeight="1">
      <c r="A365" s="100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227"/>
      <c r="BA365" s="228"/>
    </row>
    <row r="366" spans="1:53" ht="15.75" customHeight="1">
      <c r="A366" s="100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227"/>
      <c r="BA366" s="228"/>
    </row>
    <row r="367" spans="1:53" ht="15.75" customHeight="1">
      <c r="A367" s="100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227"/>
      <c r="BA367" s="228"/>
    </row>
    <row r="368" spans="1:53" ht="15.75" customHeight="1">
      <c r="A368" s="100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227"/>
      <c r="BA368" s="228"/>
    </row>
    <row r="369" spans="1:53" ht="15.75" customHeight="1">
      <c r="A369" s="100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227"/>
      <c r="BA369" s="228"/>
    </row>
    <row r="370" spans="1:53" ht="15.75" customHeight="1">
      <c r="A370" s="100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227"/>
      <c r="BA370" s="228"/>
    </row>
    <row r="371" spans="1:53" ht="15.75" customHeight="1">
      <c r="A371" s="100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227"/>
      <c r="BA371" s="228"/>
    </row>
    <row r="372" spans="1:53" ht="15.75" customHeight="1">
      <c r="A372" s="100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227"/>
      <c r="BA372" s="228"/>
    </row>
    <row r="373" spans="1:53" ht="15.75" customHeight="1">
      <c r="A373" s="100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227"/>
      <c r="BA373" s="228"/>
    </row>
    <row r="374" spans="1:53" ht="15.75" customHeight="1">
      <c r="A374" s="100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227"/>
      <c r="BA374" s="228"/>
    </row>
    <row r="375" spans="1:53" ht="15.75" customHeight="1">
      <c r="A375" s="100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227"/>
      <c r="BA375" s="228"/>
    </row>
    <row r="376" spans="1:53" ht="15.75" customHeight="1">
      <c r="A376" s="100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227"/>
      <c r="BA376" s="228"/>
    </row>
    <row r="377" spans="1:53" ht="15.75" customHeight="1">
      <c r="A377" s="100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227"/>
      <c r="BA377" s="228"/>
    </row>
    <row r="378" spans="1:53" ht="15.75" customHeight="1">
      <c r="A378" s="100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227"/>
      <c r="BA378" s="228"/>
    </row>
    <row r="379" spans="1:53" ht="15.75" customHeight="1">
      <c r="A379" s="100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227"/>
      <c r="BA379" s="228"/>
    </row>
    <row r="380" spans="1:53" ht="15.75" customHeight="1">
      <c r="A380" s="100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227"/>
      <c r="BA380" s="228"/>
    </row>
    <row r="381" spans="1:53" ht="15.75" customHeight="1">
      <c r="A381" s="100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227"/>
      <c r="BA381" s="228"/>
    </row>
    <row r="382" spans="1:53" ht="15.75" customHeight="1">
      <c r="A382" s="100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227"/>
      <c r="BA382" s="228"/>
    </row>
    <row r="383" spans="1:53" ht="15.75" customHeight="1">
      <c r="A383" s="100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227"/>
      <c r="BA383" s="228"/>
    </row>
    <row r="384" spans="1:53" ht="15.75" customHeight="1">
      <c r="A384" s="100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227"/>
      <c r="BA384" s="228"/>
    </row>
    <row r="385" spans="1:53" ht="15.75" customHeight="1">
      <c r="A385" s="100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227"/>
      <c r="BA385" s="228"/>
    </row>
    <row r="386" spans="1:53" ht="15.75" customHeight="1">
      <c r="A386" s="100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227"/>
      <c r="BA386" s="228"/>
    </row>
    <row r="387" spans="1:53" ht="15.75" customHeight="1">
      <c r="A387" s="100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227"/>
      <c r="BA387" s="228"/>
    </row>
    <row r="388" spans="1:53" ht="15.75" customHeight="1">
      <c r="A388" s="100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227"/>
      <c r="BA388" s="228"/>
    </row>
    <row r="389" spans="1:53" ht="15.75" customHeight="1">
      <c r="A389" s="100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227"/>
      <c r="BA389" s="228"/>
    </row>
    <row r="390" spans="1:53" ht="15.75" customHeight="1">
      <c r="A390" s="100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227"/>
      <c r="BA390" s="228"/>
    </row>
    <row r="391" spans="1:53" ht="15.75" customHeight="1">
      <c r="A391" s="100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227"/>
      <c r="BA391" s="228"/>
    </row>
    <row r="392" spans="1:53" ht="15.75" customHeight="1">
      <c r="A392" s="100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227"/>
      <c r="BA392" s="228"/>
    </row>
    <row r="393" spans="1:53" ht="15.75" customHeight="1">
      <c r="A393" s="100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227"/>
      <c r="BA393" s="228"/>
    </row>
    <row r="394" spans="1:53" ht="15.75" customHeight="1">
      <c r="A394" s="100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227"/>
      <c r="BA394" s="228"/>
    </row>
    <row r="395" spans="1:53" ht="15.75" customHeight="1">
      <c r="A395" s="100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227"/>
      <c r="BA395" s="228"/>
    </row>
    <row r="396" spans="1:53" ht="15.75" customHeight="1">
      <c r="A396" s="100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227"/>
      <c r="BA396" s="228"/>
    </row>
    <row r="397" spans="1:53" ht="15.75" customHeight="1">
      <c r="A397" s="100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227"/>
      <c r="BA397" s="228"/>
    </row>
    <row r="398" spans="1:53" ht="15.75" customHeight="1">
      <c r="A398" s="100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227"/>
      <c r="BA398" s="228"/>
    </row>
    <row r="399" spans="1:53" ht="15.75" customHeight="1">
      <c r="A399" s="100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227"/>
      <c r="BA399" s="228"/>
    </row>
    <row r="400" spans="1:53" ht="15.75" customHeight="1">
      <c r="A400" s="100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227"/>
      <c r="BA400" s="228"/>
    </row>
    <row r="401" spans="1:53" ht="15.75" customHeight="1">
      <c r="A401" s="100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227"/>
      <c r="BA401" s="228"/>
    </row>
    <row r="402" spans="1:53" ht="15.75" customHeight="1">
      <c r="A402" s="100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227"/>
      <c r="BA402" s="228"/>
    </row>
    <row r="403" spans="1:53" ht="15.75" customHeight="1">
      <c r="A403" s="100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227"/>
      <c r="BA403" s="228"/>
    </row>
    <row r="404" spans="1:53" ht="15.75" customHeight="1">
      <c r="A404" s="100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227"/>
      <c r="BA404" s="228"/>
    </row>
    <row r="405" spans="1:53" ht="15.75" customHeight="1">
      <c r="A405" s="100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227"/>
      <c r="BA405" s="228"/>
    </row>
    <row r="406" spans="1:53" ht="15.75" customHeight="1">
      <c r="A406" s="100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227"/>
      <c r="BA406" s="228"/>
    </row>
    <row r="407" spans="1:53" ht="15.75" customHeight="1">
      <c r="A407" s="100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227"/>
      <c r="BA407" s="228"/>
    </row>
    <row r="408" spans="1:53" ht="15.75" customHeight="1">
      <c r="A408" s="100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227"/>
      <c r="BA408" s="228"/>
    </row>
    <row r="409" spans="1:53" ht="15.75" customHeight="1">
      <c r="A409" s="100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227"/>
      <c r="BA409" s="228"/>
    </row>
    <row r="410" spans="1:53" ht="15.75" customHeight="1">
      <c r="A410" s="100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227"/>
      <c r="BA410" s="228"/>
    </row>
    <row r="411" spans="1:53" ht="15.75" customHeight="1">
      <c r="A411" s="100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227"/>
      <c r="BA411" s="228"/>
    </row>
    <row r="412" spans="1:53" ht="15.75" customHeight="1">
      <c r="A412" s="100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227"/>
      <c r="BA412" s="228"/>
    </row>
    <row r="413" spans="1:53" ht="15.75" customHeight="1">
      <c r="A413" s="100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227"/>
      <c r="BA413" s="228"/>
    </row>
    <row r="414" spans="1:53" ht="15.75" customHeight="1">
      <c r="A414" s="100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227"/>
      <c r="BA414" s="228"/>
    </row>
    <row r="415" spans="1:53" ht="15.75" customHeight="1">
      <c r="A415" s="100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227"/>
      <c r="BA415" s="228"/>
    </row>
    <row r="416" spans="1:53" ht="15.75" customHeight="1">
      <c r="A416" s="100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227"/>
      <c r="BA416" s="228"/>
    </row>
    <row r="417" spans="1:53" ht="15.75" customHeight="1">
      <c r="A417" s="100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227"/>
      <c r="BA417" s="228"/>
    </row>
    <row r="418" spans="1:53" ht="15.75" customHeight="1">
      <c r="A418" s="100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227"/>
      <c r="BA418" s="228"/>
    </row>
    <row r="419" spans="1:53" ht="15.75" customHeight="1">
      <c r="A419" s="100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227"/>
      <c r="BA419" s="228"/>
    </row>
    <row r="420" spans="1:53" ht="15.75" customHeight="1">
      <c r="A420" s="100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227"/>
      <c r="BA420" s="228"/>
    </row>
    <row r="421" spans="1:53" ht="15.75" customHeight="1">
      <c r="A421" s="100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227"/>
      <c r="BA421" s="228"/>
    </row>
    <row r="422" spans="1:53" ht="15.75" customHeight="1">
      <c r="A422" s="100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227"/>
      <c r="BA422" s="228"/>
    </row>
    <row r="423" spans="1:53" ht="15.75" customHeight="1">
      <c r="A423" s="100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227"/>
      <c r="BA423" s="228"/>
    </row>
    <row r="424" spans="1:53" ht="15.75" customHeight="1">
      <c r="A424" s="100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227"/>
      <c r="BA424" s="228"/>
    </row>
    <row r="425" spans="1:53" ht="15.75" customHeight="1">
      <c r="A425" s="100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227"/>
      <c r="BA425" s="228"/>
    </row>
    <row r="426" spans="1:53" ht="15.75" customHeight="1">
      <c r="A426" s="100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227"/>
      <c r="BA426" s="228"/>
    </row>
    <row r="427" spans="1:53" ht="15.75" customHeight="1">
      <c r="A427" s="100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227"/>
      <c r="BA427" s="228"/>
    </row>
    <row r="428" spans="1:53" ht="15.75" customHeight="1">
      <c r="A428" s="100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227"/>
      <c r="BA428" s="228"/>
    </row>
    <row r="429" spans="1:53" ht="15.75" customHeight="1">
      <c r="A429" s="100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227"/>
      <c r="BA429" s="228"/>
    </row>
    <row r="430" spans="1:53" ht="15.75" customHeight="1">
      <c r="A430" s="100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227"/>
      <c r="BA430" s="228"/>
    </row>
    <row r="431" spans="1:53" ht="15.75" customHeight="1">
      <c r="A431" s="100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227"/>
      <c r="BA431" s="228"/>
    </row>
    <row r="432" spans="1:53" ht="15.75" customHeight="1">
      <c r="A432" s="100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227"/>
      <c r="BA432" s="228"/>
    </row>
    <row r="433" spans="1:53" ht="15.75" customHeight="1">
      <c r="A433" s="100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227"/>
      <c r="BA433" s="228"/>
    </row>
    <row r="434" spans="1:53" ht="15.75" customHeight="1">
      <c r="A434" s="100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227"/>
      <c r="BA434" s="228"/>
    </row>
    <row r="435" spans="1:53" ht="15.75" customHeight="1">
      <c r="A435" s="100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227"/>
      <c r="BA435" s="228"/>
    </row>
    <row r="436" spans="1:53" ht="15.75" customHeight="1">
      <c r="A436" s="100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227"/>
      <c r="BA436" s="228"/>
    </row>
    <row r="437" spans="1:53" ht="15.75" customHeight="1">
      <c r="A437" s="100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227"/>
      <c r="BA437" s="228"/>
    </row>
    <row r="438" spans="1:53" ht="15.75" customHeight="1">
      <c r="A438" s="100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227"/>
      <c r="BA438" s="228"/>
    </row>
    <row r="439" spans="1:53" ht="15.75" customHeight="1">
      <c r="A439" s="100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227"/>
      <c r="BA439" s="228"/>
    </row>
    <row r="440" spans="1:53" ht="15.75" customHeight="1">
      <c r="A440" s="100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227"/>
      <c r="BA440" s="228"/>
    </row>
    <row r="441" spans="1:53" ht="15.75" customHeight="1">
      <c r="A441" s="100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227"/>
      <c r="BA441" s="228"/>
    </row>
    <row r="442" spans="1:53" ht="15.75" customHeight="1">
      <c r="A442" s="100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227"/>
      <c r="BA442" s="228"/>
    </row>
    <row r="443" spans="1:53" ht="15.75" customHeight="1">
      <c r="A443" s="100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227"/>
      <c r="BA443" s="228"/>
    </row>
    <row r="444" spans="1:53" ht="15.75" customHeight="1">
      <c r="A444" s="100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227"/>
      <c r="BA444" s="228"/>
    </row>
    <row r="445" spans="1:53" ht="15.75" customHeight="1">
      <c r="A445" s="100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227"/>
      <c r="BA445" s="228"/>
    </row>
    <row r="446" spans="1:53" ht="15.75" customHeight="1">
      <c r="A446" s="100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227"/>
      <c r="BA446" s="228"/>
    </row>
    <row r="447" spans="1:53" ht="15.75" customHeight="1">
      <c r="A447" s="100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227"/>
      <c r="BA447" s="228"/>
    </row>
    <row r="448" spans="1:53" ht="15.75" customHeight="1">
      <c r="A448" s="100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227"/>
      <c r="BA448" s="228"/>
    </row>
    <row r="449" spans="1:53" ht="15.75" customHeight="1">
      <c r="A449" s="100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227"/>
      <c r="BA449" s="228"/>
    </row>
    <row r="450" spans="1:53" ht="15.75" customHeight="1">
      <c r="A450" s="100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227"/>
      <c r="BA450" s="228"/>
    </row>
    <row r="451" spans="1:53" ht="15.75" customHeight="1">
      <c r="A451" s="100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227"/>
      <c r="BA451" s="228"/>
    </row>
    <row r="452" spans="1:53" ht="15.75" customHeight="1">
      <c r="A452" s="100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227"/>
      <c r="BA452" s="228"/>
    </row>
    <row r="453" spans="1:53" ht="15.75" customHeight="1">
      <c r="A453" s="100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227"/>
      <c r="BA453" s="228"/>
    </row>
    <row r="454" spans="1:53" ht="15.75" customHeight="1">
      <c r="A454" s="100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227"/>
      <c r="BA454" s="228"/>
    </row>
    <row r="455" spans="1:53" ht="15.75" customHeight="1">
      <c r="A455" s="100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227"/>
      <c r="BA455" s="228"/>
    </row>
    <row r="456" spans="1:53" ht="15.75" customHeight="1">
      <c r="A456" s="100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227"/>
      <c r="BA456" s="228"/>
    </row>
    <row r="457" spans="1:53" ht="15.75" customHeight="1">
      <c r="A457" s="100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227"/>
      <c r="BA457" s="228"/>
    </row>
    <row r="458" spans="1:53" ht="15.75" customHeight="1">
      <c r="A458" s="100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227"/>
      <c r="BA458" s="228"/>
    </row>
    <row r="459" spans="1:53" ht="15.75" customHeight="1">
      <c r="A459" s="100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227"/>
      <c r="BA459" s="228"/>
    </row>
    <row r="460" spans="1:53" ht="15.75" customHeight="1">
      <c r="A460" s="100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227"/>
      <c r="BA460" s="228"/>
    </row>
    <row r="461" spans="1:53" ht="15.75" customHeight="1">
      <c r="A461" s="100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227"/>
      <c r="BA461" s="228"/>
    </row>
    <row r="462" spans="1:53" ht="15.75" customHeight="1">
      <c r="A462" s="100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227"/>
      <c r="BA462" s="228"/>
    </row>
    <row r="463" spans="1:53" ht="15.75" customHeight="1">
      <c r="A463" s="100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227"/>
      <c r="BA463" s="228"/>
    </row>
    <row r="464" spans="1:53" ht="15.75" customHeight="1">
      <c r="A464" s="100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227"/>
      <c r="BA464" s="228"/>
    </row>
    <row r="465" spans="1:53" ht="15.75" customHeight="1">
      <c r="A465" s="100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227"/>
      <c r="BA465" s="228"/>
    </row>
    <row r="466" spans="1:53" ht="15.75" customHeight="1">
      <c r="A466" s="100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227"/>
      <c r="BA466" s="228"/>
    </row>
    <row r="467" spans="1:53" ht="15.75" customHeight="1">
      <c r="A467" s="100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227"/>
      <c r="BA467" s="228"/>
    </row>
    <row r="468" spans="1:53" ht="15.75" customHeight="1">
      <c r="A468" s="100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227"/>
      <c r="BA468" s="228"/>
    </row>
    <row r="469" spans="1:53" ht="15.75" customHeight="1">
      <c r="A469" s="100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227"/>
      <c r="BA469" s="228"/>
    </row>
    <row r="470" spans="1:53" ht="15.75" customHeight="1">
      <c r="A470" s="100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227"/>
      <c r="BA470" s="228"/>
    </row>
    <row r="471" spans="1:53" ht="15.75" customHeight="1">
      <c r="A471" s="100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227"/>
      <c r="BA471" s="228"/>
    </row>
    <row r="472" spans="1:53" ht="15.75" customHeight="1">
      <c r="A472" s="100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227"/>
      <c r="BA472" s="228"/>
    </row>
    <row r="473" spans="1:53" ht="15.75" customHeight="1">
      <c r="A473" s="100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227"/>
      <c r="BA473" s="228"/>
    </row>
    <row r="474" spans="1:53" ht="15.75" customHeight="1">
      <c r="A474" s="100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227"/>
      <c r="BA474" s="228"/>
    </row>
    <row r="475" spans="1:53" ht="15.75" customHeight="1">
      <c r="A475" s="100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227"/>
      <c r="BA475" s="228"/>
    </row>
    <row r="476" spans="1:53" ht="15.75" customHeight="1">
      <c r="A476" s="100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227"/>
      <c r="BA476" s="228"/>
    </row>
    <row r="477" spans="1:53" ht="15.75" customHeight="1">
      <c r="A477" s="100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227"/>
      <c r="BA477" s="228"/>
    </row>
    <row r="478" spans="1:53" ht="15.75" customHeight="1">
      <c r="A478" s="100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227"/>
      <c r="BA478" s="228"/>
    </row>
    <row r="479" spans="1:53" ht="15.75" customHeight="1">
      <c r="A479" s="100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227"/>
      <c r="BA479" s="228"/>
    </row>
    <row r="480" spans="1:53" ht="15.75" customHeight="1">
      <c r="A480" s="100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227"/>
      <c r="BA480" s="228"/>
    </row>
    <row r="481" spans="1:53" ht="15.75" customHeight="1">
      <c r="A481" s="100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227"/>
      <c r="BA481" s="228"/>
    </row>
    <row r="482" spans="1:53" ht="15.75" customHeight="1">
      <c r="A482" s="100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227"/>
      <c r="BA482" s="228"/>
    </row>
    <row r="483" spans="1:53" ht="15.75" customHeight="1">
      <c r="A483" s="100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227"/>
      <c r="BA483" s="228"/>
    </row>
    <row r="484" spans="1:53" ht="15.75" customHeight="1">
      <c r="A484" s="100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227"/>
      <c r="BA484" s="228"/>
    </row>
    <row r="485" spans="1:53" ht="15.75" customHeight="1">
      <c r="A485" s="100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227"/>
      <c r="BA485" s="228"/>
    </row>
    <row r="486" spans="1:53" ht="15.75" customHeight="1">
      <c r="A486" s="100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227"/>
      <c r="BA486" s="228"/>
    </row>
    <row r="487" spans="1:53" ht="15.75" customHeight="1">
      <c r="A487" s="100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227"/>
      <c r="BA487" s="228"/>
    </row>
    <row r="488" spans="1:53" ht="15.75" customHeight="1">
      <c r="A488" s="100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227"/>
      <c r="BA488" s="228"/>
    </row>
    <row r="489" spans="1:53" ht="15.75" customHeight="1">
      <c r="A489" s="100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227"/>
      <c r="BA489" s="228"/>
    </row>
    <row r="490" spans="1:53" ht="15.75" customHeight="1">
      <c r="A490" s="100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227"/>
      <c r="BA490" s="228"/>
    </row>
    <row r="491" spans="1:53" ht="15.75" customHeight="1">
      <c r="A491" s="100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227"/>
      <c r="BA491" s="228"/>
    </row>
    <row r="492" spans="1:53" ht="15.75" customHeight="1">
      <c r="A492" s="100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227"/>
      <c r="BA492" s="228"/>
    </row>
    <row r="493" spans="1:53" ht="15.75" customHeight="1">
      <c r="A493" s="100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227"/>
      <c r="BA493" s="228"/>
    </row>
    <row r="494" spans="1:53" ht="15.75" customHeight="1">
      <c r="A494" s="100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227"/>
      <c r="BA494" s="228"/>
    </row>
    <row r="495" spans="1:53" ht="15.75" customHeight="1">
      <c r="A495" s="100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227"/>
      <c r="BA495" s="228"/>
    </row>
    <row r="496" spans="1:53" ht="15.75" customHeight="1">
      <c r="A496" s="100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227"/>
      <c r="BA496" s="228"/>
    </row>
    <row r="497" spans="1:53" ht="15.75" customHeight="1">
      <c r="A497" s="100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227"/>
      <c r="BA497" s="228"/>
    </row>
    <row r="498" spans="1:53" ht="15.75" customHeight="1">
      <c r="A498" s="100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227"/>
      <c r="BA498" s="228"/>
    </row>
    <row r="499" spans="1:53" ht="15.75" customHeight="1">
      <c r="A499" s="100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227"/>
      <c r="BA499" s="228"/>
    </row>
    <row r="500" spans="1:53" ht="15.75" customHeight="1">
      <c r="A500" s="100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227"/>
      <c r="BA500" s="228"/>
    </row>
    <row r="501" spans="1:53" ht="15.75" customHeight="1">
      <c r="A501" s="100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227"/>
      <c r="BA501" s="228"/>
    </row>
    <row r="502" spans="1:53" ht="15.75" customHeight="1">
      <c r="A502" s="100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227"/>
      <c r="BA502" s="228"/>
    </row>
    <row r="503" spans="1:53" ht="15.75" customHeight="1">
      <c r="A503" s="100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227"/>
      <c r="BA503" s="228"/>
    </row>
    <row r="504" spans="1:53" ht="15.75" customHeight="1">
      <c r="A504" s="100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227"/>
      <c r="BA504" s="228"/>
    </row>
    <row r="505" spans="1:53" ht="15.75" customHeight="1">
      <c r="A505" s="100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227"/>
      <c r="BA505" s="228"/>
    </row>
    <row r="506" spans="1:53" ht="15.75" customHeight="1">
      <c r="A506" s="100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227"/>
      <c r="BA506" s="228"/>
    </row>
    <row r="507" spans="1:53" ht="15.75" customHeight="1">
      <c r="A507" s="100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227"/>
      <c r="BA507" s="228"/>
    </row>
    <row r="508" spans="1:53" ht="15.75" customHeight="1">
      <c r="A508" s="100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227"/>
      <c r="BA508" s="228"/>
    </row>
    <row r="509" spans="1:53" ht="15.75" customHeight="1">
      <c r="A509" s="100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227"/>
      <c r="BA509" s="228"/>
    </row>
    <row r="510" spans="1:53" ht="15.75" customHeight="1">
      <c r="A510" s="100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227"/>
      <c r="BA510" s="228"/>
    </row>
    <row r="511" spans="1:53" ht="15.75" customHeight="1">
      <c r="A511" s="100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227"/>
      <c r="BA511" s="228"/>
    </row>
    <row r="512" spans="1:53" ht="15.75" customHeight="1">
      <c r="A512" s="100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227"/>
      <c r="BA512" s="228"/>
    </row>
    <row r="513" spans="1:53" ht="15.75" customHeight="1">
      <c r="A513" s="100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227"/>
      <c r="BA513" s="228"/>
    </row>
    <row r="514" spans="1:53" ht="15.75" customHeight="1">
      <c r="A514" s="100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227"/>
      <c r="BA514" s="228"/>
    </row>
    <row r="515" spans="1:53" ht="15.75" customHeight="1">
      <c r="A515" s="100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227"/>
      <c r="BA515" s="228"/>
    </row>
    <row r="516" spans="1:53" ht="15.75" customHeight="1">
      <c r="A516" s="100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227"/>
      <c r="BA516" s="228"/>
    </row>
    <row r="517" spans="1:53" ht="15.75" customHeight="1">
      <c r="A517" s="100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227"/>
      <c r="BA517" s="228"/>
    </row>
    <row r="518" spans="1:53" ht="15.75" customHeight="1">
      <c r="A518" s="100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227"/>
      <c r="BA518" s="228"/>
    </row>
    <row r="519" spans="1:53" ht="15.75" customHeight="1">
      <c r="A519" s="100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227"/>
      <c r="BA519" s="228"/>
    </row>
    <row r="520" spans="1:53" ht="15.75" customHeight="1">
      <c r="A520" s="100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227"/>
      <c r="BA520" s="228"/>
    </row>
    <row r="521" spans="1:53" ht="15.75" customHeight="1">
      <c r="A521" s="100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227"/>
      <c r="BA521" s="228"/>
    </row>
    <row r="522" spans="1:53" ht="15.75" customHeight="1">
      <c r="A522" s="100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227"/>
      <c r="BA522" s="228"/>
    </row>
    <row r="523" spans="1:53" ht="15.75" customHeight="1">
      <c r="A523" s="100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227"/>
      <c r="BA523" s="228"/>
    </row>
    <row r="524" spans="1:53" ht="15.75" customHeight="1">
      <c r="A524" s="100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227"/>
      <c r="BA524" s="228"/>
    </row>
    <row r="525" spans="1:53" ht="15.75" customHeight="1">
      <c r="A525" s="100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227"/>
      <c r="BA525" s="228"/>
    </row>
    <row r="526" spans="1:53" ht="15.75" customHeight="1">
      <c r="A526" s="100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227"/>
      <c r="BA526" s="228"/>
    </row>
    <row r="527" spans="1:53" ht="15.75" customHeight="1">
      <c r="A527" s="100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227"/>
      <c r="BA527" s="228"/>
    </row>
    <row r="528" spans="1:53" ht="15.75" customHeight="1">
      <c r="A528" s="100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227"/>
      <c r="BA528" s="228"/>
    </row>
    <row r="529" spans="1:53" ht="15.75" customHeight="1">
      <c r="A529" s="100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227"/>
      <c r="BA529" s="228"/>
    </row>
    <row r="530" spans="1:53" ht="15.75" customHeight="1">
      <c r="A530" s="100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227"/>
      <c r="BA530" s="228"/>
    </row>
    <row r="531" spans="1:53" ht="15.75" customHeight="1">
      <c r="A531" s="100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227"/>
      <c r="BA531" s="228"/>
    </row>
    <row r="532" spans="1:53" ht="15.75" customHeight="1">
      <c r="A532" s="100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227"/>
      <c r="BA532" s="228"/>
    </row>
    <row r="533" spans="1:53" ht="15.75" customHeight="1">
      <c r="A533" s="100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227"/>
      <c r="BA533" s="228"/>
    </row>
    <row r="534" spans="1:53" ht="15.75" customHeight="1">
      <c r="A534" s="100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227"/>
      <c r="BA534" s="228"/>
    </row>
    <row r="535" spans="1:53" ht="15.75" customHeight="1">
      <c r="A535" s="100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227"/>
      <c r="BA535" s="228"/>
    </row>
    <row r="536" spans="1:53" ht="15.75" customHeight="1">
      <c r="A536" s="100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227"/>
      <c r="BA536" s="228"/>
    </row>
    <row r="537" spans="1:53" ht="15.75" customHeight="1">
      <c r="A537" s="100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227"/>
      <c r="BA537" s="228"/>
    </row>
    <row r="538" spans="1:53" ht="15.75" customHeight="1">
      <c r="A538" s="100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227"/>
      <c r="BA538" s="228"/>
    </row>
    <row r="539" spans="1:53" ht="15.75" customHeight="1">
      <c r="A539" s="100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227"/>
      <c r="BA539" s="228"/>
    </row>
    <row r="540" spans="1:53" ht="15.75" customHeight="1">
      <c r="A540" s="100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227"/>
      <c r="BA540" s="228"/>
    </row>
    <row r="541" spans="1:53" ht="15.75" customHeight="1">
      <c r="A541" s="100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227"/>
      <c r="BA541" s="228"/>
    </row>
    <row r="542" spans="1:53" ht="15.75" customHeight="1">
      <c r="A542" s="100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227"/>
      <c r="BA542" s="228"/>
    </row>
    <row r="543" spans="1:53" ht="15.75" customHeight="1">
      <c r="A543" s="100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227"/>
      <c r="BA543" s="228"/>
    </row>
    <row r="544" spans="1:53" ht="15.75" customHeight="1">
      <c r="A544" s="100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227"/>
      <c r="BA544" s="228"/>
    </row>
    <row r="545" spans="1:53" ht="15.75" customHeight="1">
      <c r="A545" s="100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227"/>
      <c r="BA545" s="228"/>
    </row>
    <row r="546" spans="1:53" ht="15.75" customHeight="1">
      <c r="A546" s="100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227"/>
      <c r="BA546" s="228"/>
    </row>
    <row r="547" spans="1:53" ht="15.75" customHeight="1">
      <c r="A547" s="100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227"/>
      <c r="BA547" s="228"/>
    </row>
    <row r="548" spans="1:53" ht="15.75" customHeight="1">
      <c r="A548" s="100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227"/>
      <c r="BA548" s="228"/>
    </row>
    <row r="549" spans="1:53" ht="15.75" customHeight="1">
      <c r="A549" s="100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227"/>
      <c r="BA549" s="228"/>
    </row>
    <row r="550" spans="1:53" ht="15.75" customHeight="1">
      <c r="A550" s="100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227"/>
      <c r="BA550" s="228"/>
    </row>
    <row r="551" spans="1:53" ht="15.75" customHeight="1">
      <c r="A551" s="100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227"/>
      <c r="BA551" s="228"/>
    </row>
    <row r="552" spans="1:53" ht="15.75" customHeight="1">
      <c r="A552" s="100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227"/>
      <c r="BA552" s="228"/>
    </row>
    <row r="553" spans="1:53" ht="15.75" customHeight="1">
      <c r="A553" s="100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227"/>
      <c r="BA553" s="228"/>
    </row>
    <row r="554" spans="1:53" ht="15.75" customHeight="1">
      <c r="A554" s="100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227"/>
      <c r="BA554" s="228"/>
    </row>
    <row r="555" spans="1:53" ht="15.75" customHeight="1">
      <c r="A555" s="100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227"/>
      <c r="BA555" s="228"/>
    </row>
    <row r="556" spans="1:53" ht="15.75" customHeight="1">
      <c r="A556" s="100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227"/>
      <c r="BA556" s="228"/>
    </row>
    <row r="557" spans="1:53" ht="15.75" customHeight="1">
      <c r="A557" s="100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227"/>
      <c r="BA557" s="228"/>
    </row>
    <row r="558" spans="1:53" ht="15.75" customHeight="1">
      <c r="A558" s="100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227"/>
      <c r="BA558" s="228"/>
    </row>
    <row r="559" spans="1:53" ht="15.75" customHeight="1">
      <c r="A559" s="100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227"/>
      <c r="BA559" s="228"/>
    </row>
    <row r="560" spans="1:53" ht="15.75" customHeight="1">
      <c r="A560" s="100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227"/>
      <c r="BA560" s="228"/>
    </row>
    <row r="561" spans="1:53" ht="15.75" customHeight="1">
      <c r="A561" s="100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227"/>
      <c r="BA561" s="228"/>
    </row>
    <row r="562" spans="1:53" ht="15.75" customHeight="1">
      <c r="A562" s="100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227"/>
      <c r="BA562" s="228"/>
    </row>
    <row r="563" spans="1:53" ht="15.75" customHeight="1">
      <c r="A563" s="100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227"/>
      <c r="BA563" s="228"/>
    </row>
    <row r="564" spans="1:53" ht="15.75" customHeight="1">
      <c r="A564" s="100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227"/>
      <c r="BA564" s="228"/>
    </row>
    <row r="565" spans="1:53" ht="15.75" customHeight="1">
      <c r="A565" s="100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227"/>
      <c r="BA565" s="228"/>
    </row>
    <row r="566" spans="1:53" ht="15.75" customHeight="1">
      <c r="A566" s="100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227"/>
      <c r="BA566" s="228"/>
    </row>
    <row r="567" spans="1:53" ht="15.75" customHeight="1">
      <c r="A567" s="100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227"/>
      <c r="BA567" s="228"/>
    </row>
    <row r="568" spans="1:53" ht="15.75" customHeight="1">
      <c r="A568" s="100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227"/>
      <c r="BA568" s="228"/>
    </row>
    <row r="569" spans="1:53" ht="15.75" customHeight="1">
      <c r="A569" s="100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227"/>
      <c r="BA569" s="228"/>
    </row>
    <row r="570" spans="1:53" ht="15.75" customHeight="1">
      <c r="A570" s="100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227"/>
      <c r="BA570" s="228"/>
    </row>
    <row r="571" spans="1:53" ht="15.75" customHeight="1">
      <c r="A571" s="100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227"/>
      <c r="BA571" s="228"/>
    </row>
    <row r="572" spans="1:53" ht="15.75" customHeight="1">
      <c r="A572" s="100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227"/>
      <c r="BA572" s="228"/>
    </row>
    <row r="573" spans="1:53" ht="15.75" customHeight="1">
      <c r="A573" s="100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227"/>
      <c r="BA573" s="228"/>
    </row>
    <row r="574" spans="1:53" ht="15.75" customHeight="1">
      <c r="A574" s="100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227"/>
      <c r="BA574" s="228"/>
    </row>
    <row r="575" spans="1:53" ht="15.75" customHeight="1">
      <c r="A575" s="100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227"/>
      <c r="BA575" s="228"/>
    </row>
    <row r="576" spans="1:53" ht="15.75" customHeight="1">
      <c r="A576" s="100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227"/>
      <c r="BA576" s="228"/>
    </row>
    <row r="577" spans="1:53" ht="15.75" customHeight="1">
      <c r="A577" s="100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227"/>
      <c r="BA577" s="228"/>
    </row>
    <row r="578" spans="1:53" ht="15.75" customHeight="1">
      <c r="A578" s="100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227"/>
      <c r="BA578" s="228"/>
    </row>
    <row r="579" spans="1:53" ht="15.75" customHeight="1">
      <c r="A579" s="100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227"/>
      <c r="BA579" s="228"/>
    </row>
    <row r="580" spans="1:53" ht="15.75" customHeight="1">
      <c r="A580" s="100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227"/>
      <c r="BA580" s="228"/>
    </row>
    <row r="581" spans="1:53" ht="15.75" customHeight="1">
      <c r="A581" s="100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227"/>
      <c r="BA581" s="228"/>
    </row>
    <row r="582" spans="1:53" ht="15.75" customHeight="1">
      <c r="A582" s="100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227"/>
      <c r="BA582" s="228"/>
    </row>
    <row r="583" spans="1:53" ht="15.75" customHeight="1">
      <c r="A583" s="100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227"/>
      <c r="BA583" s="228"/>
    </row>
    <row r="584" spans="1:53" ht="15.75" customHeight="1">
      <c r="A584" s="100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227"/>
      <c r="BA584" s="228"/>
    </row>
    <row r="585" spans="1:53" ht="15.75" customHeight="1">
      <c r="A585" s="100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227"/>
      <c r="BA585" s="228"/>
    </row>
    <row r="586" spans="1:53" ht="15.75" customHeight="1">
      <c r="A586" s="100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227"/>
      <c r="BA586" s="228"/>
    </row>
    <row r="587" spans="1:53" ht="15.75" customHeight="1">
      <c r="A587" s="100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227"/>
      <c r="BA587" s="228"/>
    </row>
    <row r="588" spans="1:53" ht="15.75" customHeight="1">
      <c r="A588" s="100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227"/>
      <c r="BA588" s="228"/>
    </row>
    <row r="589" spans="1:53" ht="15.75" customHeight="1">
      <c r="A589" s="100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227"/>
      <c r="BA589" s="228"/>
    </row>
    <row r="590" spans="1:53" ht="15.75" customHeight="1">
      <c r="A590" s="100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227"/>
      <c r="BA590" s="228"/>
    </row>
    <row r="591" spans="1:53" ht="15.75" customHeight="1">
      <c r="A591" s="100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227"/>
      <c r="BA591" s="228"/>
    </row>
    <row r="592" spans="1:53" ht="15.75" customHeight="1">
      <c r="A592" s="100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227"/>
      <c r="BA592" s="228"/>
    </row>
    <row r="593" spans="1:53" ht="15.75" customHeight="1">
      <c r="A593" s="100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227"/>
      <c r="BA593" s="228"/>
    </row>
    <row r="594" spans="1:53" ht="15.75" customHeight="1">
      <c r="A594" s="100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227"/>
      <c r="BA594" s="228"/>
    </row>
    <row r="595" spans="1:53" ht="15.75" customHeight="1">
      <c r="A595" s="100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227"/>
      <c r="BA595" s="228"/>
    </row>
    <row r="596" spans="1:53" ht="15.75" customHeight="1">
      <c r="A596" s="100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227"/>
      <c r="BA596" s="228"/>
    </row>
    <row r="597" spans="1:53" ht="15.75" customHeight="1">
      <c r="A597" s="100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227"/>
      <c r="BA597" s="228"/>
    </row>
    <row r="598" spans="1:53" ht="15.75" customHeight="1">
      <c r="A598" s="100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227"/>
      <c r="BA598" s="228"/>
    </row>
    <row r="599" spans="1:53" ht="15.75" customHeight="1">
      <c r="A599" s="100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227"/>
      <c r="BA599" s="228"/>
    </row>
    <row r="600" spans="1:53" ht="15.75" customHeight="1">
      <c r="A600" s="100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227"/>
      <c r="BA600" s="228"/>
    </row>
    <row r="601" spans="1:53" ht="15.75" customHeight="1">
      <c r="A601" s="100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227"/>
      <c r="BA601" s="228"/>
    </row>
    <row r="602" spans="1:53" ht="15.75" customHeight="1">
      <c r="A602" s="100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227"/>
      <c r="BA602" s="228"/>
    </row>
    <row r="603" spans="1:53" ht="15.75" customHeight="1">
      <c r="A603" s="100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227"/>
      <c r="BA603" s="228"/>
    </row>
    <row r="604" spans="1:53" ht="15.75" customHeight="1">
      <c r="A604" s="100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227"/>
      <c r="BA604" s="228"/>
    </row>
    <row r="605" spans="1:53" ht="15.75" customHeight="1">
      <c r="A605" s="100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227"/>
      <c r="BA605" s="228"/>
    </row>
    <row r="606" spans="1:53" ht="15.75" customHeight="1">
      <c r="A606" s="100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227"/>
      <c r="BA606" s="228"/>
    </row>
    <row r="607" spans="1:53" ht="15.75" customHeight="1">
      <c r="A607" s="100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227"/>
      <c r="BA607" s="228"/>
    </row>
    <row r="608" spans="1:53" ht="15.75" customHeight="1">
      <c r="A608" s="100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227"/>
      <c r="BA608" s="228"/>
    </row>
    <row r="609" spans="1:53" ht="15.75" customHeight="1">
      <c r="A609" s="100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227"/>
      <c r="BA609" s="228"/>
    </row>
    <row r="610" spans="1:53" ht="15.75" customHeight="1">
      <c r="A610" s="100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227"/>
      <c r="BA610" s="228"/>
    </row>
    <row r="611" spans="1:53" ht="15.75" customHeight="1">
      <c r="A611" s="100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227"/>
      <c r="BA611" s="228"/>
    </row>
    <row r="612" spans="1:53" ht="15.75" customHeight="1">
      <c r="A612" s="100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227"/>
      <c r="BA612" s="228"/>
    </row>
    <row r="613" spans="1:53" ht="15.75" customHeight="1">
      <c r="A613" s="100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227"/>
      <c r="BA613" s="228"/>
    </row>
    <row r="614" spans="1:53" ht="15.75" customHeight="1">
      <c r="A614" s="100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227"/>
      <c r="BA614" s="228"/>
    </row>
    <row r="615" spans="1:53" ht="15.75" customHeight="1">
      <c r="A615" s="100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227"/>
      <c r="BA615" s="228"/>
    </row>
    <row r="616" spans="1:53" ht="15.75" customHeight="1">
      <c r="A616" s="100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227"/>
      <c r="BA616" s="228"/>
    </row>
    <row r="617" spans="1:53" ht="15.75" customHeight="1">
      <c r="A617" s="100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227"/>
      <c r="BA617" s="228"/>
    </row>
    <row r="618" spans="1:53" ht="15.75" customHeight="1">
      <c r="A618" s="100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227"/>
      <c r="BA618" s="228"/>
    </row>
    <row r="619" spans="1:53" ht="15.75" customHeight="1">
      <c r="A619" s="100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227"/>
      <c r="BA619" s="228"/>
    </row>
    <row r="620" spans="1:53" ht="15.75" customHeight="1">
      <c r="A620" s="100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227"/>
      <c r="BA620" s="228"/>
    </row>
    <row r="621" spans="1:53" ht="15.75" customHeight="1">
      <c r="A621" s="100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227"/>
      <c r="BA621" s="228"/>
    </row>
    <row r="622" spans="1:53" ht="15.75" customHeight="1">
      <c r="A622" s="100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227"/>
      <c r="BA622" s="228"/>
    </row>
    <row r="623" spans="1:53" ht="15.75" customHeight="1">
      <c r="A623" s="100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227"/>
      <c r="BA623" s="228"/>
    </row>
    <row r="624" spans="1:53" ht="15.75" customHeight="1">
      <c r="A624" s="100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227"/>
      <c r="BA624" s="228"/>
    </row>
    <row r="625" spans="1:53" ht="15.75" customHeight="1">
      <c r="A625" s="100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227"/>
      <c r="BA625" s="228"/>
    </row>
    <row r="626" spans="1:53" ht="15.75" customHeight="1">
      <c r="A626" s="100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227"/>
      <c r="BA626" s="228"/>
    </row>
    <row r="627" spans="1:53" ht="15.75" customHeight="1">
      <c r="A627" s="100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227"/>
      <c r="BA627" s="228"/>
    </row>
    <row r="628" spans="1:53" ht="15.75" customHeight="1">
      <c r="A628" s="100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227"/>
      <c r="BA628" s="228"/>
    </row>
    <row r="629" spans="1:53" ht="15.75" customHeight="1">
      <c r="A629" s="100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227"/>
      <c r="BA629" s="228"/>
    </row>
    <row r="630" spans="1:53" ht="15.75" customHeight="1">
      <c r="A630" s="100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227"/>
      <c r="BA630" s="228"/>
    </row>
    <row r="631" spans="1:53" ht="15.75" customHeight="1">
      <c r="A631" s="100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227"/>
      <c r="BA631" s="228"/>
    </row>
    <row r="632" spans="1:53" ht="15.75" customHeight="1">
      <c r="A632" s="100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227"/>
      <c r="BA632" s="228"/>
    </row>
    <row r="633" spans="1:53" ht="15.75" customHeight="1">
      <c r="A633" s="100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227"/>
      <c r="BA633" s="228"/>
    </row>
    <row r="634" spans="1:53" ht="15.75" customHeight="1">
      <c r="A634" s="100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227"/>
      <c r="BA634" s="228"/>
    </row>
    <row r="635" spans="1:53" ht="15.75" customHeight="1">
      <c r="A635" s="100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227"/>
      <c r="BA635" s="228"/>
    </row>
    <row r="636" spans="1:53" ht="15.75" customHeight="1">
      <c r="A636" s="100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227"/>
      <c r="BA636" s="228"/>
    </row>
    <row r="637" spans="1:53" ht="15.75" customHeight="1">
      <c r="A637" s="100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227"/>
      <c r="BA637" s="228"/>
    </row>
    <row r="638" spans="1:53" ht="15.75" customHeight="1">
      <c r="A638" s="100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227"/>
      <c r="BA638" s="228"/>
    </row>
    <row r="639" spans="1:53" ht="15.75" customHeight="1">
      <c r="A639" s="100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227"/>
      <c r="BA639" s="228"/>
    </row>
    <row r="640" spans="1:53" ht="15.75" customHeight="1">
      <c r="A640" s="100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227"/>
      <c r="BA640" s="228"/>
    </row>
    <row r="641" spans="1:53" ht="15.75" customHeight="1">
      <c r="A641" s="100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227"/>
      <c r="BA641" s="228"/>
    </row>
    <row r="642" spans="1:53" ht="15.75" customHeight="1">
      <c r="A642" s="100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227"/>
      <c r="BA642" s="228"/>
    </row>
    <row r="643" spans="1:53" ht="15.75" customHeight="1">
      <c r="A643" s="100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227"/>
      <c r="BA643" s="228"/>
    </row>
    <row r="644" spans="1:53" ht="15.75" customHeight="1">
      <c r="A644" s="100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227"/>
      <c r="BA644" s="228"/>
    </row>
    <row r="645" spans="1:53" ht="15.75" customHeight="1">
      <c r="A645" s="100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227"/>
      <c r="BA645" s="228"/>
    </row>
    <row r="646" spans="1:53" ht="15.75" customHeight="1">
      <c r="A646" s="100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227"/>
      <c r="BA646" s="228"/>
    </row>
    <row r="647" spans="1:53" ht="15.75" customHeight="1">
      <c r="A647" s="100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227"/>
      <c r="BA647" s="228"/>
    </row>
    <row r="648" spans="1:53" ht="15.75" customHeight="1">
      <c r="A648" s="100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227"/>
      <c r="BA648" s="228"/>
    </row>
    <row r="649" spans="1:53" ht="15.75" customHeight="1">
      <c r="A649" s="100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227"/>
      <c r="BA649" s="228"/>
    </row>
    <row r="650" spans="1:53" ht="15.75" customHeight="1">
      <c r="A650" s="100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227"/>
      <c r="BA650" s="228"/>
    </row>
    <row r="651" spans="1:53" ht="15.75" customHeight="1">
      <c r="A651" s="100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227"/>
      <c r="BA651" s="228"/>
    </row>
    <row r="652" spans="1:53" ht="15.75" customHeight="1">
      <c r="A652" s="100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227"/>
      <c r="BA652" s="228"/>
    </row>
    <row r="653" spans="1:53" ht="15.75" customHeight="1">
      <c r="A653" s="100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227"/>
      <c r="BA653" s="228"/>
    </row>
    <row r="654" spans="1:53" ht="15.75" customHeight="1">
      <c r="A654" s="100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227"/>
      <c r="BA654" s="228"/>
    </row>
    <row r="655" spans="1:53" ht="15.75" customHeight="1">
      <c r="A655" s="100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227"/>
      <c r="BA655" s="228"/>
    </row>
    <row r="656" spans="1:53" ht="15.75" customHeight="1">
      <c r="A656" s="100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227"/>
      <c r="BA656" s="228"/>
    </row>
    <row r="657" spans="1:53" ht="15.75" customHeight="1">
      <c r="A657" s="100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227"/>
      <c r="BA657" s="228"/>
    </row>
    <row r="658" spans="1:53" ht="15.75" customHeight="1">
      <c r="A658" s="100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227"/>
      <c r="BA658" s="228"/>
    </row>
    <row r="659" spans="1:53" ht="15.75" customHeight="1">
      <c r="A659" s="100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227"/>
      <c r="BA659" s="228"/>
    </row>
    <row r="660" spans="1:53" ht="15.75" customHeight="1">
      <c r="A660" s="100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227"/>
      <c r="BA660" s="228"/>
    </row>
    <row r="661" spans="1:53" ht="15.75" customHeight="1">
      <c r="A661" s="100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227"/>
      <c r="BA661" s="228"/>
    </row>
    <row r="662" spans="1:53" ht="15.75" customHeight="1">
      <c r="A662" s="100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227"/>
      <c r="BA662" s="228"/>
    </row>
    <row r="663" spans="1:53" ht="15.75" customHeight="1">
      <c r="A663" s="100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227"/>
      <c r="BA663" s="228"/>
    </row>
    <row r="664" spans="1:53" ht="15.75" customHeight="1">
      <c r="A664" s="100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227"/>
      <c r="BA664" s="228"/>
    </row>
    <row r="665" spans="1:53" ht="15.75" customHeight="1">
      <c r="A665" s="100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227"/>
      <c r="BA665" s="228"/>
    </row>
    <row r="666" spans="1:53" ht="15.75" customHeight="1">
      <c r="A666" s="100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227"/>
      <c r="BA666" s="228"/>
    </row>
    <row r="667" spans="1:53" ht="15.75" customHeight="1">
      <c r="A667" s="100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227"/>
      <c r="BA667" s="228"/>
    </row>
    <row r="668" spans="1:53" ht="15.75" customHeight="1">
      <c r="A668" s="100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227"/>
      <c r="BA668" s="228"/>
    </row>
    <row r="669" spans="1:53" ht="15.75" customHeight="1">
      <c r="A669" s="100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227"/>
      <c r="BA669" s="228"/>
    </row>
    <row r="670" spans="1:53" ht="15.75" customHeight="1">
      <c r="A670" s="100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227"/>
      <c r="BA670" s="228"/>
    </row>
    <row r="671" spans="1:53" ht="15.75" customHeight="1">
      <c r="A671" s="100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227"/>
      <c r="BA671" s="228"/>
    </row>
    <row r="672" spans="1:53" ht="15.75" customHeight="1">
      <c r="A672" s="100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227"/>
      <c r="BA672" s="228"/>
    </row>
    <row r="673" spans="1:53" ht="15.75" customHeight="1">
      <c r="A673" s="100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227"/>
      <c r="BA673" s="228"/>
    </row>
    <row r="674" spans="1:53" ht="15.75" customHeight="1">
      <c r="A674" s="100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227"/>
      <c r="BA674" s="228"/>
    </row>
    <row r="675" spans="1:53" ht="15.75" customHeight="1">
      <c r="A675" s="100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227"/>
      <c r="BA675" s="228"/>
    </row>
    <row r="676" spans="1:53" ht="15.75" customHeight="1">
      <c r="A676" s="100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227"/>
      <c r="BA676" s="228"/>
    </row>
    <row r="677" spans="1:53" ht="15.75" customHeight="1">
      <c r="A677" s="100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227"/>
      <c r="BA677" s="228"/>
    </row>
    <row r="678" spans="1:53" ht="15.75" customHeight="1">
      <c r="A678" s="100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227"/>
      <c r="BA678" s="228"/>
    </row>
    <row r="679" spans="1:53" ht="15.75" customHeight="1">
      <c r="A679" s="100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227"/>
      <c r="BA679" s="228"/>
    </row>
    <row r="680" spans="1:53" ht="15.75" customHeight="1">
      <c r="A680" s="100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227"/>
      <c r="BA680" s="228"/>
    </row>
    <row r="681" spans="1:53" ht="15.75" customHeight="1">
      <c r="A681" s="100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227"/>
      <c r="BA681" s="228"/>
    </row>
    <row r="682" spans="1:53" ht="15.75" customHeight="1">
      <c r="A682" s="100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227"/>
      <c r="BA682" s="228"/>
    </row>
    <row r="683" spans="1:53" ht="15.75" customHeight="1">
      <c r="A683" s="100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227"/>
      <c r="BA683" s="228"/>
    </row>
    <row r="684" spans="1:53" ht="15.75" customHeight="1">
      <c r="A684" s="100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227"/>
      <c r="BA684" s="228"/>
    </row>
    <row r="685" spans="1:53" ht="15.75" customHeight="1">
      <c r="A685" s="100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227"/>
      <c r="BA685" s="228"/>
    </row>
    <row r="686" spans="1:53" ht="15.75" customHeight="1">
      <c r="A686" s="100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227"/>
      <c r="BA686" s="228"/>
    </row>
    <row r="687" spans="1:53" ht="15.75" customHeight="1">
      <c r="A687" s="100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227"/>
      <c r="BA687" s="228"/>
    </row>
    <row r="688" spans="1:53" ht="15.75" customHeight="1">
      <c r="A688" s="100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227"/>
      <c r="BA688" s="228"/>
    </row>
    <row r="689" spans="1:53" ht="15.75" customHeight="1">
      <c r="A689" s="100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227"/>
      <c r="BA689" s="228"/>
    </row>
    <row r="690" spans="1:53" ht="15.75" customHeight="1">
      <c r="A690" s="100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227"/>
      <c r="BA690" s="228"/>
    </row>
    <row r="691" spans="1:53" ht="15.75" customHeight="1">
      <c r="A691" s="100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227"/>
      <c r="BA691" s="228"/>
    </row>
    <row r="692" spans="1:53" ht="15.75" customHeight="1">
      <c r="A692" s="100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227"/>
      <c r="BA692" s="228"/>
    </row>
    <row r="693" spans="1:53" ht="15.75" customHeight="1">
      <c r="A693" s="100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227"/>
      <c r="BA693" s="228"/>
    </row>
    <row r="694" spans="1:53" ht="15.75" customHeight="1">
      <c r="A694" s="100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227"/>
      <c r="BA694" s="228"/>
    </row>
    <row r="695" spans="1:53" ht="15.75" customHeight="1">
      <c r="A695" s="100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227"/>
      <c r="BA695" s="228"/>
    </row>
    <row r="696" spans="1:53" ht="15.75" customHeight="1">
      <c r="A696" s="100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227"/>
      <c r="BA696" s="228"/>
    </row>
    <row r="697" spans="1:53" ht="15.75" customHeight="1">
      <c r="A697" s="100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227"/>
      <c r="BA697" s="228"/>
    </row>
    <row r="698" spans="1:53" ht="15.75" customHeight="1">
      <c r="A698" s="100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227"/>
      <c r="BA698" s="228"/>
    </row>
    <row r="699" spans="1:53" ht="15.75" customHeight="1">
      <c r="A699" s="100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227"/>
      <c r="BA699" s="228"/>
    </row>
    <row r="700" spans="1:53" ht="15.75" customHeight="1">
      <c r="A700" s="100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227"/>
      <c r="BA700" s="228"/>
    </row>
    <row r="701" spans="1:53" ht="15.75" customHeight="1">
      <c r="A701" s="100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227"/>
      <c r="BA701" s="228"/>
    </row>
    <row r="702" spans="1:53" ht="15.75" customHeight="1">
      <c r="A702" s="100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227"/>
      <c r="BA702" s="228"/>
    </row>
    <row r="703" spans="1:53" ht="15.75" customHeight="1">
      <c r="A703" s="100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227"/>
      <c r="BA703" s="228"/>
    </row>
    <row r="704" spans="1:53" ht="15.75" customHeight="1">
      <c r="A704" s="100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227"/>
      <c r="BA704" s="228"/>
    </row>
    <row r="705" spans="1:53" ht="15.75" customHeight="1">
      <c r="A705" s="100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227"/>
      <c r="BA705" s="228"/>
    </row>
    <row r="706" spans="1:53" ht="15.75" customHeight="1">
      <c r="A706" s="100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227"/>
      <c r="BA706" s="228"/>
    </row>
    <row r="707" spans="1:53" ht="15.75" customHeight="1">
      <c r="A707" s="100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227"/>
      <c r="BA707" s="228"/>
    </row>
    <row r="708" spans="1:53" ht="15.75" customHeight="1">
      <c r="A708" s="100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227"/>
      <c r="BA708" s="228"/>
    </row>
    <row r="709" spans="1:53" ht="15.75" customHeight="1">
      <c r="A709" s="100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227"/>
      <c r="BA709" s="228"/>
    </row>
    <row r="710" spans="1:53" ht="15.75" customHeight="1">
      <c r="A710" s="100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227"/>
      <c r="BA710" s="228"/>
    </row>
    <row r="711" spans="1:53" ht="15.75" customHeight="1">
      <c r="A711" s="100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227"/>
      <c r="BA711" s="228"/>
    </row>
    <row r="712" spans="1:53" ht="15.75" customHeight="1">
      <c r="A712" s="100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227"/>
      <c r="BA712" s="228"/>
    </row>
    <row r="713" spans="1:53" ht="15.75" customHeight="1">
      <c r="A713" s="100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227"/>
      <c r="BA713" s="228"/>
    </row>
    <row r="714" spans="1:53" ht="15.75" customHeight="1">
      <c r="A714" s="100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227"/>
      <c r="BA714" s="228"/>
    </row>
    <row r="715" spans="1:53" ht="15.75" customHeight="1">
      <c r="A715" s="100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227"/>
      <c r="BA715" s="228"/>
    </row>
    <row r="716" spans="1:53" ht="15.75" customHeight="1">
      <c r="A716" s="100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227"/>
      <c r="BA716" s="228"/>
    </row>
    <row r="717" spans="1:53" ht="15.75" customHeight="1">
      <c r="A717" s="100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227"/>
      <c r="BA717" s="228"/>
    </row>
    <row r="718" spans="1:53" ht="15.75" customHeight="1">
      <c r="A718" s="100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227"/>
      <c r="BA718" s="228"/>
    </row>
    <row r="719" spans="1:53" ht="15.75" customHeight="1">
      <c r="A719" s="100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227"/>
      <c r="BA719" s="228"/>
    </row>
    <row r="720" spans="1:53" ht="15.75" customHeight="1">
      <c r="A720" s="100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227"/>
      <c r="BA720" s="228"/>
    </row>
    <row r="721" spans="1:53" ht="15.75" customHeight="1">
      <c r="A721" s="100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227"/>
      <c r="BA721" s="228"/>
    </row>
    <row r="722" spans="1:53" ht="15.75" customHeight="1">
      <c r="A722" s="100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227"/>
      <c r="BA722" s="228"/>
    </row>
    <row r="723" spans="1:53" ht="15.75" customHeight="1">
      <c r="A723" s="100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227"/>
      <c r="BA723" s="228"/>
    </row>
    <row r="724" spans="1:53" ht="15.75" customHeight="1">
      <c r="A724" s="100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227"/>
      <c r="BA724" s="228"/>
    </row>
    <row r="725" spans="1:53" ht="15.75" customHeight="1">
      <c r="A725" s="100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227"/>
      <c r="BA725" s="228"/>
    </row>
    <row r="726" spans="1:53" ht="15.75" customHeight="1">
      <c r="A726" s="100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227"/>
      <c r="BA726" s="228"/>
    </row>
    <row r="727" spans="1:53" ht="15.75" customHeight="1">
      <c r="A727" s="100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227"/>
      <c r="BA727" s="228"/>
    </row>
    <row r="728" spans="1:53" ht="15.75" customHeight="1">
      <c r="A728" s="100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227"/>
      <c r="BA728" s="228"/>
    </row>
    <row r="729" spans="1:53" ht="15.75" customHeight="1">
      <c r="A729" s="100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227"/>
      <c r="BA729" s="228"/>
    </row>
    <row r="730" spans="1:53" ht="15.75" customHeight="1">
      <c r="A730" s="100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227"/>
      <c r="BA730" s="228"/>
    </row>
    <row r="731" spans="1:53" ht="15.75" customHeight="1">
      <c r="A731" s="100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227"/>
      <c r="BA731" s="228"/>
    </row>
    <row r="732" spans="1:53" ht="15.75" customHeight="1">
      <c r="A732" s="100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227"/>
      <c r="BA732" s="228"/>
    </row>
    <row r="733" spans="1:53" ht="15.75" customHeight="1">
      <c r="A733" s="100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227"/>
      <c r="BA733" s="228"/>
    </row>
    <row r="734" spans="1:53" ht="15.75" customHeight="1">
      <c r="A734" s="100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227"/>
      <c r="BA734" s="228"/>
    </row>
    <row r="735" spans="1:53" ht="15.75" customHeight="1">
      <c r="A735" s="100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227"/>
      <c r="BA735" s="228"/>
    </row>
    <row r="736" spans="1:53" ht="15.75" customHeight="1">
      <c r="A736" s="100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227"/>
      <c r="BA736" s="228"/>
    </row>
    <row r="737" spans="1:53" ht="15.75" customHeight="1">
      <c r="A737" s="100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227"/>
      <c r="BA737" s="228"/>
    </row>
    <row r="738" spans="1:53" ht="15.75" customHeight="1">
      <c r="A738" s="100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227"/>
      <c r="BA738" s="228"/>
    </row>
    <row r="739" spans="1:53" ht="15.75" customHeight="1">
      <c r="A739" s="100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227"/>
      <c r="BA739" s="228"/>
    </row>
    <row r="740" spans="1:53" ht="15.75" customHeight="1">
      <c r="A740" s="100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227"/>
      <c r="BA740" s="228"/>
    </row>
    <row r="741" spans="1:53" ht="15.75" customHeight="1">
      <c r="A741" s="100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227"/>
      <c r="BA741" s="228"/>
    </row>
    <row r="742" spans="1:53" ht="15.75" customHeight="1">
      <c r="A742" s="100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227"/>
      <c r="BA742" s="228"/>
    </row>
    <row r="743" spans="1:53" ht="15.75" customHeight="1">
      <c r="A743" s="100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227"/>
      <c r="BA743" s="228"/>
    </row>
    <row r="744" spans="1:53" ht="15.75" customHeight="1">
      <c r="A744" s="100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227"/>
      <c r="BA744" s="228"/>
    </row>
    <row r="745" spans="1:53" ht="15.75" customHeight="1">
      <c r="A745" s="100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227"/>
      <c r="BA745" s="228"/>
    </row>
    <row r="746" spans="1:53" ht="15.75" customHeight="1">
      <c r="A746" s="100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227"/>
      <c r="BA746" s="228"/>
    </row>
    <row r="747" spans="1:53" ht="15.75" customHeight="1">
      <c r="A747" s="100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227"/>
      <c r="BA747" s="228"/>
    </row>
    <row r="748" spans="1:53" ht="15.75" customHeight="1">
      <c r="A748" s="100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85"/>
      <c r="AX748" s="85"/>
      <c r="AY748" s="85"/>
      <c r="AZ748" s="227"/>
      <c r="BA748" s="228"/>
    </row>
    <row r="749" spans="1:53" ht="15.75" customHeight="1">
      <c r="A749" s="100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227"/>
      <c r="BA749" s="228"/>
    </row>
    <row r="750" spans="1:53" ht="15.75" customHeight="1">
      <c r="A750" s="100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227"/>
      <c r="BA750" s="228"/>
    </row>
    <row r="751" spans="1:53" ht="15.75" customHeight="1">
      <c r="A751" s="100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227"/>
      <c r="BA751" s="228"/>
    </row>
    <row r="752" spans="1:53" ht="15.75" customHeight="1">
      <c r="A752" s="100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227"/>
      <c r="BA752" s="228"/>
    </row>
    <row r="753" spans="1:53" ht="15.75" customHeight="1">
      <c r="A753" s="100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227"/>
      <c r="BA753" s="228"/>
    </row>
    <row r="754" spans="1:53" ht="15.75" customHeight="1">
      <c r="A754" s="100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227"/>
      <c r="BA754" s="228"/>
    </row>
    <row r="755" spans="1:53" ht="15.75" customHeight="1">
      <c r="A755" s="100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227"/>
      <c r="BA755" s="228"/>
    </row>
    <row r="756" spans="1:53" ht="15.75" customHeight="1">
      <c r="A756" s="100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227"/>
      <c r="BA756" s="228"/>
    </row>
    <row r="757" spans="1:53" ht="15.75" customHeight="1">
      <c r="A757" s="100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227"/>
      <c r="BA757" s="228"/>
    </row>
    <row r="758" spans="1:53" ht="15.75" customHeight="1">
      <c r="A758" s="100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227"/>
      <c r="BA758" s="228"/>
    </row>
    <row r="759" spans="1:53" ht="15.75" customHeight="1">
      <c r="A759" s="100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227"/>
      <c r="BA759" s="228"/>
    </row>
    <row r="760" spans="1:53" ht="15.75" customHeight="1">
      <c r="A760" s="100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227"/>
      <c r="BA760" s="228"/>
    </row>
    <row r="761" spans="1:53" ht="15.75" customHeight="1">
      <c r="A761" s="100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227"/>
      <c r="BA761" s="228"/>
    </row>
    <row r="762" spans="1:53" ht="15.75" customHeight="1">
      <c r="A762" s="100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227"/>
      <c r="BA762" s="228"/>
    </row>
    <row r="763" spans="1:53" ht="15.75" customHeight="1">
      <c r="A763" s="100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227"/>
      <c r="BA763" s="228"/>
    </row>
    <row r="764" spans="1:53" ht="15.75" customHeight="1">
      <c r="A764" s="100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5"/>
      <c r="AL764" s="85"/>
      <c r="AM764" s="85"/>
      <c r="AN764" s="85"/>
      <c r="AO764" s="85"/>
      <c r="AP764" s="85"/>
      <c r="AQ764" s="85"/>
      <c r="AR764" s="85"/>
      <c r="AS764" s="85"/>
      <c r="AT764" s="85"/>
      <c r="AU764" s="85"/>
      <c r="AV764" s="85"/>
      <c r="AW764" s="85"/>
      <c r="AX764" s="85"/>
      <c r="AY764" s="85"/>
      <c r="AZ764" s="227"/>
      <c r="BA764" s="228"/>
    </row>
    <row r="765" spans="1:53" ht="15.75" customHeight="1">
      <c r="A765" s="100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85"/>
      <c r="AX765" s="85"/>
      <c r="AY765" s="85"/>
      <c r="AZ765" s="227"/>
      <c r="BA765" s="228"/>
    </row>
    <row r="766" spans="1:53" ht="15.75" customHeight="1">
      <c r="A766" s="100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85"/>
      <c r="AX766" s="85"/>
      <c r="AY766" s="85"/>
      <c r="AZ766" s="227"/>
      <c r="BA766" s="228"/>
    </row>
    <row r="767" spans="1:53" ht="15.75" customHeight="1">
      <c r="A767" s="100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227"/>
      <c r="BA767" s="228"/>
    </row>
    <row r="768" spans="1:53" ht="15.75" customHeight="1">
      <c r="A768" s="100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85"/>
      <c r="AX768" s="85"/>
      <c r="AY768" s="85"/>
      <c r="AZ768" s="227"/>
      <c r="BA768" s="228"/>
    </row>
    <row r="769" spans="1:53" ht="15.75" customHeight="1">
      <c r="A769" s="100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85"/>
      <c r="AX769" s="85"/>
      <c r="AY769" s="85"/>
      <c r="AZ769" s="227"/>
      <c r="BA769" s="228"/>
    </row>
    <row r="770" spans="1:53" ht="15.75" customHeight="1">
      <c r="A770" s="100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227"/>
      <c r="BA770" s="228"/>
    </row>
    <row r="771" spans="1:53" ht="15.75" customHeight="1">
      <c r="A771" s="100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227"/>
      <c r="BA771" s="228"/>
    </row>
    <row r="772" spans="1:53" ht="15.75" customHeight="1">
      <c r="A772" s="100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227"/>
      <c r="BA772" s="228"/>
    </row>
    <row r="773" spans="1:53" ht="15.75" customHeight="1">
      <c r="A773" s="100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227"/>
      <c r="BA773" s="228"/>
    </row>
    <row r="774" spans="1:53" ht="15.75" customHeight="1">
      <c r="A774" s="100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227"/>
      <c r="BA774" s="228"/>
    </row>
    <row r="775" spans="1:53" ht="15.75" customHeight="1">
      <c r="A775" s="100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227"/>
      <c r="BA775" s="228"/>
    </row>
    <row r="776" spans="1:53" ht="15.75" customHeight="1">
      <c r="A776" s="100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227"/>
      <c r="BA776" s="228"/>
    </row>
    <row r="777" spans="1:53" ht="15.75" customHeight="1">
      <c r="A777" s="100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227"/>
      <c r="BA777" s="228"/>
    </row>
    <row r="778" spans="1:53" ht="15.75" customHeight="1">
      <c r="A778" s="100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227"/>
      <c r="BA778" s="228"/>
    </row>
    <row r="779" spans="1:53" ht="15.75" customHeight="1">
      <c r="A779" s="100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227"/>
      <c r="BA779" s="228"/>
    </row>
    <row r="780" spans="1:53" ht="15.75" customHeight="1">
      <c r="A780" s="100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227"/>
      <c r="BA780" s="228"/>
    </row>
    <row r="781" spans="1:53" ht="15.75" customHeight="1">
      <c r="A781" s="100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85"/>
      <c r="AY781" s="85"/>
      <c r="AZ781" s="227"/>
      <c r="BA781" s="228"/>
    </row>
    <row r="782" spans="1:53" ht="15.75" customHeight="1">
      <c r="A782" s="100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227"/>
      <c r="BA782" s="228"/>
    </row>
    <row r="783" spans="1:53" ht="15.75" customHeight="1">
      <c r="A783" s="100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227"/>
      <c r="BA783" s="228"/>
    </row>
    <row r="784" spans="1:53" ht="15.75" customHeight="1">
      <c r="A784" s="100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227"/>
      <c r="BA784" s="228"/>
    </row>
    <row r="785" spans="1:53" ht="15.75" customHeight="1">
      <c r="A785" s="100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227"/>
      <c r="BA785" s="228"/>
    </row>
    <row r="786" spans="1:53" ht="15.75" customHeight="1">
      <c r="A786" s="100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227"/>
      <c r="BA786" s="228"/>
    </row>
    <row r="787" spans="1:53" ht="15.75" customHeight="1">
      <c r="A787" s="100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85"/>
      <c r="AX787" s="85"/>
      <c r="AY787" s="85"/>
      <c r="AZ787" s="227"/>
      <c r="BA787" s="228"/>
    </row>
    <row r="788" spans="1:53" ht="15.75" customHeight="1">
      <c r="A788" s="100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85"/>
      <c r="AX788" s="85"/>
      <c r="AY788" s="85"/>
      <c r="AZ788" s="227"/>
      <c r="BA788" s="228"/>
    </row>
    <row r="789" spans="1:53" ht="15.75" customHeight="1">
      <c r="A789" s="100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85"/>
      <c r="AX789" s="85"/>
      <c r="AY789" s="85"/>
      <c r="AZ789" s="227"/>
      <c r="BA789" s="228"/>
    </row>
    <row r="790" spans="1:53" ht="15.75" customHeight="1">
      <c r="A790" s="100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85"/>
      <c r="AX790" s="85"/>
      <c r="AY790" s="85"/>
      <c r="AZ790" s="227"/>
      <c r="BA790" s="228"/>
    </row>
    <row r="791" spans="1:53" ht="15.75" customHeight="1">
      <c r="A791" s="100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85"/>
      <c r="AX791" s="85"/>
      <c r="AY791" s="85"/>
      <c r="AZ791" s="227"/>
      <c r="BA791" s="228"/>
    </row>
    <row r="792" spans="1:53" ht="15.75" customHeight="1">
      <c r="A792" s="100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  <c r="AK792" s="85"/>
      <c r="AL792" s="85"/>
      <c r="AM792" s="85"/>
      <c r="AN792" s="85"/>
      <c r="AO792" s="85"/>
      <c r="AP792" s="85"/>
      <c r="AQ792" s="85"/>
      <c r="AR792" s="85"/>
      <c r="AS792" s="85"/>
      <c r="AT792" s="85"/>
      <c r="AU792" s="85"/>
      <c r="AV792" s="85"/>
      <c r="AW792" s="85"/>
      <c r="AX792" s="85"/>
      <c r="AY792" s="85"/>
      <c r="AZ792" s="227"/>
      <c r="BA792" s="228"/>
    </row>
    <row r="793" spans="1:53" ht="15.75" customHeight="1">
      <c r="A793" s="100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85"/>
      <c r="AX793" s="85"/>
      <c r="AY793" s="85"/>
      <c r="AZ793" s="227"/>
      <c r="BA793" s="228"/>
    </row>
    <row r="794" spans="1:53" ht="15.75" customHeight="1">
      <c r="A794" s="100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85"/>
      <c r="AX794" s="85"/>
      <c r="AY794" s="85"/>
      <c r="AZ794" s="227"/>
      <c r="BA794" s="228"/>
    </row>
    <row r="795" spans="1:53" ht="15.75" customHeight="1">
      <c r="A795" s="100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227"/>
      <c r="BA795" s="228"/>
    </row>
    <row r="796" spans="1:53" ht="15.75" customHeight="1">
      <c r="A796" s="100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227"/>
      <c r="BA796" s="228"/>
    </row>
    <row r="797" spans="1:53" ht="15.75" customHeight="1">
      <c r="A797" s="100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227"/>
      <c r="BA797" s="228"/>
    </row>
    <row r="798" spans="1:53" ht="15.75" customHeight="1">
      <c r="A798" s="100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227"/>
      <c r="BA798" s="228"/>
    </row>
    <row r="799" spans="1:53" ht="15.75" customHeight="1">
      <c r="A799" s="100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227"/>
      <c r="BA799" s="228"/>
    </row>
    <row r="800" spans="1:53" ht="15.75" customHeight="1">
      <c r="A800" s="100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227"/>
      <c r="BA800" s="228"/>
    </row>
    <row r="801" spans="1:53" ht="15.75" customHeight="1">
      <c r="A801" s="100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227"/>
      <c r="BA801" s="228"/>
    </row>
    <row r="802" spans="1:53" ht="15.75" customHeight="1">
      <c r="A802" s="100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227"/>
      <c r="BA802" s="228"/>
    </row>
    <row r="803" spans="1:53" ht="15.75" customHeight="1">
      <c r="A803" s="100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227"/>
      <c r="BA803" s="228"/>
    </row>
    <row r="804" spans="1:53" ht="15.75" customHeight="1">
      <c r="A804" s="100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227"/>
      <c r="BA804" s="228"/>
    </row>
    <row r="805" spans="1:53" ht="15.75" customHeight="1">
      <c r="A805" s="100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227"/>
      <c r="BA805" s="228"/>
    </row>
    <row r="806" spans="1:53" ht="15.75" customHeight="1">
      <c r="A806" s="100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227"/>
      <c r="BA806" s="228"/>
    </row>
    <row r="807" spans="1:53" ht="15.75" customHeight="1">
      <c r="A807" s="100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227"/>
      <c r="BA807" s="228"/>
    </row>
    <row r="808" spans="1:53" ht="15.75" customHeight="1">
      <c r="A808" s="100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85"/>
      <c r="AX808" s="85"/>
      <c r="AY808" s="85"/>
      <c r="AZ808" s="227"/>
      <c r="BA808" s="228"/>
    </row>
    <row r="809" spans="1:53" ht="15.75" customHeight="1">
      <c r="A809" s="100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85"/>
      <c r="AX809" s="85"/>
      <c r="AY809" s="85"/>
      <c r="AZ809" s="227"/>
      <c r="BA809" s="228"/>
    </row>
    <row r="810" spans="1:53" ht="15.75" customHeight="1">
      <c r="A810" s="100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85"/>
      <c r="AX810" s="85"/>
      <c r="AY810" s="85"/>
      <c r="AZ810" s="227"/>
      <c r="BA810" s="228"/>
    </row>
    <row r="811" spans="1:53" ht="15.75" customHeight="1">
      <c r="A811" s="100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85"/>
      <c r="AX811" s="85"/>
      <c r="AY811" s="85"/>
      <c r="AZ811" s="227"/>
      <c r="BA811" s="228"/>
    </row>
    <row r="812" spans="1:53" ht="15.75" customHeight="1">
      <c r="A812" s="100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85"/>
      <c r="AX812" s="85"/>
      <c r="AY812" s="85"/>
      <c r="AZ812" s="227"/>
      <c r="BA812" s="228"/>
    </row>
    <row r="813" spans="1:53" ht="15.75" customHeight="1">
      <c r="A813" s="100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85"/>
      <c r="AX813" s="85"/>
      <c r="AY813" s="85"/>
      <c r="AZ813" s="227"/>
      <c r="BA813" s="228"/>
    </row>
    <row r="814" spans="1:53" ht="15.75" customHeight="1">
      <c r="A814" s="100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85"/>
      <c r="AX814" s="85"/>
      <c r="AY814" s="85"/>
      <c r="AZ814" s="227"/>
      <c r="BA814" s="228"/>
    </row>
    <row r="815" spans="1:53" ht="15.75" customHeight="1">
      <c r="A815" s="100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85"/>
      <c r="AX815" s="85"/>
      <c r="AY815" s="85"/>
      <c r="AZ815" s="227"/>
      <c r="BA815" s="228"/>
    </row>
    <row r="816" spans="1:53" ht="15.75" customHeight="1">
      <c r="A816" s="100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85"/>
      <c r="AX816" s="85"/>
      <c r="AY816" s="85"/>
      <c r="AZ816" s="227"/>
      <c r="BA816" s="228"/>
    </row>
    <row r="817" spans="1:53" ht="15.75" customHeight="1">
      <c r="A817" s="100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85"/>
      <c r="AX817" s="85"/>
      <c r="AY817" s="85"/>
      <c r="AZ817" s="227"/>
      <c r="BA817" s="228"/>
    </row>
    <row r="818" spans="1:53" ht="15.75" customHeight="1">
      <c r="A818" s="100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227"/>
      <c r="BA818" s="228"/>
    </row>
    <row r="819" spans="1:53" ht="15.75" customHeight="1">
      <c r="A819" s="100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85"/>
      <c r="AX819" s="85"/>
      <c r="AY819" s="85"/>
      <c r="AZ819" s="227"/>
      <c r="BA819" s="228"/>
    </row>
    <row r="820" spans="1:53" ht="15.75" customHeight="1">
      <c r="A820" s="100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227"/>
      <c r="BA820" s="228"/>
    </row>
    <row r="821" spans="1:53" ht="15.75" customHeight="1">
      <c r="A821" s="100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227"/>
      <c r="BA821" s="228"/>
    </row>
    <row r="822" spans="1:53" ht="15.75" customHeight="1">
      <c r="A822" s="100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227"/>
      <c r="BA822" s="228"/>
    </row>
    <row r="823" spans="1:53" ht="15.75" customHeight="1">
      <c r="A823" s="100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227"/>
      <c r="BA823" s="228"/>
    </row>
    <row r="824" spans="1:53" ht="15.75" customHeight="1">
      <c r="A824" s="100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227"/>
      <c r="BA824" s="228"/>
    </row>
    <row r="825" spans="1:53" ht="15.75" customHeight="1">
      <c r="A825" s="100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227"/>
      <c r="BA825" s="228"/>
    </row>
    <row r="826" spans="1:53" ht="15.75" customHeight="1">
      <c r="A826" s="100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227"/>
      <c r="BA826" s="228"/>
    </row>
    <row r="827" spans="1:53" ht="15.75" customHeight="1">
      <c r="A827" s="100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227"/>
      <c r="BA827" s="228"/>
    </row>
    <row r="828" spans="1:53" ht="15.75" customHeight="1">
      <c r="A828" s="100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227"/>
      <c r="BA828" s="228"/>
    </row>
    <row r="829" spans="1:53" ht="15.75" customHeight="1">
      <c r="A829" s="100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85"/>
      <c r="AX829" s="85"/>
      <c r="AY829" s="85"/>
      <c r="AZ829" s="227"/>
      <c r="BA829" s="228"/>
    </row>
    <row r="830" spans="1:53" ht="15.75" customHeight="1">
      <c r="A830" s="100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227"/>
      <c r="BA830" s="228"/>
    </row>
    <row r="831" spans="1:53" ht="15.75" customHeight="1">
      <c r="A831" s="100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227"/>
      <c r="BA831" s="228"/>
    </row>
    <row r="832" spans="1:53" ht="15.75" customHeight="1">
      <c r="A832" s="100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227"/>
      <c r="BA832" s="228"/>
    </row>
    <row r="833" spans="1:53" ht="15.75" customHeight="1">
      <c r="A833" s="100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227"/>
      <c r="BA833" s="228"/>
    </row>
    <row r="834" spans="1:53" ht="15.75" customHeight="1">
      <c r="A834" s="100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227"/>
      <c r="BA834" s="228"/>
    </row>
    <row r="835" spans="1:53" ht="15.75" customHeight="1">
      <c r="A835" s="100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85"/>
      <c r="AX835" s="85"/>
      <c r="AY835" s="85"/>
      <c r="AZ835" s="227"/>
      <c r="BA835" s="228"/>
    </row>
    <row r="836" spans="1:53" ht="15.75" customHeight="1">
      <c r="A836" s="100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227"/>
      <c r="BA836" s="228"/>
    </row>
    <row r="837" spans="1:53" ht="15.75" customHeight="1">
      <c r="A837" s="100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85"/>
      <c r="AX837" s="85"/>
      <c r="AY837" s="85"/>
      <c r="AZ837" s="227"/>
      <c r="BA837" s="228"/>
    </row>
    <row r="838" spans="1:53" ht="15.75" customHeight="1">
      <c r="A838" s="100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227"/>
      <c r="BA838" s="228"/>
    </row>
    <row r="839" spans="1:53" ht="15.75" customHeight="1">
      <c r="A839" s="100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85"/>
      <c r="AX839" s="85"/>
      <c r="AY839" s="85"/>
      <c r="AZ839" s="227"/>
      <c r="BA839" s="228"/>
    </row>
    <row r="840" spans="1:53" ht="15.75" customHeight="1">
      <c r="A840" s="100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227"/>
      <c r="BA840" s="228"/>
    </row>
    <row r="841" spans="1:53" ht="15.75" customHeight="1">
      <c r="A841" s="100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227"/>
      <c r="BA841" s="228"/>
    </row>
    <row r="842" spans="1:53" ht="15.75" customHeight="1">
      <c r="A842" s="100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227"/>
      <c r="BA842" s="228"/>
    </row>
    <row r="843" spans="1:53" ht="15.75" customHeight="1">
      <c r="A843" s="100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227"/>
      <c r="BA843" s="228"/>
    </row>
    <row r="844" spans="1:53" ht="15.75" customHeight="1">
      <c r="A844" s="100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227"/>
      <c r="BA844" s="228"/>
    </row>
    <row r="845" spans="1:53" ht="15.75" customHeight="1">
      <c r="A845" s="100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85"/>
      <c r="AX845" s="85"/>
      <c r="AY845" s="85"/>
      <c r="AZ845" s="227"/>
      <c r="BA845" s="228"/>
    </row>
    <row r="846" spans="1:53" ht="15.75" customHeight="1">
      <c r="A846" s="100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85"/>
      <c r="AX846" s="85"/>
      <c r="AY846" s="85"/>
      <c r="AZ846" s="227"/>
      <c r="BA846" s="228"/>
    </row>
    <row r="847" spans="1:53" ht="15.75" customHeight="1">
      <c r="A847" s="100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85"/>
      <c r="AX847" s="85"/>
      <c r="AY847" s="85"/>
      <c r="AZ847" s="227"/>
      <c r="BA847" s="228"/>
    </row>
    <row r="848" spans="1:53" ht="15.75" customHeight="1">
      <c r="A848" s="100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85"/>
      <c r="AX848" s="85"/>
      <c r="AY848" s="85"/>
      <c r="AZ848" s="227"/>
      <c r="BA848" s="228"/>
    </row>
    <row r="849" spans="1:53" ht="15.75" customHeight="1">
      <c r="A849" s="100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227"/>
      <c r="BA849" s="228"/>
    </row>
    <row r="850" spans="1:53" ht="15.75" customHeight="1">
      <c r="A850" s="100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85"/>
      <c r="AX850" s="85"/>
      <c r="AY850" s="85"/>
      <c r="AZ850" s="227"/>
      <c r="BA850" s="228"/>
    </row>
    <row r="851" spans="1:53" ht="15.75" customHeight="1">
      <c r="A851" s="100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85"/>
      <c r="AX851" s="85"/>
      <c r="AY851" s="85"/>
      <c r="AZ851" s="227"/>
      <c r="BA851" s="228"/>
    </row>
    <row r="852" spans="1:53" ht="15.75" customHeight="1">
      <c r="A852" s="100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227"/>
      <c r="BA852" s="228"/>
    </row>
    <row r="853" spans="1:53" ht="15.75" customHeight="1">
      <c r="A853" s="100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227"/>
      <c r="BA853" s="228"/>
    </row>
    <row r="854" spans="1:53" ht="15.75" customHeight="1">
      <c r="A854" s="100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227"/>
      <c r="BA854" s="228"/>
    </row>
    <row r="855" spans="1:53" ht="15.75" customHeight="1">
      <c r="A855" s="100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85"/>
      <c r="AX855" s="85"/>
      <c r="AY855" s="85"/>
      <c r="AZ855" s="227"/>
      <c r="BA855" s="228"/>
    </row>
    <row r="856" spans="1:53" ht="15.75" customHeight="1">
      <c r="A856" s="100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227"/>
      <c r="BA856" s="228"/>
    </row>
    <row r="857" spans="1:53" ht="15.75" customHeight="1">
      <c r="A857" s="100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227"/>
      <c r="BA857" s="228"/>
    </row>
    <row r="858" spans="1:53" ht="15.75" customHeight="1">
      <c r="A858" s="100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227"/>
      <c r="BA858" s="228"/>
    </row>
    <row r="859" spans="1:53" ht="15.75" customHeight="1">
      <c r="A859" s="100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227"/>
      <c r="BA859" s="228"/>
    </row>
    <row r="860" spans="1:53" ht="15.75" customHeight="1">
      <c r="A860" s="100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85"/>
      <c r="AX860" s="85"/>
      <c r="AY860" s="85"/>
      <c r="AZ860" s="227"/>
      <c r="BA860" s="228"/>
    </row>
    <row r="861" spans="1:53" ht="15.75" customHeight="1">
      <c r="A861" s="100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227"/>
      <c r="BA861" s="228"/>
    </row>
    <row r="862" spans="1:53" ht="15.75" customHeight="1">
      <c r="A862" s="100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85"/>
      <c r="AX862" s="85"/>
      <c r="AY862" s="85"/>
      <c r="AZ862" s="227"/>
      <c r="BA862" s="228"/>
    </row>
    <row r="863" spans="1:53" ht="15.75" customHeight="1">
      <c r="A863" s="100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227"/>
      <c r="BA863" s="228"/>
    </row>
    <row r="864" spans="1:53" ht="15.75" customHeight="1">
      <c r="A864" s="100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227"/>
      <c r="BA864" s="228"/>
    </row>
    <row r="865" spans="1:53" ht="15.75" customHeight="1">
      <c r="A865" s="100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227"/>
      <c r="BA865" s="228"/>
    </row>
    <row r="866" spans="1:53" ht="15.75" customHeight="1">
      <c r="A866" s="100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85"/>
      <c r="AX866" s="85"/>
      <c r="AY866" s="85"/>
      <c r="AZ866" s="227"/>
      <c r="BA866" s="228"/>
    </row>
    <row r="867" spans="1:53" ht="15.75" customHeight="1">
      <c r="A867" s="100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227"/>
      <c r="BA867" s="228"/>
    </row>
    <row r="868" spans="1:53" ht="15.75" customHeight="1">
      <c r="A868" s="100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227"/>
      <c r="BA868" s="228"/>
    </row>
    <row r="869" spans="1:53" ht="15.75" customHeight="1">
      <c r="A869" s="100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227"/>
      <c r="BA869" s="228"/>
    </row>
    <row r="870" spans="1:53" ht="15.75" customHeight="1">
      <c r="A870" s="100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85"/>
      <c r="AX870" s="85"/>
      <c r="AY870" s="85"/>
      <c r="AZ870" s="227"/>
      <c r="BA870" s="228"/>
    </row>
    <row r="871" spans="1:53" ht="15.75" customHeight="1">
      <c r="A871" s="100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227"/>
      <c r="BA871" s="228"/>
    </row>
    <row r="872" spans="1:53" ht="15.75" customHeight="1">
      <c r="A872" s="100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85"/>
      <c r="AX872" s="85"/>
      <c r="AY872" s="85"/>
      <c r="AZ872" s="227"/>
      <c r="BA872" s="228"/>
    </row>
    <row r="873" spans="1:53" ht="15.75" customHeight="1">
      <c r="A873" s="100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227"/>
      <c r="BA873" s="228"/>
    </row>
    <row r="874" spans="1:53" ht="15.75" customHeight="1">
      <c r="A874" s="100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85"/>
      <c r="AX874" s="85"/>
      <c r="AY874" s="85"/>
      <c r="AZ874" s="227"/>
      <c r="BA874" s="228"/>
    </row>
    <row r="875" spans="1:53" ht="15.75" customHeight="1">
      <c r="A875" s="100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227"/>
      <c r="BA875" s="228"/>
    </row>
    <row r="876" spans="1:53" ht="15.75" customHeight="1">
      <c r="A876" s="100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85"/>
      <c r="AX876" s="85"/>
      <c r="AY876" s="85"/>
      <c r="AZ876" s="227"/>
      <c r="BA876" s="228"/>
    </row>
    <row r="877" spans="1:53" ht="15.75" customHeight="1">
      <c r="A877" s="100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227"/>
      <c r="BA877" s="228"/>
    </row>
    <row r="878" spans="1:53" ht="15.75" customHeight="1">
      <c r="A878" s="100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227"/>
      <c r="BA878" s="228"/>
    </row>
    <row r="879" spans="1:53" ht="15.75" customHeight="1">
      <c r="A879" s="100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227"/>
      <c r="BA879" s="228"/>
    </row>
    <row r="880" spans="1:53" ht="15.75" customHeight="1">
      <c r="A880" s="100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85"/>
      <c r="AX880" s="85"/>
      <c r="AY880" s="85"/>
      <c r="AZ880" s="227"/>
      <c r="BA880" s="228"/>
    </row>
    <row r="881" spans="1:53" ht="15.75" customHeight="1">
      <c r="A881" s="100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227"/>
      <c r="BA881" s="228"/>
    </row>
    <row r="882" spans="1:53" ht="15.75" customHeight="1">
      <c r="A882" s="100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227"/>
      <c r="BA882" s="228"/>
    </row>
    <row r="883" spans="1:53" ht="15.75" customHeight="1">
      <c r="A883" s="100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85"/>
      <c r="AX883" s="85"/>
      <c r="AY883" s="85"/>
      <c r="AZ883" s="227"/>
      <c r="BA883" s="228"/>
    </row>
    <row r="884" spans="1:53" ht="15.75" customHeight="1">
      <c r="A884" s="100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227"/>
      <c r="BA884" s="228"/>
    </row>
    <row r="885" spans="1:53" ht="15.75" customHeight="1">
      <c r="A885" s="100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227"/>
      <c r="BA885" s="228"/>
    </row>
    <row r="886" spans="1:53" ht="15.75" customHeight="1">
      <c r="A886" s="100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227"/>
      <c r="BA886" s="228"/>
    </row>
    <row r="887" spans="1:53" ht="15.75" customHeight="1">
      <c r="A887" s="100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227"/>
      <c r="BA887" s="228"/>
    </row>
    <row r="888" spans="1:53" ht="15.75" customHeight="1">
      <c r="A888" s="100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227"/>
      <c r="BA888" s="228"/>
    </row>
    <row r="889" spans="1:53" ht="15.75" customHeight="1">
      <c r="A889" s="100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227"/>
      <c r="BA889" s="228"/>
    </row>
    <row r="890" spans="1:53" ht="15.75" customHeight="1">
      <c r="A890" s="100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227"/>
      <c r="BA890" s="228"/>
    </row>
    <row r="891" spans="1:53" ht="15.75" customHeight="1">
      <c r="A891" s="100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227"/>
      <c r="BA891" s="228"/>
    </row>
    <row r="892" spans="1:53" ht="15.75" customHeight="1">
      <c r="A892" s="100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227"/>
      <c r="BA892" s="228"/>
    </row>
    <row r="893" spans="1:53" ht="15.75" customHeight="1">
      <c r="A893" s="100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227"/>
      <c r="BA893" s="228"/>
    </row>
    <row r="894" spans="1:53" ht="15.75" customHeight="1">
      <c r="A894" s="100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227"/>
      <c r="BA894" s="228"/>
    </row>
    <row r="895" spans="1:53" ht="15.75" customHeight="1">
      <c r="A895" s="100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227"/>
      <c r="BA895" s="228"/>
    </row>
    <row r="896" spans="1:53" ht="15.75" customHeight="1">
      <c r="A896" s="100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227"/>
      <c r="BA896" s="228"/>
    </row>
    <row r="897" spans="1:53" ht="15.75" customHeight="1">
      <c r="A897" s="100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227"/>
      <c r="BA897" s="228"/>
    </row>
    <row r="898" spans="1:53" ht="15.75" customHeight="1">
      <c r="A898" s="100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227"/>
      <c r="BA898" s="228"/>
    </row>
    <row r="899" spans="1:53" ht="15.75" customHeight="1">
      <c r="A899" s="100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227"/>
      <c r="BA899" s="228"/>
    </row>
    <row r="900" spans="1:53" ht="15.75" customHeight="1">
      <c r="A900" s="100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227"/>
      <c r="BA900" s="228"/>
    </row>
    <row r="901" spans="1:53" ht="15.75" customHeight="1">
      <c r="A901" s="100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227"/>
      <c r="BA901" s="228"/>
    </row>
    <row r="902" spans="1:53" ht="15.75" customHeight="1">
      <c r="A902" s="100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227"/>
      <c r="BA902" s="228"/>
    </row>
    <row r="903" spans="1:53" ht="15.75" customHeight="1">
      <c r="A903" s="100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227"/>
      <c r="BA903" s="228"/>
    </row>
    <row r="904" spans="1:53" ht="15.75" customHeight="1">
      <c r="A904" s="100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227"/>
      <c r="BA904" s="228"/>
    </row>
    <row r="905" spans="1:53" ht="15.75" customHeight="1">
      <c r="A905" s="100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227"/>
      <c r="BA905" s="228"/>
    </row>
    <row r="906" spans="1:53" ht="15.75" customHeight="1">
      <c r="A906" s="100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227"/>
      <c r="BA906" s="228"/>
    </row>
    <row r="907" spans="1:53" ht="15.75" customHeight="1">
      <c r="A907" s="100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227"/>
      <c r="BA907" s="228"/>
    </row>
    <row r="908" spans="1:53" ht="15.75" customHeight="1">
      <c r="A908" s="100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227"/>
      <c r="BA908" s="228"/>
    </row>
    <row r="909" spans="1:53" ht="15.75" customHeight="1">
      <c r="A909" s="100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227"/>
      <c r="BA909" s="228"/>
    </row>
    <row r="910" spans="1:53" ht="15.75" customHeight="1">
      <c r="A910" s="100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227"/>
      <c r="BA910" s="228"/>
    </row>
    <row r="911" spans="1:53" ht="15.75" customHeight="1">
      <c r="A911" s="100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227"/>
      <c r="BA911" s="228"/>
    </row>
    <row r="912" spans="1:53" ht="15.75" customHeight="1">
      <c r="A912" s="100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227"/>
      <c r="BA912" s="228"/>
    </row>
    <row r="913" spans="1:53" ht="15.75" customHeight="1">
      <c r="A913" s="100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227"/>
      <c r="BA913" s="228"/>
    </row>
    <row r="914" spans="1:53" ht="15.75" customHeight="1">
      <c r="A914" s="100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227"/>
      <c r="BA914" s="228"/>
    </row>
    <row r="915" spans="1:53" ht="15.75" customHeight="1">
      <c r="A915" s="100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227"/>
      <c r="BA915" s="228"/>
    </row>
    <row r="916" spans="1:53" ht="15.75" customHeight="1">
      <c r="A916" s="100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227"/>
      <c r="BA916" s="228"/>
    </row>
    <row r="917" spans="1:53" ht="15.75" customHeight="1">
      <c r="A917" s="100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227"/>
      <c r="BA917" s="228"/>
    </row>
    <row r="918" spans="1:53" ht="15.75" customHeight="1">
      <c r="A918" s="100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227"/>
      <c r="BA918" s="228"/>
    </row>
    <row r="919" spans="1:53" ht="15.75" customHeight="1">
      <c r="A919" s="100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227"/>
      <c r="BA919" s="228"/>
    </row>
    <row r="920" spans="1:53" ht="15.75" customHeight="1">
      <c r="A920" s="100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227"/>
      <c r="BA920" s="228"/>
    </row>
    <row r="921" spans="1:53" ht="15.75" customHeight="1">
      <c r="A921" s="100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227"/>
      <c r="BA921" s="228"/>
    </row>
    <row r="922" spans="1:53" ht="15.75" customHeight="1">
      <c r="A922" s="100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227"/>
      <c r="BA922" s="228"/>
    </row>
    <row r="923" spans="1:53" ht="15.75" customHeight="1">
      <c r="A923" s="100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227"/>
      <c r="BA923" s="228"/>
    </row>
    <row r="924" spans="1:53" ht="15.75" customHeight="1">
      <c r="A924" s="100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227"/>
      <c r="BA924" s="228"/>
    </row>
    <row r="925" spans="1:53" ht="15.75" customHeight="1">
      <c r="A925" s="100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227"/>
      <c r="BA925" s="228"/>
    </row>
    <row r="926" spans="1:53" ht="15.75" customHeight="1">
      <c r="A926" s="100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227"/>
      <c r="BA926" s="228"/>
    </row>
    <row r="927" spans="1:53" ht="15.75" customHeight="1">
      <c r="A927" s="100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227"/>
      <c r="BA927" s="228"/>
    </row>
    <row r="928" spans="1:53" ht="15.75" customHeight="1">
      <c r="A928" s="100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227"/>
      <c r="BA928" s="228"/>
    </row>
    <row r="929" spans="1:53" ht="15.75" customHeight="1">
      <c r="A929" s="100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227"/>
      <c r="BA929" s="228"/>
    </row>
    <row r="930" spans="1:53" ht="15.75" customHeight="1">
      <c r="A930" s="100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227"/>
      <c r="BA930" s="228"/>
    </row>
    <row r="931" spans="1:53" ht="15.75" customHeight="1">
      <c r="A931" s="100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227"/>
      <c r="BA931" s="228"/>
    </row>
    <row r="932" spans="1:53" ht="15.75" customHeight="1">
      <c r="A932" s="100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227"/>
      <c r="BA932" s="228"/>
    </row>
    <row r="933" spans="1:53" ht="15.75" customHeight="1">
      <c r="A933" s="100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227"/>
      <c r="BA933" s="228"/>
    </row>
    <row r="934" spans="1:53" ht="15.75" customHeight="1">
      <c r="A934" s="100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227"/>
      <c r="BA934" s="228"/>
    </row>
    <row r="935" spans="1:53" ht="15.75" customHeight="1">
      <c r="A935" s="100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227"/>
      <c r="BA935" s="228"/>
    </row>
    <row r="936" spans="1:53" ht="15.75" customHeight="1">
      <c r="A936" s="100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227"/>
      <c r="BA936" s="228"/>
    </row>
    <row r="937" spans="1:53" ht="15.75" customHeight="1">
      <c r="A937" s="100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227"/>
      <c r="BA937" s="228"/>
    </row>
    <row r="938" spans="1:53" ht="15.75" customHeight="1">
      <c r="A938" s="100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227"/>
      <c r="BA938" s="228"/>
    </row>
    <row r="939" spans="1:53" ht="15.75" customHeight="1">
      <c r="A939" s="100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227"/>
      <c r="BA939" s="228"/>
    </row>
    <row r="940" spans="1:53" ht="15.75" customHeight="1">
      <c r="A940" s="100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227"/>
      <c r="BA940" s="228"/>
    </row>
    <row r="941" spans="1:53" ht="15.75" customHeight="1">
      <c r="A941" s="100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227"/>
      <c r="BA941" s="228"/>
    </row>
    <row r="942" spans="1:53" ht="15.75" customHeight="1">
      <c r="A942" s="100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227"/>
      <c r="BA942" s="228"/>
    </row>
    <row r="943" spans="1:53" ht="15.75" customHeight="1">
      <c r="A943" s="100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227"/>
      <c r="BA943" s="228"/>
    </row>
    <row r="944" spans="1:53" ht="15.75" customHeight="1">
      <c r="A944" s="100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227"/>
      <c r="BA944" s="228"/>
    </row>
    <row r="945" spans="1:53" ht="15.75" customHeight="1">
      <c r="A945" s="100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227"/>
      <c r="BA945" s="228"/>
    </row>
    <row r="946" spans="1:53" ht="15.75" customHeight="1">
      <c r="A946" s="100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227"/>
      <c r="BA946" s="228"/>
    </row>
    <row r="947" spans="1:53" ht="15.75" customHeight="1">
      <c r="A947" s="100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227"/>
      <c r="BA947" s="228"/>
    </row>
    <row r="948" spans="1:53" ht="15.75" customHeight="1">
      <c r="A948" s="100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227"/>
      <c r="BA948" s="228"/>
    </row>
    <row r="949" spans="1:53" ht="15.75" customHeight="1">
      <c r="A949" s="100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227"/>
      <c r="BA949" s="228"/>
    </row>
    <row r="950" spans="1:53" ht="15.75" customHeight="1">
      <c r="A950" s="100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227"/>
      <c r="BA950" s="228"/>
    </row>
    <row r="951" spans="1:53" ht="15.75" customHeight="1">
      <c r="A951" s="100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227"/>
      <c r="BA951" s="228"/>
    </row>
    <row r="952" spans="1:53" ht="15.75" customHeight="1">
      <c r="A952" s="100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227"/>
      <c r="BA952" s="228"/>
    </row>
    <row r="953" spans="1:53" ht="15.75" customHeight="1">
      <c r="A953" s="100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227"/>
      <c r="BA953" s="228"/>
    </row>
    <row r="954" spans="1:53" ht="15.75" customHeight="1">
      <c r="A954" s="100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227"/>
      <c r="BA954" s="228"/>
    </row>
    <row r="955" spans="1:53" ht="15.75" customHeight="1">
      <c r="A955" s="100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227"/>
      <c r="BA955" s="228"/>
    </row>
    <row r="956" spans="1:53" ht="15.75" customHeight="1">
      <c r="A956" s="100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227"/>
      <c r="BA956" s="228"/>
    </row>
    <row r="957" spans="1:53" ht="15.75" customHeight="1">
      <c r="A957" s="100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227"/>
      <c r="BA957" s="228"/>
    </row>
    <row r="958" spans="1:53" ht="15.75" customHeight="1">
      <c r="A958" s="100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227"/>
      <c r="BA958" s="228"/>
    </row>
    <row r="959" spans="1:53" ht="15.75" customHeight="1">
      <c r="A959" s="100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227"/>
      <c r="BA959" s="228"/>
    </row>
    <row r="960" spans="1:53" ht="15.75" customHeight="1">
      <c r="A960" s="100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227"/>
      <c r="BA960" s="228"/>
    </row>
    <row r="961" spans="1:53" ht="15.75" customHeight="1">
      <c r="A961" s="100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227"/>
      <c r="BA961" s="228"/>
    </row>
    <row r="962" spans="1:53" ht="15.75" customHeight="1">
      <c r="A962" s="100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227"/>
      <c r="BA962" s="228"/>
    </row>
    <row r="963" spans="1:53" ht="15.75" customHeight="1">
      <c r="A963" s="100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227"/>
      <c r="BA963" s="228"/>
    </row>
    <row r="964" spans="1:53" ht="15.75" customHeight="1">
      <c r="A964" s="100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227"/>
      <c r="BA964" s="228"/>
    </row>
    <row r="965" spans="1:53" ht="15.75" customHeight="1">
      <c r="A965" s="100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227"/>
      <c r="BA965" s="228"/>
    </row>
    <row r="966" spans="1:53" ht="15.75" customHeight="1">
      <c r="A966" s="100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227"/>
      <c r="BA966" s="228"/>
    </row>
    <row r="967" spans="1:53" ht="15.75" customHeight="1">
      <c r="A967" s="100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227"/>
      <c r="BA967" s="228"/>
    </row>
    <row r="968" spans="1:53" ht="15.75" customHeight="1">
      <c r="A968" s="100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227"/>
      <c r="BA968" s="228"/>
    </row>
    <row r="969" spans="1:53" ht="15.75" customHeight="1">
      <c r="A969" s="100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227"/>
      <c r="BA969" s="228"/>
    </row>
    <row r="970" spans="1:53" ht="15.75" customHeight="1">
      <c r="A970" s="100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227"/>
      <c r="BA970" s="228"/>
    </row>
    <row r="971" spans="1:53" ht="15.75" customHeight="1">
      <c r="A971" s="100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227"/>
      <c r="BA971" s="228"/>
    </row>
    <row r="972" spans="1:53" ht="15.75" customHeight="1">
      <c r="A972" s="100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227"/>
      <c r="BA972" s="228"/>
    </row>
    <row r="973" spans="1:53" ht="15.75" customHeight="1">
      <c r="A973" s="100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227"/>
      <c r="BA973" s="228"/>
    </row>
    <row r="974" spans="1:53" ht="15.75" customHeight="1">
      <c r="A974" s="100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227"/>
      <c r="BA974" s="228"/>
    </row>
    <row r="975" spans="1:53" ht="15.75" customHeight="1">
      <c r="A975" s="100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227"/>
      <c r="BA975" s="228"/>
    </row>
    <row r="976" spans="1:53" ht="15.75" customHeight="1">
      <c r="A976" s="100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227"/>
      <c r="BA976" s="228"/>
    </row>
    <row r="977" spans="1:53" ht="15.75" customHeight="1">
      <c r="A977" s="100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227"/>
      <c r="BA977" s="228"/>
    </row>
    <row r="978" spans="1:53" ht="15.75" customHeight="1">
      <c r="A978" s="100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227"/>
      <c r="BA978" s="228"/>
    </row>
    <row r="979" spans="1:53" ht="15.75" customHeight="1">
      <c r="A979" s="100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227"/>
      <c r="BA979" s="228"/>
    </row>
    <row r="980" spans="1:53" ht="15.75" customHeight="1">
      <c r="A980" s="100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227"/>
      <c r="BA980" s="228"/>
    </row>
    <row r="981" spans="1:53" ht="15.75" customHeight="1">
      <c r="A981" s="100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227"/>
      <c r="BA981" s="228"/>
    </row>
    <row r="982" spans="1:53" ht="15.75" customHeight="1">
      <c r="A982" s="100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227"/>
      <c r="BA982" s="228"/>
    </row>
    <row r="983" spans="1:53" ht="15.75" customHeight="1">
      <c r="A983" s="100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227"/>
      <c r="BA983" s="228"/>
    </row>
    <row r="984" spans="1:53" ht="15.75" customHeight="1">
      <c r="A984" s="100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227"/>
      <c r="BA984" s="228"/>
    </row>
    <row r="985" spans="1:53" ht="15.75" customHeight="1">
      <c r="A985" s="100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227"/>
      <c r="BA985" s="228"/>
    </row>
    <row r="986" spans="1:53" ht="15.75" customHeight="1">
      <c r="A986" s="100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227"/>
      <c r="BA986" s="228"/>
    </row>
    <row r="987" spans="1:53" ht="15.75" customHeight="1">
      <c r="A987" s="100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227"/>
      <c r="BA987" s="228"/>
    </row>
    <row r="988" spans="1:53" ht="15.75" customHeight="1">
      <c r="A988" s="100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227"/>
      <c r="BA988" s="228"/>
    </row>
    <row r="989" spans="1:53" ht="15.75" customHeight="1">
      <c r="A989" s="100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227"/>
      <c r="BA989" s="228"/>
    </row>
    <row r="990" spans="1:53" ht="15.75" customHeight="1">
      <c r="A990" s="100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227"/>
      <c r="BA990" s="228"/>
    </row>
    <row r="991" spans="1:53" ht="15.75" customHeight="1">
      <c r="A991" s="100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227"/>
      <c r="BA991" s="228"/>
    </row>
    <row r="992" spans="1:53" ht="15.75" customHeight="1">
      <c r="A992" s="100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227"/>
      <c r="BA992" s="228"/>
    </row>
    <row r="993" spans="1:53" ht="15.75" customHeight="1">
      <c r="A993" s="100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227"/>
      <c r="BA993" s="228"/>
    </row>
    <row r="994" spans="1:53" ht="15.75" customHeight="1">
      <c r="A994" s="100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227"/>
      <c r="BA994" s="228"/>
    </row>
    <row r="995" spans="1:53" ht="15.75" customHeight="1">
      <c r="A995" s="100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227"/>
      <c r="BA995" s="228"/>
    </row>
    <row r="996" spans="1:53" ht="15.75" customHeight="1">
      <c r="A996" s="100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227"/>
      <c r="BA996" s="228"/>
    </row>
    <row r="997" spans="1:53" ht="15.75" customHeight="1">
      <c r="A997" s="100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227"/>
      <c r="BA997" s="228"/>
    </row>
    <row r="998" spans="1:53" ht="15.75" customHeight="1">
      <c r="A998" s="100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227"/>
      <c r="BA998" s="228"/>
    </row>
    <row r="999" spans="1:53" ht="15.75" customHeight="1">
      <c r="A999" s="100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227"/>
      <c r="BA999" s="228"/>
    </row>
    <row r="1000" spans="1:53" ht="15.75" customHeight="1">
      <c r="A1000" s="191"/>
      <c r="B1000" s="192"/>
      <c r="C1000" s="192"/>
      <c r="D1000" s="192"/>
      <c r="E1000" s="192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229"/>
      <c r="BA1000" s="230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workbookViewId="0"/>
  </sheetViews>
  <sheetFormatPr baseColWidth="10" defaultColWidth="11.1640625" defaultRowHeight="15" customHeight="1"/>
  <cols>
    <col min="1" max="1" width="11" customWidth="1"/>
    <col min="2" max="2" width="23.6640625" customWidth="1"/>
    <col min="3" max="26" width="11" customWidth="1"/>
  </cols>
  <sheetData>
    <row r="1" spans="1:10" ht="15.75" customHeight="1"/>
    <row r="2" spans="1:10" ht="15.75" customHeight="1"/>
    <row r="3" spans="1:10" ht="15.75" customHeight="1"/>
    <row r="4" spans="1:10" ht="15.75" customHeight="1">
      <c r="A4" s="188"/>
      <c r="C4" s="188"/>
      <c r="D4" s="188"/>
      <c r="E4" s="188"/>
      <c r="F4" s="188"/>
      <c r="G4" s="188"/>
      <c r="H4" s="188"/>
      <c r="I4" s="188"/>
      <c r="J4" s="188"/>
    </row>
    <row r="5" spans="1:10" ht="15.75" customHeight="1">
      <c r="B5" s="188"/>
      <c r="C5" s="189"/>
      <c r="D5" s="189"/>
      <c r="E5" s="189"/>
      <c r="F5" s="189"/>
      <c r="G5" s="189"/>
      <c r="H5" s="189"/>
      <c r="I5" s="189"/>
      <c r="J5" s="189"/>
    </row>
    <row r="6" spans="1:10" ht="15.75" customHeight="1">
      <c r="B6" s="188"/>
      <c r="C6" s="190"/>
      <c r="D6" s="190"/>
      <c r="E6" s="190"/>
      <c r="F6" s="190"/>
      <c r="G6" s="190"/>
      <c r="H6" s="190"/>
      <c r="I6" s="190"/>
      <c r="J6" s="190"/>
    </row>
    <row r="7" spans="1:10" ht="15.75" customHeight="1"/>
    <row r="8" spans="1:10" ht="15.75" customHeight="1">
      <c r="B8" s="188"/>
      <c r="C8" s="189"/>
    </row>
    <row r="9" spans="1:10" ht="15.75" customHeight="1">
      <c r="B9" s="188"/>
      <c r="C9" s="188"/>
      <c r="D9" s="188"/>
      <c r="E9" s="188"/>
      <c r="F9" s="188"/>
      <c r="G9" s="188"/>
      <c r="H9" s="188"/>
      <c r="I9" s="188"/>
      <c r="J9" s="188"/>
    </row>
    <row r="10" spans="1:10" ht="15.75" customHeight="1">
      <c r="B10" s="189"/>
      <c r="C10" s="189"/>
      <c r="D10" s="189"/>
      <c r="E10" s="189"/>
      <c r="F10" s="189"/>
      <c r="G10" s="189"/>
      <c r="H10" s="189"/>
      <c r="I10" s="189"/>
      <c r="J10" s="189"/>
    </row>
    <row r="11" spans="1:10" ht="15.75" customHeight="1">
      <c r="B11" s="188"/>
      <c r="C11" s="189"/>
    </row>
    <row r="12" spans="1:10" ht="15.75" customHeight="1">
      <c r="B12" s="188"/>
      <c r="C12" s="189"/>
    </row>
    <row r="13" spans="1:10" ht="15.75" customHeight="1">
      <c r="B13" s="188"/>
      <c r="C13" s="189"/>
    </row>
    <row r="14" spans="1:10" ht="15.75" customHeight="1">
      <c r="B14" s="188"/>
      <c r="C14" s="189"/>
    </row>
    <row r="15" spans="1:10" ht="15.75" customHeight="1">
      <c r="B15" s="188"/>
      <c r="C15" s="189"/>
    </row>
    <row r="16" spans="1:10" ht="15.75" customHeight="1">
      <c r="B16" s="188"/>
      <c r="C16" s="189"/>
    </row>
    <row r="17" spans="2:3" ht="15.75" customHeight="1">
      <c r="B17" s="188"/>
      <c r="C17" s="188"/>
    </row>
    <row r="18" spans="2:3" ht="15.75" customHeight="1">
      <c r="B18" s="188"/>
      <c r="C18" s="189"/>
    </row>
    <row r="19" spans="2:3" ht="15.75" customHeight="1">
      <c r="B19" s="188"/>
      <c r="C19" s="189"/>
    </row>
    <row r="20" spans="2:3" ht="15.75" customHeight="1">
      <c r="B20" s="188"/>
      <c r="C20" s="189"/>
    </row>
    <row r="21" spans="2:3" ht="15.75" customHeight="1">
      <c r="B21" s="188"/>
      <c r="C21" s="188"/>
    </row>
    <row r="22" spans="2:3" ht="15.75" customHeight="1">
      <c r="B22" s="188"/>
      <c r="C22" s="189"/>
    </row>
    <row r="23" spans="2:3" ht="15.75" customHeight="1">
      <c r="B23" s="188"/>
      <c r="C23" s="189"/>
    </row>
    <row r="24" spans="2:3" ht="15.75" customHeight="1">
      <c r="B24" s="188"/>
      <c r="C24" s="189"/>
    </row>
    <row r="25" spans="2:3" ht="15.75" customHeight="1">
      <c r="B25" s="188"/>
      <c r="C25" s="189"/>
    </row>
    <row r="26" spans="2:3" ht="15.75" customHeight="1">
      <c r="B26" s="188"/>
      <c r="C26" s="189"/>
    </row>
    <row r="27" spans="2:3" ht="15.75" customHeight="1">
      <c r="B27" s="188"/>
      <c r="C27" s="189"/>
    </row>
    <row r="28" spans="2:3" ht="15.75" customHeight="1">
      <c r="B28" s="188"/>
      <c r="C28" s="189"/>
    </row>
    <row r="29" spans="2:3" ht="15.75" customHeight="1">
      <c r="B29" s="188"/>
      <c r="C29" s="189"/>
    </row>
    <row r="30" spans="2:3" ht="15.75" customHeight="1">
      <c r="B30" s="188"/>
      <c r="C30" s="189"/>
    </row>
    <row r="31" spans="2:3" ht="15.75" customHeight="1">
      <c r="B31" s="188"/>
      <c r="C31" s="189"/>
    </row>
    <row r="32" spans="2:3" ht="15.75" customHeight="1">
      <c r="B32" s="188"/>
      <c r="C32" s="189"/>
    </row>
    <row r="33" spans="2:3" ht="15.75" customHeight="1">
      <c r="B33" s="188"/>
      <c r="C33" s="188"/>
    </row>
    <row r="34" spans="2:3" ht="15.75" customHeight="1">
      <c r="B34" s="188"/>
      <c r="C34" s="189"/>
    </row>
    <row r="35" spans="2:3" ht="15.75" customHeight="1">
      <c r="B35" s="188"/>
      <c r="C35" s="189"/>
    </row>
    <row r="36" spans="2:3" ht="15.75" customHeight="1">
      <c r="B36" s="188"/>
      <c r="C36" s="189"/>
    </row>
    <row r="37" spans="2:3" ht="15.75" customHeight="1">
      <c r="B37" s="188"/>
      <c r="C37" s="189"/>
    </row>
    <row r="38" spans="2:3" ht="15.75" customHeight="1">
      <c r="B38" s="188"/>
      <c r="C38" s="189"/>
    </row>
    <row r="39" spans="2:3" ht="15.75" customHeight="1">
      <c r="B39" s="188"/>
      <c r="C39" s="188"/>
    </row>
    <row r="40" spans="2:3" ht="15.75" customHeight="1">
      <c r="B40" s="188"/>
      <c r="C40" s="189"/>
    </row>
    <row r="41" spans="2:3" ht="15.75" customHeight="1">
      <c r="B41" s="188"/>
      <c r="C41" s="189"/>
    </row>
    <row r="42" spans="2:3" ht="15.75" customHeight="1">
      <c r="B42" s="188"/>
      <c r="C42" s="189"/>
    </row>
    <row r="43" spans="2:3" ht="15.75" customHeight="1">
      <c r="B43" s="188"/>
      <c r="C43" s="189"/>
    </row>
    <row r="44" spans="2:3" ht="15.75" customHeight="1">
      <c r="B44" s="188"/>
      <c r="C44" s="189"/>
    </row>
    <row r="45" spans="2:3" ht="15.75" customHeight="1">
      <c r="B45" s="188"/>
      <c r="C45" s="189"/>
    </row>
    <row r="46" spans="2:3" ht="15.75" customHeight="1">
      <c r="B46" s="188"/>
      <c r="C46" s="189"/>
    </row>
    <row r="47" spans="2:3" ht="15.75" customHeight="1">
      <c r="B47" s="188"/>
      <c r="C47" s="189"/>
    </row>
    <row r="48" spans="2:3" ht="15.75" customHeight="1">
      <c r="B48" s="188"/>
      <c r="C48" s="189"/>
    </row>
    <row r="49" spans="2:3" ht="15.75" customHeight="1">
      <c r="B49" s="188"/>
      <c r="C49" s="189"/>
    </row>
    <row r="50" spans="2:3" ht="15.75" customHeight="1">
      <c r="B50" s="188"/>
      <c r="C50" s="189"/>
    </row>
    <row r="51" spans="2:3" ht="15.75" customHeight="1">
      <c r="B51" s="188"/>
      <c r="C51" s="189"/>
    </row>
    <row r="52" spans="2:3" ht="15.75" customHeight="1">
      <c r="B52" s="188"/>
      <c r="C52" s="188"/>
    </row>
    <row r="53" spans="2:3" ht="15.75" customHeight="1">
      <c r="B53" s="188"/>
      <c r="C53" s="188"/>
    </row>
    <row r="54" spans="2:3" ht="15.75" customHeight="1">
      <c r="B54" s="188"/>
      <c r="C54" s="188"/>
    </row>
    <row r="55" spans="2:3" ht="15.75" customHeight="1">
      <c r="B55" s="188"/>
      <c r="C55" s="189"/>
    </row>
    <row r="56" spans="2:3" ht="15.75" customHeight="1">
      <c r="B56" s="188"/>
      <c r="C56" s="189"/>
    </row>
    <row r="57" spans="2:3" ht="15.75" customHeight="1">
      <c r="B57" s="188"/>
      <c r="C57" s="189"/>
    </row>
    <row r="58" spans="2:3" ht="15.75" customHeight="1">
      <c r="B58" s="188"/>
      <c r="C58" s="188"/>
    </row>
    <row r="59" spans="2:3" ht="15.75" customHeight="1">
      <c r="B59" s="188"/>
      <c r="C59" s="189"/>
    </row>
    <row r="60" spans="2:3" ht="15.75" customHeight="1"/>
    <row r="61" spans="2:3" ht="15.75" customHeight="1"/>
    <row r="62" spans="2:3" ht="15.75" customHeight="1"/>
    <row r="63" spans="2:3" ht="15.75" customHeight="1"/>
    <row r="64" spans="2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Outputs</vt:lpstr>
      <vt:lpstr>Inputs</vt:lpstr>
      <vt:lpstr>Raw Data</vt:lpstr>
      <vt:lpstr>&gt;&gt;</vt:lpstr>
      <vt:lpstr>Daily Free Value</vt:lpstr>
      <vt:lpstr>Default Bet Tuning</vt:lpstr>
      <vt:lpstr>New User Balance</vt:lpstr>
      <vt:lpstr>Minimum Bet Tuning</vt:lpstr>
      <vt:lpstr>Currency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2018-06-22T17:27:01Z</dcterms:created>
  <dcterms:modified xsi:type="dcterms:W3CDTF">2018-06-28T16:22:17Z</dcterms:modified>
</cp:coreProperties>
</file>