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ettnowak/Dropbox (Liquid and Grit)/Liquid and Grit Team Folder/Reports/SC Product Reports/07 2018 PR/"/>
    </mc:Choice>
  </mc:AlternateContent>
  <xr:revisionPtr revIDLastSave="0" documentId="13_ncr:1_{6A335284-427B-3042-A542-AD4CCBB2B2B0}" xr6:coauthVersionLast="34" xr6:coauthVersionMax="34" xr10:uidLastSave="{00000000-0000-0000-0000-000000000000}"/>
  <bookViews>
    <workbookView xWindow="0" yWindow="460" windowWidth="40960" windowHeight="22580" xr2:uid="{00000000-000D-0000-FFFF-FFFF00000000}"/>
  </bookViews>
  <sheets>
    <sheet name="Outputs" sheetId="1" r:id="rId1"/>
    <sheet name="Inputs" sheetId="2" r:id="rId2"/>
    <sheet name="Raw Data" sheetId="3" r:id="rId3"/>
    <sheet name="Definitions" sheetId="11" r:id="rId4"/>
    <sheet name="Example of Conversion" sheetId="12" r:id="rId5"/>
  </sheets>
  <definedNames>
    <definedName name="_xlnm._FilterDatabase" localSheetId="0" hidden="1">Outputs!$A$8:$N$59</definedName>
  </definedNames>
  <calcPr calcId="179021"/>
</workbook>
</file>

<file path=xl/calcChain.xml><?xml version="1.0" encoding="utf-8"?>
<calcChain xmlns="http://schemas.openxmlformats.org/spreadsheetml/2006/main">
  <c r="BA58" i="2" l="1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AS55" i="2"/>
  <c r="AG55" i="2"/>
  <c r="U55" i="2"/>
  <c r="I55" i="2"/>
  <c r="AV54" i="2"/>
  <c r="AU54" i="2"/>
  <c r="AJ54" i="2"/>
  <c r="AI54" i="2"/>
  <c r="X54" i="2"/>
  <c r="W54" i="2"/>
  <c r="L54" i="2"/>
  <c r="K54" i="2"/>
  <c r="C57" i="2"/>
  <c r="BA57" i="2"/>
  <c r="AZ57" i="2"/>
  <c r="AO57" i="2"/>
  <c r="AN57" i="2"/>
  <c r="AB57" i="2"/>
  <c r="AA57" i="2"/>
  <c r="P57" i="2"/>
  <c r="O57" i="2"/>
  <c r="D57" i="2"/>
  <c r="AJ57" i="2"/>
  <c r="BA70" i="2"/>
  <c r="BA55" i="2" s="1"/>
  <c r="AZ70" i="2"/>
  <c r="AZ55" i="2" s="1"/>
  <c r="AY70" i="2"/>
  <c r="AY57" i="2" s="1"/>
  <c r="AX70" i="2"/>
  <c r="AX57" i="2" s="1"/>
  <c r="AW70" i="2"/>
  <c r="AW57" i="2" s="1"/>
  <c r="AV70" i="2"/>
  <c r="AV57" i="2" s="1"/>
  <c r="AU70" i="2"/>
  <c r="AU57" i="2" s="1"/>
  <c r="AT70" i="2"/>
  <c r="AT54" i="2" s="1"/>
  <c r="AS70" i="2"/>
  <c r="AS54" i="2" s="1"/>
  <c r="AR70" i="2"/>
  <c r="AR55" i="2" s="1"/>
  <c r="AQ70" i="2"/>
  <c r="AQ55" i="2" s="1"/>
  <c r="AP70" i="2"/>
  <c r="AP55" i="2" s="1"/>
  <c r="AO70" i="2"/>
  <c r="AO55" i="2" s="1"/>
  <c r="AN70" i="2"/>
  <c r="AN55" i="2" s="1"/>
  <c r="AM70" i="2"/>
  <c r="AM57" i="2" s="1"/>
  <c r="AL70" i="2"/>
  <c r="AL57" i="2" s="1"/>
  <c r="AK70" i="2"/>
  <c r="AK57" i="2" s="1"/>
  <c r="AJ70" i="2"/>
  <c r="AJ55" i="2" s="1"/>
  <c r="AI70" i="2"/>
  <c r="AI57" i="2" s="1"/>
  <c r="AH70" i="2"/>
  <c r="AH54" i="2" s="1"/>
  <c r="AG70" i="2"/>
  <c r="AG54" i="2" s="1"/>
  <c r="AF70" i="2"/>
  <c r="AF55" i="2" s="1"/>
  <c r="AE70" i="2"/>
  <c r="AE55" i="2" s="1"/>
  <c r="AD70" i="2"/>
  <c r="AD55" i="2" s="1"/>
  <c r="AC70" i="2"/>
  <c r="AC55" i="2" s="1"/>
  <c r="AB70" i="2"/>
  <c r="AB55" i="2" s="1"/>
  <c r="AA70" i="2"/>
  <c r="AA55" i="2" s="1"/>
  <c r="Z70" i="2"/>
  <c r="Z57" i="2" s="1"/>
  <c r="Y70" i="2"/>
  <c r="Y57" i="2" s="1"/>
  <c r="X70" i="2"/>
  <c r="X57" i="2" s="1"/>
  <c r="W70" i="2"/>
  <c r="W57" i="2" s="1"/>
  <c r="V70" i="2"/>
  <c r="V54" i="2" s="1"/>
  <c r="U70" i="2"/>
  <c r="U54" i="2" s="1"/>
  <c r="T70" i="2"/>
  <c r="T55" i="2" s="1"/>
  <c r="S70" i="2"/>
  <c r="S55" i="2" s="1"/>
  <c r="R70" i="2"/>
  <c r="R55" i="2" s="1"/>
  <c r="Q70" i="2"/>
  <c r="Q55" i="2" s="1"/>
  <c r="P70" i="2"/>
  <c r="P55" i="2" s="1"/>
  <c r="O70" i="2"/>
  <c r="O55" i="2" s="1"/>
  <c r="N70" i="2"/>
  <c r="N57" i="2" s="1"/>
  <c r="M70" i="2"/>
  <c r="M57" i="2" s="1"/>
  <c r="L70" i="2"/>
  <c r="L57" i="2" s="1"/>
  <c r="K70" i="2"/>
  <c r="K57" i="2" s="1"/>
  <c r="J70" i="2"/>
  <c r="J54" i="2" s="1"/>
  <c r="I70" i="2"/>
  <c r="I54" i="2" s="1"/>
  <c r="H70" i="2"/>
  <c r="H55" i="2" s="1"/>
  <c r="G70" i="2"/>
  <c r="G55" i="2" s="1"/>
  <c r="F70" i="2"/>
  <c r="F55" i="2" s="1"/>
  <c r="E70" i="2"/>
  <c r="E55" i="2" s="1"/>
  <c r="D70" i="2"/>
  <c r="D55" i="2" s="1"/>
  <c r="C70" i="2"/>
  <c r="C55" i="2" s="1"/>
  <c r="I5" i="12"/>
  <c r="I4" i="12"/>
  <c r="K4" i="12" s="1"/>
  <c r="N4" i="12" s="1"/>
  <c r="J55" i="2" l="1"/>
  <c r="V55" i="2"/>
  <c r="AH55" i="2"/>
  <c r="AT55" i="2"/>
  <c r="E57" i="2"/>
  <c r="Q57" i="2"/>
  <c r="AC57" i="2"/>
  <c r="AP57" i="2"/>
  <c r="K47" i="1" s="1"/>
  <c r="M54" i="2"/>
  <c r="F19" i="1" s="1"/>
  <c r="Y54" i="2"/>
  <c r="F31" i="1" s="1"/>
  <c r="AK54" i="2"/>
  <c r="F43" i="1" s="1"/>
  <c r="AW54" i="2"/>
  <c r="K55" i="2"/>
  <c r="W55" i="2"/>
  <c r="AI55" i="2"/>
  <c r="AU55" i="2"/>
  <c r="F57" i="2"/>
  <c r="R57" i="2"/>
  <c r="AD57" i="2"/>
  <c r="AQ57" i="2"/>
  <c r="K49" i="1" s="1"/>
  <c r="C54" i="2"/>
  <c r="N54" i="2"/>
  <c r="F20" i="1" s="1"/>
  <c r="Z54" i="2"/>
  <c r="F32" i="1" s="1"/>
  <c r="AL54" i="2"/>
  <c r="AX54" i="2"/>
  <c r="L55" i="2"/>
  <c r="X55" i="2"/>
  <c r="AV55" i="2"/>
  <c r="G57" i="2"/>
  <c r="S57" i="2"/>
  <c r="AE57" i="2"/>
  <c r="AR57" i="2"/>
  <c r="O54" i="2"/>
  <c r="F21" i="1" s="1"/>
  <c r="AA54" i="2"/>
  <c r="AM54" i="2"/>
  <c r="AY54" i="2"/>
  <c r="F56" i="1" s="1"/>
  <c r="M55" i="2"/>
  <c r="Y55" i="2"/>
  <c r="AK55" i="2"/>
  <c r="AW55" i="2"/>
  <c r="H57" i="2"/>
  <c r="T57" i="2"/>
  <c r="AF57" i="2"/>
  <c r="AS57" i="2"/>
  <c r="D54" i="2"/>
  <c r="F10" i="1" s="1"/>
  <c r="P54" i="2"/>
  <c r="AB54" i="2"/>
  <c r="F34" i="1" s="1"/>
  <c r="AN54" i="2"/>
  <c r="AZ54" i="2"/>
  <c r="N55" i="2"/>
  <c r="Z55" i="2"/>
  <c r="AL55" i="2"/>
  <c r="AX55" i="2"/>
  <c r="I57" i="2"/>
  <c r="U57" i="2"/>
  <c r="AG57" i="2"/>
  <c r="AT57" i="2"/>
  <c r="E54" i="2"/>
  <c r="F11" i="1" s="1"/>
  <c r="Q54" i="2"/>
  <c r="F23" i="1" s="1"/>
  <c r="AC54" i="2"/>
  <c r="F35" i="1" s="1"/>
  <c r="AO54" i="2"/>
  <c r="BA54" i="2"/>
  <c r="AM55" i="2"/>
  <c r="AY55" i="2"/>
  <c r="J57" i="2"/>
  <c r="V57" i="2"/>
  <c r="AH57" i="2"/>
  <c r="F54" i="2"/>
  <c r="R54" i="2"/>
  <c r="AD54" i="2"/>
  <c r="F36" i="1" s="1"/>
  <c r="AP54" i="2"/>
  <c r="G54" i="2"/>
  <c r="F13" i="1" s="1"/>
  <c r="S54" i="2"/>
  <c r="AE54" i="2"/>
  <c r="AQ54" i="2"/>
  <c r="H54" i="2"/>
  <c r="T54" i="2"/>
  <c r="AF54" i="2"/>
  <c r="AR54" i="2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AT67" i="3"/>
  <c r="AT68" i="3" s="1"/>
  <c r="P67" i="3"/>
  <c r="AT66" i="3"/>
  <c r="P66" i="3"/>
  <c r="P65" i="3"/>
  <c r="P64" i="3"/>
  <c r="P63" i="3"/>
  <c r="P62" i="3"/>
  <c r="P61" i="3"/>
  <c r="AM60" i="3"/>
  <c r="P60" i="3"/>
  <c r="AM59" i="3"/>
  <c r="P59" i="3"/>
  <c r="P58" i="3"/>
  <c r="P83" i="3" s="1"/>
  <c r="AK54" i="3"/>
  <c r="AN53" i="3"/>
  <c r="AN54" i="3" s="1"/>
  <c r="AK53" i="3"/>
  <c r="AQ49" i="3"/>
  <c r="AN49" i="3"/>
  <c r="AL49" i="3"/>
  <c r="AK49" i="3"/>
  <c r="AD49" i="3"/>
  <c r="B49" i="3"/>
  <c r="AY44" i="3"/>
  <c r="AW44" i="3"/>
  <c r="AV44" i="3"/>
  <c r="AU44" i="3"/>
  <c r="AS44" i="3"/>
  <c r="AQ44" i="3"/>
  <c r="AP44" i="3"/>
  <c r="AO44" i="3"/>
  <c r="AN44" i="3"/>
  <c r="AM44" i="3"/>
  <c r="AM8" i="3" s="1"/>
  <c r="AN11" i="2" s="1"/>
  <c r="AL44" i="3"/>
  <c r="AK44" i="3"/>
  <c r="AF44" i="3"/>
  <c r="AE44" i="3"/>
  <c r="AD44" i="3"/>
  <c r="V44" i="3"/>
  <c r="V39" i="3" s="1"/>
  <c r="R44" i="3"/>
  <c r="B44" i="3"/>
  <c r="B20" i="3" s="1"/>
  <c r="AT34" i="3"/>
  <c r="AO34" i="3"/>
  <c r="AL34" i="3"/>
  <c r="AC34" i="3"/>
  <c r="Z34" i="3"/>
  <c r="Q34" i="3"/>
  <c r="N34" i="3"/>
  <c r="E34" i="3"/>
  <c r="B34" i="3"/>
  <c r="T33" i="3"/>
  <c r="D33" i="3"/>
  <c r="D34" i="3" s="1"/>
  <c r="B24" i="3"/>
  <c r="B23" i="3"/>
  <c r="AL16" i="3"/>
  <c r="P16" i="3"/>
  <c r="AL14" i="3"/>
  <c r="AL13" i="3"/>
  <c r="AY10" i="3"/>
  <c r="AM10" i="3"/>
  <c r="AL10" i="3"/>
  <c r="I10" i="3"/>
  <c r="AM9" i="3"/>
  <c r="I9" i="3"/>
  <c r="I8" i="3"/>
  <c r="AY7" i="3"/>
  <c r="AM7" i="3"/>
  <c r="AL7" i="3"/>
  <c r="I7" i="3"/>
  <c r="AO6" i="3"/>
  <c r="AM6" i="3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K61" i="2"/>
  <c r="AJ61" i="2"/>
  <c r="AI61" i="2"/>
  <c r="AH61" i="2"/>
  <c r="AD61" i="2"/>
  <c r="AC61" i="2"/>
  <c r="AB61" i="2"/>
  <c r="AA61" i="2"/>
  <c r="Z61" i="2"/>
  <c r="Y61" i="2"/>
  <c r="X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K60" i="2"/>
  <c r="AJ60" i="2"/>
  <c r="AI60" i="2"/>
  <c r="AH60" i="2"/>
  <c r="AD60" i="2"/>
  <c r="AC60" i="2"/>
  <c r="AB60" i="2"/>
  <c r="AA60" i="2"/>
  <c r="Z60" i="2"/>
  <c r="Y60" i="2"/>
  <c r="X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AZ52" i="2"/>
  <c r="AW52" i="2"/>
  <c r="AU52" i="2"/>
  <c r="AR52" i="2"/>
  <c r="AQ52" i="2"/>
  <c r="AP52" i="2"/>
  <c r="AN52" i="2"/>
  <c r="AM52" i="2"/>
  <c r="AI52" i="2"/>
  <c r="AD52" i="2"/>
  <c r="AB52" i="2"/>
  <c r="AA52" i="2"/>
  <c r="W52" i="2"/>
  <c r="T52" i="2"/>
  <c r="S52" i="2"/>
  <c r="R52" i="2"/>
  <c r="P52" i="2"/>
  <c r="O52" i="2"/>
  <c r="M52" i="2"/>
  <c r="K52" i="2"/>
  <c r="F52" i="2"/>
  <c r="D52" i="2"/>
  <c r="C52" i="2"/>
  <c r="AZ51" i="2"/>
  <c r="AW51" i="2"/>
  <c r="AU51" i="2"/>
  <c r="AP51" i="2"/>
  <c r="AO51" i="2"/>
  <c r="AN51" i="2"/>
  <c r="AK51" i="2"/>
  <c r="AJ51" i="2"/>
  <c r="AI51" i="2"/>
  <c r="AD51" i="2"/>
  <c r="AB51" i="2"/>
  <c r="W51" i="2"/>
  <c r="V51" i="2"/>
  <c r="R51" i="2"/>
  <c r="L51" i="2"/>
  <c r="K51" i="2"/>
  <c r="G51" i="2"/>
  <c r="F51" i="2"/>
  <c r="E51" i="2"/>
  <c r="D51" i="2"/>
  <c r="BA49" i="2"/>
  <c r="AZ49" i="2"/>
  <c r="AY34" i="3" s="1"/>
  <c r="AY49" i="2"/>
  <c r="AX34" i="3" s="1"/>
  <c r="AX49" i="2"/>
  <c r="AX6" i="2" s="1"/>
  <c r="AW49" i="2"/>
  <c r="AV34" i="3" s="1"/>
  <c r="AV49" i="2"/>
  <c r="AU49" i="2"/>
  <c r="AT49" i="2"/>
  <c r="AS49" i="2"/>
  <c r="AR49" i="2"/>
  <c r="AQ49" i="2"/>
  <c r="AP49" i="2"/>
  <c r="AO49" i="2"/>
  <c r="AN49" i="2"/>
  <c r="AM34" i="3" s="1"/>
  <c r="AM49" i="2"/>
  <c r="AL49" i="2"/>
  <c r="AL6" i="2" s="1"/>
  <c r="AK49" i="2"/>
  <c r="AJ49" i="2"/>
  <c r="AJ32" i="2" s="1"/>
  <c r="AI49" i="2"/>
  <c r="AH34" i="3" s="1"/>
  <c r="AH49" i="2"/>
  <c r="AG49" i="2"/>
  <c r="AF49" i="2"/>
  <c r="AE49" i="2"/>
  <c r="AD49" i="2"/>
  <c r="AC49" i="2"/>
  <c r="AB49" i="2"/>
  <c r="AA34" i="3" s="1"/>
  <c r="AA49" i="2"/>
  <c r="Z49" i="2"/>
  <c r="Z51" i="2" s="1"/>
  <c r="Y49" i="2"/>
  <c r="X49" i="2"/>
  <c r="W49" i="2"/>
  <c r="V34" i="3" s="1"/>
  <c r="V49" i="2"/>
  <c r="U49" i="2"/>
  <c r="T49" i="2"/>
  <c r="S49" i="2"/>
  <c r="R34" i="3" s="1"/>
  <c r="R49" i="2"/>
  <c r="Q49" i="2"/>
  <c r="P49" i="2"/>
  <c r="O34" i="3" s="1"/>
  <c r="O49" i="2"/>
  <c r="N49" i="2"/>
  <c r="N52" i="2" s="1"/>
  <c r="M49" i="2"/>
  <c r="L49" i="2"/>
  <c r="K34" i="3" s="1"/>
  <c r="K49" i="2"/>
  <c r="J34" i="3" s="1"/>
  <c r="J49" i="2"/>
  <c r="I49" i="2"/>
  <c r="H49" i="2"/>
  <c r="G49" i="2"/>
  <c r="F49" i="2"/>
  <c r="E49" i="2"/>
  <c r="D49" i="2"/>
  <c r="C34" i="3" s="1"/>
  <c r="C49" i="2"/>
  <c r="BA44" i="2"/>
  <c r="AI44" i="2"/>
  <c r="X44" i="2"/>
  <c r="S44" i="2"/>
  <c r="R44" i="2"/>
  <c r="F44" i="2"/>
  <c r="E44" i="2"/>
  <c r="AV43" i="2"/>
  <c r="AV44" i="2" s="1"/>
  <c r="AT43" i="2"/>
  <c r="AT44" i="2" s="1"/>
  <c r="AQ43" i="2"/>
  <c r="AQ44" i="2" s="1"/>
  <c r="AO43" i="2"/>
  <c r="AO44" i="2" s="1"/>
  <c r="AG43" i="2"/>
  <c r="AG44" i="2" s="1"/>
  <c r="AA43" i="2"/>
  <c r="AA44" i="2" s="1"/>
  <c r="Z43" i="2"/>
  <c r="S43" i="2"/>
  <c r="Q43" i="2"/>
  <c r="Q44" i="2" s="1"/>
  <c r="N43" i="2"/>
  <c r="L43" i="2"/>
  <c r="L44" i="2" s="1"/>
  <c r="C43" i="2"/>
  <c r="C44" i="2" s="1"/>
  <c r="AY41" i="2"/>
  <c r="AB41" i="2"/>
  <c r="W41" i="2"/>
  <c r="U41" i="2"/>
  <c r="AZ40" i="2"/>
  <c r="AZ41" i="2" s="1"/>
  <c r="AY40" i="2"/>
  <c r="AV40" i="2"/>
  <c r="AV41" i="2" s="1"/>
  <c r="AT40" i="2"/>
  <c r="AT41" i="2" s="1"/>
  <c r="AL40" i="2"/>
  <c r="AL41" i="2" s="1"/>
  <c r="AG40" i="2"/>
  <c r="U40" i="2"/>
  <c r="T40" i="2"/>
  <c r="T41" i="2" s="1"/>
  <c r="M40" i="2"/>
  <c r="M41" i="2" s="1"/>
  <c r="L40" i="2"/>
  <c r="L41" i="2" s="1"/>
  <c r="I40" i="2"/>
  <c r="H40" i="2"/>
  <c r="H41" i="2" s="1"/>
  <c r="AG38" i="2"/>
  <c r="Y38" i="2"/>
  <c r="AX37" i="2"/>
  <c r="AX38" i="2" s="1"/>
  <c r="AW37" i="2"/>
  <c r="AW38" i="2" s="1"/>
  <c r="AS37" i="2"/>
  <c r="AS38" i="2" s="1"/>
  <c r="AF37" i="2"/>
  <c r="X37" i="2"/>
  <c r="X38" i="2" s="1"/>
  <c r="W37" i="2"/>
  <c r="W38" i="2" s="1"/>
  <c r="R37" i="2"/>
  <c r="R38" i="2" s="1"/>
  <c r="AU35" i="2"/>
  <c r="AT35" i="2"/>
  <c r="W35" i="2"/>
  <c r="V35" i="2"/>
  <c r="U35" i="2"/>
  <c r="J35" i="2"/>
  <c r="AX34" i="2"/>
  <c r="AW34" i="2"/>
  <c r="AV34" i="2"/>
  <c r="AO34" i="2"/>
  <c r="AK34" i="2"/>
  <c r="AD34" i="2"/>
  <c r="BA32" i="2"/>
  <c r="AY32" i="2"/>
  <c r="AU32" i="2"/>
  <c r="AN32" i="2"/>
  <c r="AI32" i="2"/>
  <c r="AG32" i="2"/>
  <c r="AD32" i="2"/>
  <c r="AC32" i="2"/>
  <c r="AB32" i="2"/>
  <c r="AA32" i="2"/>
  <c r="S32" i="2"/>
  <c r="Q32" i="2"/>
  <c r="P32" i="2"/>
  <c r="O32" i="2"/>
  <c r="K32" i="2"/>
  <c r="H32" i="2"/>
  <c r="G32" i="2"/>
  <c r="F32" i="2"/>
  <c r="E32" i="2"/>
  <c r="D32" i="2"/>
  <c r="BA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F43" i="2" s="1"/>
  <c r="AF44" i="2" s="1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M43" i="2" s="1"/>
  <c r="M44" i="2" s="1"/>
  <c r="L23" i="2"/>
  <c r="K23" i="2"/>
  <c r="J23" i="2"/>
  <c r="I23" i="2"/>
  <c r="H23" i="2"/>
  <c r="G23" i="2"/>
  <c r="F23" i="2"/>
  <c r="E23" i="2"/>
  <c r="D23" i="2"/>
  <c r="C23" i="2"/>
  <c r="BA22" i="2"/>
  <c r="BA43" i="2" s="1"/>
  <c r="AZ22" i="2"/>
  <c r="AZ43" i="2" s="1"/>
  <c r="AZ44" i="2" s="1"/>
  <c r="AY22" i="2"/>
  <c r="AY43" i="2" s="1"/>
  <c r="AY44" i="2" s="1"/>
  <c r="AX22" i="2"/>
  <c r="AX43" i="2" s="1"/>
  <c r="AW22" i="2"/>
  <c r="AV22" i="2"/>
  <c r="AU22" i="2"/>
  <c r="AU43" i="2" s="1"/>
  <c r="AU44" i="2" s="1"/>
  <c r="AT22" i="2"/>
  <c r="AS22" i="2"/>
  <c r="AS43" i="2" s="1"/>
  <c r="AS44" i="2" s="1"/>
  <c r="AR22" i="2"/>
  <c r="AR43" i="2" s="1"/>
  <c r="AR44" i="2" s="1"/>
  <c r="AQ22" i="2"/>
  <c r="AP22" i="2"/>
  <c r="AP43" i="2" s="1"/>
  <c r="AP44" i="2" s="1"/>
  <c r="AO22" i="2"/>
  <c r="AN22" i="2"/>
  <c r="AN43" i="2" s="1"/>
  <c r="AN44" i="2" s="1"/>
  <c r="AM22" i="2"/>
  <c r="AM43" i="2" s="1"/>
  <c r="AM44" i="2" s="1"/>
  <c r="AL22" i="2"/>
  <c r="AK22" i="2"/>
  <c r="AJ22" i="2"/>
  <c r="AJ43" i="2" s="1"/>
  <c r="AJ44" i="2" s="1"/>
  <c r="AI22" i="2"/>
  <c r="AI43" i="2" s="1"/>
  <c r="AH22" i="2"/>
  <c r="AH43" i="2" s="1"/>
  <c r="AH44" i="2" s="1"/>
  <c r="AG22" i="2"/>
  <c r="AF22" i="2"/>
  <c r="AE22" i="2"/>
  <c r="AE43" i="2" s="1"/>
  <c r="AE44" i="2" s="1"/>
  <c r="AD22" i="2"/>
  <c r="AD43" i="2" s="1"/>
  <c r="AD44" i="2" s="1"/>
  <c r="AC22" i="2"/>
  <c r="AC43" i="2" s="1"/>
  <c r="AC44" i="2" s="1"/>
  <c r="AB22" i="2"/>
  <c r="AB43" i="2" s="1"/>
  <c r="AB44" i="2" s="1"/>
  <c r="AA22" i="2"/>
  <c r="Z22" i="2"/>
  <c r="Y22" i="2"/>
  <c r="X22" i="2"/>
  <c r="X43" i="2" s="1"/>
  <c r="W22" i="2"/>
  <c r="W43" i="2" s="1"/>
  <c r="W44" i="2" s="1"/>
  <c r="V22" i="2"/>
  <c r="V43" i="2" s="1"/>
  <c r="V44" i="2" s="1"/>
  <c r="U22" i="2"/>
  <c r="U43" i="2" s="1"/>
  <c r="U44" i="2" s="1"/>
  <c r="T22" i="2"/>
  <c r="T43" i="2" s="1"/>
  <c r="T44" i="2" s="1"/>
  <c r="S22" i="2"/>
  <c r="R22" i="2"/>
  <c r="R43" i="2" s="1"/>
  <c r="Q22" i="2"/>
  <c r="P22" i="2"/>
  <c r="P43" i="2" s="1"/>
  <c r="P44" i="2" s="1"/>
  <c r="O22" i="2"/>
  <c r="O43" i="2" s="1"/>
  <c r="O44" i="2" s="1"/>
  <c r="N22" i="2"/>
  <c r="M22" i="2"/>
  <c r="L22" i="2"/>
  <c r="K22" i="2"/>
  <c r="K43" i="2" s="1"/>
  <c r="K44" i="2" s="1"/>
  <c r="J22" i="2"/>
  <c r="J43" i="2" s="1"/>
  <c r="J44" i="2" s="1"/>
  <c r="I22" i="2"/>
  <c r="I43" i="2" s="1"/>
  <c r="I44" i="2" s="1"/>
  <c r="H22" i="2"/>
  <c r="H43" i="2" s="1"/>
  <c r="H44" i="2" s="1"/>
  <c r="G22" i="2"/>
  <c r="G43" i="2" s="1"/>
  <c r="G44" i="2" s="1"/>
  <c r="F22" i="2"/>
  <c r="F43" i="2" s="1"/>
  <c r="E22" i="2"/>
  <c r="E43" i="2" s="1"/>
  <c r="D22" i="2"/>
  <c r="D43" i="2" s="1"/>
  <c r="D44" i="2" s="1"/>
  <c r="C22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M40" i="2" s="1"/>
  <c r="AM41" i="2" s="1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Z40" i="2" s="1"/>
  <c r="Z41" i="2" s="1"/>
  <c r="Y19" i="2"/>
  <c r="X19" i="2"/>
  <c r="W19" i="2"/>
  <c r="V19" i="2"/>
  <c r="U19" i="2"/>
  <c r="T19" i="2"/>
  <c r="S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BA18" i="2"/>
  <c r="BA40" i="2" s="1"/>
  <c r="BA41" i="2" s="1"/>
  <c r="AZ18" i="2"/>
  <c r="AY18" i="2"/>
  <c r="AX18" i="2"/>
  <c r="AX40" i="2" s="1"/>
  <c r="AW18" i="2"/>
  <c r="AW40" i="2" s="1"/>
  <c r="AW41" i="2" s="1"/>
  <c r="AV18" i="2"/>
  <c r="AU18" i="2"/>
  <c r="AU40" i="2" s="1"/>
  <c r="AU41" i="2" s="1"/>
  <c r="AT18" i="2"/>
  <c r="AS18" i="2"/>
  <c r="AS40" i="2" s="1"/>
  <c r="AS41" i="2" s="1"/>
  <c r="AR18" i="2"/>
  <c r="AQ18" i="2"/>
  <c r="AP18" i="2"/>
  <c r="AP40" i="2" s="1"/>
  <c r="AP41" i="2" s="1"/>
  <c r="AO18" i="2"/>
  <c r="AO40" i="2" s="1"/>
  <c r="AO41" i="2" s="1"/>
  <c r="AN18" i="2"/>
  <c r="AN40" i="2" s="1"/>
  <c r="AN41" i="2" s="1"/>
  <c r="AM18" i="2"/>
  <c r="AL18" i="2"/>
  <c r="AK18" i="2"/>
  <c r="AK40" i="2" s="1"/>
  <c r="AK41" i="2" s="1"/>
  <c r="AJ18" i="2"/>
  <c r="AJ40" i="2" s="1"/>
  <c r="AJ41" i="2" s="1"/>
  <c r="AI18" i="2"/>
  <c r="AI40" i="2" s="1"/>
  <c r="AI41" i="2" s="1"/>
  <c r="AH18" i="2"/>
  <c r="AH40" i="2" s="1"/>
  <c r="AH41" i="2" s="1"/>
  <c r="AG18" i="2"/>
  <c r="AF18" i="2"/>
  <c r="AE18" i="2"/>
  <c r="AD18" i="2"/>
  <c r="AD40" i="2" s="1"/>
  <c r="AD41" i="2" s="1"/>
  <c r="AC18" i="2"/>
  <c r="AC40" i="2" s="1"/>
  <c r="AC41" i="2" s="1"/>
  <c r="AB18" i="2"/>
  <c r="AB40" i="2" s="1"/>
  <c r="AA18" i="2"/>
  <c r="AA40" i="2" s="1"/>
  <c r="AA41" i="2" s="1"/>
  <c r="Z18" i="2"/>
  <c r="X18" i="2"/>
  <c r="X40" i="2" s="1"/>
  <c r="X41" i="2" s="1"/>
  <c r="W18" i="2"/>
  <c r="W40" i="2" s="1"/>
  <c r="U18" i="2"/>
  <c r="T18" i="2"/>
  <c r="S18" i="2"/>
  <c r="R18" i="2"/>
  <c r="Q18" i="2"/>
  <c r="Q40" i="2" s="1"/>
  <c r="Q41" i="2" s="1"/>
  <c r="P18" i="2"/>
  <c r="P40" i="2" s="1"/>
  <c r="P41" i="2" s="1"/>
  <c r="O18" i="2"/>
  <c r="O40" i="2" s="1"/>
  <c r="O41" i="2" s="1"/>
  <c r="N18" i="2"/>
  <c r="N40" i="2" s="1"/>
  <c r="M18" i="2"/>
  <c r="L18" i="2"/>
  <c r="K18" i="2"/>
  <c r="K40" i="2" s="1"/>
  <c r="K41" i="2" s="1"/>
  <c r="J18" i="2"/>
  <c r="J40" i="2" s="1"/>
  <c r="J41" i="2" s="1"/>
  <c r="I18" i="2"/>
  <c r="H18" i="2"/>
  <c r="G18" i="2"/>
  <c r="G40" i="2" s="1"/>
  <c r="G41" i="2" s="1"/>
  <c r="F18" i="2"/>
  <c r="F40" i="2" s="1"/>
  <c r="F41" i="2" s="1"/>
  <c r="E18" i="2"/>
  <c r="E40" i="2" s="1"/>
  <c r="E41" i="2" s="1"/>
  <c r="D18" i="2"/>
  <c r="D40" i="2" s="1"/>
  <c r="D41" i="2" s="1"/>
  <c r="C18" i="2"/>
  <c r="AU17" i="2"/>
  <c r="AJ17" i="2"/>
  <c r="AE17" i="2"/>
  <c r="Y17" i="2"/>
  <c r="Y18" i="2" s="1"/>
  <c r="Y40" i="2" s="1"/>
  <c r="Y41" i="2" s="1"/>
  <c r="V17" i="2"/>
  <c r="V18" i="2" s="1"/>
  <c r="V40" i="2" s="1"/>
  <c r="V41" i="2" s="1"/>
  <c r="R17" i="2"/>
  <c r="BA15" i="2"/>
  <c r="AZ15" i="2"/>
  <c r="AY15" i="2"/>
  <c r="AX15" i="2"/>
  <c r="AW15" i="2"/>
  <c r="AV15" i="2"/>
  <c r="AU15" i="2"/>
  <c r="AS15" i="2"/>
  <c r="AQ15" i="2"/>
  <c r="AQ37" i="2" s="1"/>
  <c r="AQ38" i="2" s="1"/>
  <c r="AP15" i="2"/>
  <c r="AN15" i="2"/>
  <c r="AL15" i="2"/>
  <c r="AK15" i="2"/>
  <c r="AK37" i="2" s="1"/>
  <c r="AK38" i="2" s="1"/>
  <c r="AJ15" i="2"/>
  <c r="AI15" i="2"/>
  <c r="AH15" i="2"/>
  <c r="AG15" i="2"/>
  <c r="AF15" i="2"/>
  <c r="AE15" i="2"/>
  <c r="AE37" i="2" s="1"/>
  <c r="AE38" i="2" s="1"/>
  <c r="AD15" i="2"/>
  <c r="AC15" i="2"/>
  <c r="AB15" i="2"/>
  <c r="AA15" i="2"/>
  <c r="Z15" i="2"/>
  <c r="Y15" i="2"/>
  <c r="X15" i="2"/>
  <c r="W15" i="2"/>
  <c r="V15" i="2"/>
  <c r="U15" i="2"/>
  <c r="T15" i="2"/>
  <c r="T37" i="2" s="1"/>
  <c r="T38" i="2" s="1"/>
  <c r="S15" i="2"/>
  <c r="S37" i="2" s="1"/>
  <c r="S38" i="2" s="1"/>
  <c r="R15" i="2"/>
  <c r="Q15" i="2"/>
  <c r="P15" i="2"/>
  <c r="O15" i="2"/>
  <c r="N15" i="2"/>
  <c r="M15" i="2"/>
  <c r="L15" i="2"/>
  <c r="K15" i="2"/>
  <c r="J15" i="2"/>
  <c r="I15" i="2"/>
  <c r="H15" i="2"/>
  <c r="H37" i="2" s="1"/>
  <c r="H38" i="2" s="1"/>
  <c r="G15" i="2"/>
  <c r="F15" i="2"/>
  <c r="E15" i="2"/>
  <c r="D15" i="2"/>
  <c r="C15" i="2"/>
  <c r="BA14" i="2"/>
  <c r="BA37" i="2" s="1"/>
  <c r="BA38" i="2" s="1"/>
  <c r="AZ14" i="2"/>
  <c r="AZ37" i="2" s="1"/>
  <c r="AZ38" i="2" s="1"/>
  <c r="AY14" i="2"/>
  <c r="AY37" i="2" s="1"/>
  <c r="AY38" i="2" s="1"/>
  <c r="AX14" i="2"/>
  <c r="AW14" i="2"/>
  <c r="AV14" i="2"/>
  <c r="AV37" i="2" s="1"/>
  <c r="AV38" i="2" s="1"/>
  <c r="AU14" i="2"/>
  <c r="AU37" i="2" s="1"/>
  <c r="AU38" i="2" s="1"/>
  <c r="AT14" i="2"/>
  <c r="AT37" i="2" s="1"/>
  <c r="AT38" i="2" s="1"/>
  <c r="AS14" i="2"/>
  <c r="AR14" i="2"/>
  <c r="AQ14" i="2"/>
  <c r="AP14" i="2"/>
  <c r="AO14" i="2"/>
  <c r="AN14" i="2"/>
  <c r="AN37" i="2" s="1"/>
  <c r="AN38" i="2" s="1"/>
  <c r="AM14" i="2"/>
  <c r="AL14" i="2"/>
  <c r="AK14" i="2"/>
  <c r="AI14" i="2"/>
  <c r="AI37" i="2" s="1"/>
  <c r="AI38" i="2" s="1"/>
  <c r="AH14" i="2"/>
  <c r="AH37" i="2" s="1"/>
  <c r="AH38" i="2" s="1"/>
  <c r="AG14" i="2"/>
  <c r="AG37" i="2" s="1"/>
  <c r="AF14" i="2"/>
  <c r="AE14" i="2"/>
  <c r="AD14" i="2"/>
  <c r="AD37" i="2" s="1"/>
  <c r="AD38" i="2" s="1"/>
  <c r="AC14" i="2"/>
  <c r="AC37" i="2" s="1"/>
  <c r="AC38" i="2" s="1"/>
  <c r="AB14" i="2"/>
  <c r="AB37" i="2" s="1"/>
  <c r="AB38" i="2" s="1"/>
  <c r="AA14" i="2"/>
  <c r="Y14" i="2"/>
  <c r="Y37" i="2" s="1"/>
  <c r="X14" i="2"/>
  <c r="W14" i="2"/>
  <c r="V14" i="2"/>
  <c r="V37" i="2" s="1"/>
  <c r="V38" i="2" s="1"/>
  <c r="U14" i="2"/>
  <c r="U37" i="2" s="1"/>
  <c r="U38" i="2" s="1"/>
  <c r="T14" i="2"/>
  <c r="S14" i="2"/>
  <c r="R14" i="2"/>
  <c r="Q14" i="2"/>
  <c r="Q37" i="2" s="1"/>
  <c r="Q38" i="2" s="1"/>
  <c r="P14" i="2"/>
  <c r="P37" i="2" s="1"/>
  <c r="P38" i="2" s="1"/>
  <c r="O14" i="2"/>
  <c r="O37" i="2" s="1"/>
  <c r="O38" i="2" s="1"/>
  <c r="N14" i="2"/>
  <c r="M14" i="2"/>
  <c r="M37" i="2" s="1"/>
  <c r="M38" i="2" s="1"/>
  <c r="K14" i="2"/>
  <c r="K37" i="2" s="1"/>
  <c r="J14" i="2"/>
  <c r="J37" i="2" s="1"/>
  <c r="J38" i="2" s="1"/>
  <c r="I14" i="2"/>
  <c r="I37" i="2" s="1"/>
  <c r="I38" i="2" s="1"/>
  <c r="H14" i="2"/>
  <c r="F14" i="2"/>
  <c r="F37" i="2" s="1"/>
  <c r="F38" i="2" s="1"/>
  <c r="E14" i="2"/>
  <c r="E37" i="2" s="1"/>
  <c r="E38" i="2" s="1"/>
  <c r="D14" i="2"/>
  <c r="D37" i="2" s="1"/>
  <c r="D38" i="2" s="1"/>
  <c r="C14" i="2"/>
  <c r="C37" i="2" s="1"/>
  <c r="C38" i="2" s="1"/>
  <c r="BA13" i="2"/>
  <c r="AU13" i="2"/>
  <c r="AS13" i="2"/>
  <c r="AJ13" i="2"/>
  <c r="AJ14" i="2" s="1"/>
  <c r="AJ37" i="2" s="1"/>
  <c r="AJ38" i="2" s="1"/>
  <c r="AI13" i="2"/>
  <c r="AG13" i="2"/>
  <c r="AD13" i="2"/>
  <c r="AC13" i="2"/>
  <c r="Z13" i="2"/>
  <c r="Z14" i="2" s="1"/>
  <c r="L13" i="2"/>
  <c r="L14" i="2" s="1"/>
  <c r="L37" i="2" s="1"/>
  <c r="L38" i="2" s="1"/>
  <c r="G13" i="2"/>
  <c r="G14" i="2" s="1"/>
  <c r="G37" i="2" s="1"/>
  <c r="G38" i="2" s="1"/>
  <c r="BA11" i="2"/>
  <c r="AZ11" i="2"/>
  <c r="AY11" i="2"/>
  <c r="AX11" i="2"/>
  <c r="AW11" i="2"/>
  <c r="AV11" i="2"/>
  <c r="AU11" i="2"/>
  <c r="AT11" i="2"/>
  <c r="AS11" i="2"/>
  <c r="AQ11" i="2"/>
  <c r="AP11" i="2"/>
  <c r="AO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X34" i="2" s="1"/>
  <c r="W11" i="2"/>
  <c r="V11" i="2"/>
  <c r="U11" i="2"/>
  <c r="T11" i="2"/>
  <c r="S11" i="2"/>
  <c r="R11" i="2"/>
  <c r="Q11" i="2"/>
  <c r="P11" i="2"/>
  <c r="O11" i="2"/>
  <c r="N11" i="2"/>
  <c r="N34" i="2" s="1"/>
  <c r="M11" i="2"/>
  <c r="L11" i="2"/>
  <c r="L34" i="2" s="1"/>
  <c r="K11" i="2"/>
  <c r="J11" i="2"/>
  <c r="I11" i="2"/>
  <c r="H11" i="2"/>
  <c r="G11" i="2"/>
  <c r="F11" i="2"/>
  <c r="E11" i="2"/>
  <c r="D11" i="2"/>
  <c r="C11" i="2"/>
  <c r="BA10" i="2"/>
  <c r="BA34" i="2" s="1"/>
  <c r="AZ10" i="2"/>
  <c r="AZ34" i="2" s="1"/>
  <c r="AY10" i="2"/>
  <c r="AY34" i="2" s="1"/>
  <c r="AY46" i="2" s="1"/>
  <c r="AX10" i="2"/>
  <c r="AW10" i="2"/>
  <c r="AV10" i="2"/>
  <c r="AU10" i="2"/>
  <c r="AU34" i="2" s="1"/>
  <c r="AT10" i="2"/>
  <c r="AT34" i="2" s="1"/>
  <c r="AQ10" i="2"/>
  <c r="AP10" i="2"/>
  <c r="AP34" i="2" s="1"/>
  <c r="AO10" i="2"/>
  <c r="AN10" i="2"/>
  <c r="AN34" i="2" s="1"/>
  <c r="AN35" i="2" s="1"/>
  <c r="AM10" i="2"/>
  <c r="AL10" i="2"/>
  <c r="AK10" i="2"/>
  <c r="AI10" i="2"/>
  <c r="AI34" i="2" s="1"/>
  <c r="AH10" i="2"/>
  <c r="AH34" i="2" s="1"/>
  <c r="AF10" i="2"/>
  <c r="AF34" i="2" s="1"/>
  <c r="AE10" i="2"/>
  <c r="AE34" i="2" s="1"/>
  <c r="AE35" i="2" s="1"/>
  <c r="AD10" i="2"/>
  <c r="AC10" i="2"/>
  <c r="AC34" i="2" s="1"/>
  <c r="AB10" i="2"/>
  <c r="AB34" i="2" s="1"/>
  <c r="AA10" i="2"/>
  <c r="AA34" i="2" s="1"/>
  <c r="Z10" i="2"/>
  <c r="Z34" i="2" s="1"/>
  <c r="Y10" i="2"/>
  <c r="Y34" i="2" s="1"/>
  <c r="X10" i="2"/>
  <c r="W10" i="2"/>
  <c r="W34" i="2" s="1"/>
  <c r="V10" i="2"/>
  <c r="V34" i="2" s="1"/>
  <c r="U10" i="2"/>
  <c r="U34" i="2" s="1"/>
  <c r="T10" i="2"/>
  <c r="T34" i="2" s="1"/>
  <c r="S10" i="2"/>
  <c r="S34" i="2" s="1"/>
  <c r="R10" i="2"/>
  <c r="R34" i="2" s="1"/>
  <c r="Q10" i="2"/>
  <c r="Q34" i="2" s="1"/>
  <c r="P10" i="2"/>
  <c r="P34" i="2" s="1"/>
  <c r="P35" i="2" s="1"/>
  <c r="O10" i="2"/>
  <c r="O34" i="2" s="1"/>
  <c r="N10" i="2"/>
  <c r="M10" i="2"/>
  <c r="M34" i="2" s="1"/>
  <c r="L10" i="2"/>
  <c r="K10" i="2"/>
  <c r="K34" i="2" s="1"/>
  <c r="K35" i="2" s="1"/>
  <c r="J10" i="2"/>
  <c r="J34" i="2" s="1"/>
  <c r="I10" i="2"/>
  <c r="I34" i="2" s="1"/>
  <c r="H10" i="2"/>
  <c r="H34" i="2" s="1"/>
  <c r="G10" i="2"/>
  <c r="G34" i="2" s="1"/>
  <c r="F10" i="2"/>
  <c r="F34" i="2" s="1"/>
  <c r="E10" i="2"/>
  <c r="E34" i="2" s="1"/>
  <c r="D10" i="2"/>
  <c r="D34" i="2" s="1"/>
  <c r="C10" i="2"/>
  <c r="C34" i="2" s="1"/>
  <c r="AT9" i="2"/>
  <c r="AS9" i="2"/>
  <c r="AS10" i="2" s="1"/>
  <c r="AS34" i="2" s="1"/>
  <c r="AR9" i="2"/>
  <c r="AR10" i="2" s="1"/>
  <c r="AO9" i="2"/>
  <c r="AN9" i="2"/>
  <c r="AJ9" i="2"/>
  <c r="AJ10" i="2" s="1"/>
  <c r="AJ34" i="2" s="1"/>
  <c r="AG9" i="2"/>
  <c r="AG10" i="2" s="1"/>
  <c r="AG34" i="2" s="1"/>
  <c r="AN7" i="2"/>
  <c r="AM7" i="2"/>
  <c r="AL7" i="2"/>
  <c r="AG7" i="2"/>
  <c r="AF7" i="2"/>
  <c r="AE7" i="2"/>
  <c r="W7" i="2"/>
  <c r="W61" i="2" s="1"/>
  <c r="C7" i="2"/>
  <c r="AZ6" i="2"/>
  <c r="AW6" i="2"/>
  <c r="AW32" i="2" s="1"/>
  <c r="AV6" i="2"/>
  <c r="AT6" i="2"/>
  <c r="AR6" i="2"/>
  <c r="G44" i="1" s="1"/>
  <c r="AQ6" i="2"/>
  <c r="F49" i="1" s="1"/>
  <c r="AP6" i="2"/>
  <c r="AO6" i="2"/>
  <c r="AN6" i="2"/>
  <c r="AM6" i="2"/>
  <c r="AM32" i="2" s="1"/>
  <c r="D45" i="1" s="1"/>
  <c r="AG6" i="2"/>
  <c r="AE6" i="2"/>
  <c r="AE32" i="2" s="1"/>
  <c r="W6" i="2"/>
  <c r="C6" i="2"/>
  <c r="N59" i="1"/>
  <c r="M59" i="1"/>
  <c r="H59" i="1"/>
  <c r="N58" i="1"/>
  <c r="M58" i="1"/>
  <c r="J58" i="1"/>
  <c r="I58" i="1"/>
  <c r="H58" i="1"/>
  <c r="G58" i="1"/>
  <c r="F58" i="1"/>
  <c r="D58" i="1"/>
  <c r="N57" i="1"/>
  <c r="M57" i="1"/>
  <c r="L57" i="1"/>
  <c r="K57" i="1"/>
  <c r="J57" i="1"/>
  <c r="I57" i="1"/>
  <c r="H57" i="1"/>
  <c r="N56" i="1"/>
  <c r="M56" i="1"/>
  <c r="J56" i="1"/>
  <c r="I56" i="1"/>
  <c r="H56" i="1"/>
  <c r="G56" i="1"/>
  <c r="D56" i="1"/>
  <c r="N55" i="1"/>
  <c r="M55" i="1"/>
  <c r="J55" i="1"/>
  <c r="I55" i="1"/>
  <c r="H55" i="1"/>
  <c r="N54" i="1"/>
  <c r="M54" i="1"/>
  <c r="L54" i="1"/>
  <c r="J54" i="1"/>
  <c r="I54" i="1"/>
  <c r="H54" i="1"/>
  <c r="D54" i="1"/>
  <c r="N53" i="1"/>
  <c r="M53" i="1"/>
  <c r="K53" i="1"/>
  <c r="J53" i="1"/>
  <c r="I53" i="1"/>
  <c r="H53" i="1"/>
  <c r="N52" i="1"/>
  <c r="M52" i="1"/>
  <c r="L52" i="1"/>
  <c r="K52" i="1"/>
  <c r="J52" i="1"/>
  <c r="I52" i="1"/>
  <c r="H52" i="1"/>
  <c r="G52" i="1"/>
  <c r="F52" i="1"/>
  <c r="D52" i="1"/>
  <c r="N51" i="1"/>
  <c r="M51" i="1"/>
  <c r="J51" i="1"/>
  <c r="I51" i="1"/>
  <c r="H51" i="1"/>
  <c r="N50" i="1"/>
  <c r="M50" i="1"/>
  <c r="J50" i="1"/>
  <c r="I50" i="1"/>
  <c r="H50" i="1"/>
  <c r="G50" i="1"/>
  <c r="F50" i="1"/>
  <c r="N49" i="1"/>
  <c r="M49" i="1"/>
  <c r="L49" i="1"/>
  <c r="J49" i="1"/>
  <c r="I49" i="1"/>
  <c r="H49" i="1"/>
  <c r="N48" i="1"/>
  <c r="M48" i="1"/>
  <c r="L48" i="1"/>
  <c r="K48" i="1"/>
  <c r="H48" i="1"/>
  <c r="D48" i="1"/>
  <c r="N47" i="1"/>
  <c r="M47" i="1"/>
  <c r="L47" i="1"/>
  <c r="J47" i="1"/>
  <c r="I47" i="1"/>
  <c r="H47" i="1"/>
  <c r="N46" i="1"/>
  <c r="M46" i="1"/>
  <c r="K46" i="1"/>
  <c r="J46" i="1"/>
  <c r="I46" i="1"/>
  <c r="H46" i="1"/>
  <c r="N45" i="1"/>
  <c r="M45" i="1"/>
  <c r="L45" i="1"/>
  <c r="H45" i="1"/>
  <c r="N44" i="1"/>
  <c r="M44" i="1"/>
  <c r="L44" i="1"/>
  <c r="J44" i="1"/>
  <c r="I44" i="1"/>
  <c r="H44" i="1"/>
  <c r="F44" i="1"/>
  <c r="N43" i="1"/>
  <c r="M43" i="1"/>
  <c r="K43" i="1"/>
  <c r="J43" i="1"/>
  <c r="I43" i="1"/>
  <c r="H43" i="1"/>
  <c r="G43" i="1"/>
  <c r="N42" i="1"/>
  <c r="M42" i="1"/>
  <c r="K42" i="1"/>
  <c r="J42" i="1"/>
  <c r="I42" i="1"/>
  <c r="H42" i="1"/>
  <c r="G42" i="1"/>
  <c r="F42" i="1"/>
  <c r="D42" i="1"/>
  <c r="N41" i="1"/>
  <c r="M41" i="1"/>
  <c r="L41" i="1"/>
  <c r="K41" i="1"/>
  <c r="J41" i="1"/>
  <c r="I41" i="1"/>
  <c r="H41" i="1"/>
  <c r="G41" i="1"/>
  <c r="F41" i="1"/>
  <c r="D41" i="1"/>
  <c r="N40" i="1"/>
  <c r="M40" i="1"/>
  <c r="J40" i="1"/>
  <c r="I40" i="1"/>
  <c r="H40" i="1"/>
  <c r="G40" i="1"/>
  <c r="F40" i="1"/>
  <c r="N39" i="1"/>
  <c r="M39" i="1"/>
  <c r="H39" i="1"/>
  <c r="G39" i="1"/>
  <c r="F39" i="1"/>
  <c r="D39" i="1"/>
  <c r="N38" i="1"/>
  <c r="M38" i="1"/>
  <c r="H38" i="1"/>
  <c r="N37" i="1"/>
  <c r="M37" i="1"/>
  <c r="L37" i="1"/>
  <c r="H37" i="1"/>
  <c r="D37" i="1"/>
  <c r="N36" i="1"/>
  <c r="M36" i="1"/>
  <c r="L36" i="1"/>
  <c r="K36" i="1"/>
  <c r="J36" i="1"/>
  <c r="I36" i="1"/>
  <c r="H36" i="1"/>
  <c r="G36" i="1"/>
  <c r="D36" i="1"/>
  <c r="N35" i="1"/>
  <c r="M35" i="1"/>
  <c r="J35" i="1"/>
  <c r="I35" i="1"/>
  <c r="H35" i="1"/>
  <c r="G35" i="1"/>
  <c r="D35" i="1"/>
  <c r="N34" i="1"/>
  <c r="M34" i="1"/>
  <c r="L34" i="1"/>
  <c r="K34" i="1"/>
  <c r="J34" i="1"/>
  <c r="I34" i="1"/>
  <c r="H34" i="1"/>
  <c r="G34" i="1"/>
  <c r="D34" i="1"/>
  <c r="N33" i="1"/>
  <c r="M33" i="1"/>
  <c r="L33" i="1"/>
  <c r="J33" i="1"/>
  <c r="I33" i="1"/>
  <c r="H33" i="1"/>
  <c r="G33" i="1"/>
  <c r="F33" i="1"/>
  <c r="D33" i="1"/>
  <c r="N32" i="1"/>
  <c r="M32" i="1"/>
  <c r="J32" i="1"/>
  <c r="I32" i="1"/>
  <c r="H32" i="1"/>
  <c r="G32" i="1"/>
  <c r="N31" i="1"/>
  <c r="M31" i="1"/>
  <c r="J31" i="1"/>
  <c r="I31" i="1"/>
  <c r="H31" i="1"/>
  <c r="G31" i="1"/>
  <c r="N30" i="1"/>
  <c r="M30" i="1"/>
  <c r="K30" i="1"/>
  <c r="J30" i="1"/>
  <c r="I30" i="1"/>
  <c r="H30" i="1"/>
  <c r="G30" i="1"/>
  <c r="F30" i="1"/>
  <c r="N29" i="1"/>
  <c r="M29" i="1"/>
  <c r="L29" i="1"/>
  <c r="K29" i="1"/>
  <c r="J29" i="1"/>
  <c r="H29" i="1"/>
  <c r="F29" i="1"/>
  <c r="N28" i="1"/>
  <c r="M28" i="1"/>
  <c r="J28" i="1"/>
  <c r="I28" i="1"/>
  <c r="H28" i="1"/>
  <c r="G28" i="1"/>
  <c r="F28" i="1"/>
  <c r="N27" i="1"/>
  <c r="M27" i="1"/>
  <c r="J27" i="1"/>
  <c r="I27" i="1"/>
  <c r="H27" i="1"/>
  <c r="G27" i="1"/>
  <c r="F27" i="1"/>
  <c r="N26" i="1"/>
  <c r="M26" i="1"/>
  <c r="L26" i="1"/>
  <c r="J26" i="1"/>
  <c r="I26" i="1"/>
  <c r="H26" i="1"/>
  <c r="G26" i="1"/>
  <c r="F26" i="1"/>
  <c r="N25" i="1"/>
  <c r="M25" i="1"/>
  <c r="L25" i="1"/>
  <c r="J25" i="1"/>
  <c r="I25" i="1"/>
  <c r="H25" i="1"/>
  <c r="G25" i="1"/>
  <c r="F25" i="1"/>
  <c r="D25" i="1"/>
  <c r="N24" i="1"/>
  <c r="M24" i="1"/>
  <c r="L24" i="1"/>
  <c r="K24" i="1"/>
  <c r="J24" i="1"/>
  <c r="I24" i="1"/>
  <c r="H24" i="1"/>
  <c r="N23" i="1"/>
  <c r="M23" i="1"/>
  <c r="J23" i="1"/>
  <c r="I23" i="1"/>
  <c r="H23" i="1"/>
  <c r="G23" i="1"/>
  <c r="D23" i="1"/>
  <c r="N22" i="1"/>
  <c r="M22" i="1"/>
  <c r="L22" i="1"/>
  <c r="J22" i="1"/>
  <c r="I22" i="1"/>
  <c r="H22" i="1"/>
  <c r="G22" i="1"/>
  <c r="F22" i="1"/>
  <c r="D22" i="1"/>
  <c r="N21" i="1"/>
  <c r="M21" i="1"/>
  <c r="L21" i="1"/>
  <c r="J21" i="1"/>
  <c r="I21" i="1"/>
  <c r="H21" i="1"/>
  <c r="G21" i="1"/>
  <c r="D21" i="1"/>
  <c r="N20" i="1"/>
  <c r="M20" i="1"/>
  <c r="J20" i="1"/>
  <c r="I20" i="1"/>
  <c r="H20" i="1"/>
  <c r="G20" i="1"/>
  <c r="N19" i="1"/>
  <c r="M19" i="1"/>
  <c r="L19" i="1"/>
  <c r="K19" i="1"/>
  <c r="J19" i="1"/>
  <c r="I19" i="1"/>
  <c r="H19" i="1"/>
  <c r="G19" i="1"/>
  <c r="N18" i="1"/>
  <c r="M18" i="1"/>
  <c r="K18" i="1"/>
  <c r="J18" i="1"/>
  <c r="I18" i="1"/>
  <c r="H18" i="1"/>
  <c r="G18" i="1"/>
  <c r="F18" i="1"/>
  <c r="N17" i="1"/>
  <c r="M17" i="1"/>
  <c r="L17" i="1"/>
  <c r="K17" i="1"/>
  <c r="J17" i="1"/>
  <c r="I17" i="1"/>
  <c r="H17" i="1"/>
  <c r="G17" i="1"/>
  <c r="F17" i="1"/>
  <c r="D17" i="1"/>
  <c r="N16" i="1"/>
  <c r="M16" i="1"/>
  <c r="J16" i="1"/>
  <c r="I16" i="1"/>
  <c r="H16" i="1"/>
  <c r="G16" i="1"/>
  <c r="F16" i="1"/>
  <c r="N15" i="1"/>
  <c r="M15" i="1"/>
  <c r="J15" i="1"/>
  <c r="I15" i="1"/>
  <c r="H15" i="1"/>
  <c r="G15" i="1"/>
  <c r="F15" i="1"/>
  <c r="N14" i="1"/>
  <c r="M14" i="1"/>
  <c r="J14" i="1"/>
  <c r="I14" i="1"/>
  <c r="H14" i="1"/>
  <c r="G14" i="1"/>
  <c r="F14" i="1"/>
  <c r="D14" i="1"/>
  <c r="N13" i="1"/>
  <c r="M13" i="1"/>
  <c r="L13" i="1"/>
  <c r="K13" i="1"/>
  <c r="J13" i="1"/>
  <c r="I13" i="1"/>
  <c r="H13" i="1"/>
  <c r="G13" i="1"/>
  <c r="D13" i="1"/>
  <c r="N12" i="1"/>
  <c r="M12" i="1"/>
  <c r="L12" i="1"/>
  <c r="K12" i="1"/>
  <c r="J12" i="1"/>
  <c r="I12" i="1"/>
  <c r="H12" i="1"/>
  <c r="G12" i="1"/>
  <c r="F12" i="1"/>
  <c r="D12" i="1"/>
  <c r="N11" i="1"/>
  <c r="M11" i="1"/>
  <c r="K11" i="1"/>
  <c r="J11" i="1"/>
  <c r="I11" i="1"/>
  <c r="H11" i="1"/>
  <c r="G11" i="1"/>
  <c r="D11" i="1"/>
  <c r="N10" i="1"/>
  <c r="M10" i="1"/>
  <c r="L10" i="1"/>
  <c r="K10" i="1"/>
  <c r="J10" i="1"/>
  <c r="I10" i="1"/>
  <c r="H10" i="1"/>
  <c r="G10" i="1"/>
  <c r="D10" i="1"/>
  <c r="N9" i="1"/>
  <c r="M9" i="1"/>
  <c r="L9" i="1"/>
  <c r="H9" i="1"/>
  <c r="J8" i="1"/>
  <c r="I8" i="1"/>
  <c r="AS46" i="2" l="1"/>
  <c r="AS35" i="2"/>
  <c r="AP35" i="2"/>
  <c r="AC46" i="2"/>
  <c r="AC35" i="2"/>
  <c r="F55" i="1"/>
  <c r="AX32" i="2"/>
  <c r="D55" i="1" s="1"/>
  <c r="G55" i="1"/>
  <c r="M35" i="2"/>
  <c r="M46" i="2"/>
  <c r="BA46" i="2"/>
  <c r="BA35" i="2"/>
  <c r="E46" i="2"/>
  <c r="E35" i="2"/>
  <c r="AG46" i="2"/>
  <c r="AG35" i="2"/>
  <c r="F59" i="1"/>
  <c r="G59" i="1"/>
  <c r="AL32" i="2"/>
  <c r="D59" i="1" s="1"/>
  <c r="R35" i="2"/>
  <c r="AJ46" i="2"/>
  <c r="AJ35" i="2"/>
  <c r="Q46" i="2"/>
  <c r="Q35" i="2"/>
  <c r="F46" i="2"/>
  <c r="F35" i="2"/>
  <c r="Y35" i="2"/>
  <c r="Y46" i="2"/>
  <c r="N35" i="2"/>
  <c r="Z35" i="2"/>
  <c r="K38" i="2"/>
  <c r="K46" i="2"/>
  <c r="L46" i="2"/>
  <c r="L35" i="2"/>
  <c r="X46" i="2"/>
  <c r="X35" i="2"/>
  <c r="G46" i="1"/>
  <c r="F46" i="1"/>
  <c r="AF61" i="2"/>
  <c r="J38" i="1" s="1"/>
  <c r="AF60" i="2"/>
  <c r="I38" i="1" s="1"/>
  <c r="O46" i="2"/>
  <c r="AK35" i="2"/>
  <c r="J46" i="2"/>
  <c r="K55" i="1"/>
  <c r="G47" i="1"/>
  <c r="AP32" i="2"/>
  <c r="D47" i="1" s="1"/>
  <c r="F47" i="1"/>
  <c r="AG60" i="2"/>
  <c r="I39" i="1" s="1"/>
  <c r="AG61" i="2"/>
  <c r="J39" i="1" s="1"/>
  <c r="D46" i="2"/>
  <c r="D35" i="2"/>
  <c r="AB35" i="2"/>
  <c r="AB46" i="2"/>
  <c r="O35" i="2"/>
  <c r="AX51" i="2"/>
  <c r="K32" i="1"/>
  <c r="AQ32" i="2"/>
  <c r="D49" i="1" s="1"/>
  <c r="G49" i="1"/>
  <c r="AL60" i="2"/>
  <c r="I59" i="1" s="1"/>
  <c r="AL61" i="2"/>
  <c r="J59" i="1" s="1"/>
  <c r="AO35" i="2"/>
  <c r="AT46" i="2"/>
  <c r="G9" i="1"/>
  <c r="F9" i="1"/>
  <c r="AM60" i="2"/>
  <c r="I45" i="1" s="1"/>
  <c r="AM61" i="2"/>
  <c r="J45" i="1" s="1"/>
  <c r="AQ34" i="2"/>
  <c r="Z37" i="2"/>
  <c r="Z38" i="2" s="1"/>
  <c r="AX41" i="2"/>
  <c r="AX35" i="2"/>
  <c r="N44" i="2"/>
  <c r="P46" i="2"/>
  <c r="AT32" i="2"/>
  <c r="D51" i="1" s="1"/>
  <c r="F51" i="1"/>
  <c r="AN61" i="2"/>
  <c r="J48" i="1" s="1"/>
  <c r="AN60" i="2"/>
  <c r="I48" i="1" s="1"/>
  <c r="G35" i="2"/>
  <c r="G46" i="2"/>
  <c r="S35" i="2"/>
  <c r="N41" i="2"/>
  <c r="AO32" i="2"/>
  <c r="D46" i="1" s="1"/>
  <c r="AV46" i="2"/>
  <c r="AV35" i="2"/>
  <c r="AY35" i="2"/>
  <c r="K14" i="1"/>
  <c r="H51" i="2"/>
  <c r="L14" i="1"/>
  <c r="H52" i="2"/>
  <c r="G34" i="3"/>
  <c r="K26" i="1"/>
  <c r="T51" i="2"/>
  <c r="S34" i="3"/>
  <c r="K38" i="1"/>
  <c r="AF51" i="2"/>
  <c r="L38" i="1"/>
  <c r="AF52" i="2"/>
  <c r="AE34" i="3"/>
  <c r="K44" i="1"/>
  <c r="AR51" i="2"/>
  <c r="AQ16" i="3"/>
  <c r="AQ15" i="3"/>
  <c r="G29" i="1"/>
  <c r="W32" i="2"/>
  <c r="D29" i="1" s="1"/>
  <c r="G53" i="1"/>
  <c r="AV32" i="2"/>
  <c r="D53" i="1" s="1"/>
  <c r="H35" i="2"/>
  <c r="H46" i="2"/>
  <c r="T46" i="2"/>
  <c r="T35" i="2"/>
  <c r="AF35" i="2"/>
  <c r="C32" i="2"/>
  <c r="D9" i="1" s="1"/>
  <c r="T32" i="2"/>
  <c r="D26" i="1" s="1"/>
  <c r="AR32" i="2"/>
  <c r="D44" i="1" s="1"/>
  <c r="AW35" i="2"/>
  <c r="AF38" i="2"/>
  <c r="H34" i="3"/>
  <c r="L15" i="1"/>
  <c r="I52" i="2"/>
  <c r="L27" i="1"/>
  <c r="U52" i="2"/>
  <c r="AF34" i="3"/>
  <c r="K39" i="1"/>
  <c r="AG51" i="2"/>
  <c r="K50" i="1"/>
  <c r="AS51" i="2"/>
  <c r="L50" i="1"/>
  <c r="AS52" i="2"/>
  <c r="AR34" i="3"/>
  <c r="F53" i="1"/>
  <c r="K15" i="1"/>
  <c r="L39" i="1"/>
  <c r="T34" i="3"/>
  <c r="AK9" i="3"/>
  <c r="I46" i="2"/>
  <c r="U46" i="2"/>
  <c r="AU46" i="2"/>
  <c r="U32" i="2"/>
  <c r="D27" i="1" s="1"/>
  <c r="AS32" i="2"/>
  <c r="D50" i="1" s="1"/>
  <c r="AX46" i="2"/>
  <c r="AA35" i="2"/>
  <c r="I41" i="2"/>
  <c r="Z44" i="2"/>
  <c r="J32" i="2"/>
  <c r="D16" i="1" s="1"/>
  <c r="K16" i="1"/>
  <c r="J51" i="2"/>
  <c r="L16" i="1"/>
  <c r="J52" i="2"/>
  <c r="I34" i="3"/>
  <c r="L28" i="1"/>
  <c r="V52" i="2"/>
  <c r="U34" i="3"/>
  <c r="V32" i="2"/>
  <c r="D28" i="1" s="1"/>
  <c r="AH32" i="2"/>
  <c r="D40" i="1" s="1"/>
  <c r="AG34" i="3"/>
  <c r="K40" i="1"/>
  <c r="AH51" i="2"/>
  <c r="L51" i="1"/>
  <c r="AT52" i="2"/>
  <c r="AS34" i="3"/>
  <c r="K51" i="1"/>
  <c r="AT51" i="2"/>
  <c r="I51" i="2"/>
  <c r="AG52" i="2"/>
  <c r="F54" i="1"/>
  <c r="L40" i="1"/>
  <c r="AF6" i="2"/>
  <c r="V46" i="2"/>
  <c r="AH46" i="2"/>
  <c r="AL37" i="2"/>
  <c r="AL38" i="2" s="1"/>
  <c r="Y43" i="2"/>
  <c r="Y44" i="2" s="1"/>
  <c r="AK43" i="2"/>
  <c r="AK44" i="2" s="1"/>
  <c r="AW43" i="2"/>
  <c r="AW44" i="2" s="1"/>
  <c r="AG41" i="2"/>
  <c r="AH52" i="2"/>
  <c r="G51" i="1"/>
  <c r="L20" i="1"/>
  <c r="G57" i="1"/>
  <c r="F57" i="1"/>
  <c r="W46" i="2"/>
  <c r="AI46" i="2"/>
  <c r="AE40" i="2"/>
  <c r="AE41" i="2" s="1"/>
  <c r="AQ40" i="2"/>
  <c r="AQ41" i="2" s="1"/>
  <c r="AL43" i="2"/>
  <c r="AL44" i="2" s="1"/>
  <c r="AX44" i="2"/>
  <c r="C35" i="2"/>
  <c r="AH35" i="2"/>
  <c r="F37" i="1"/>
  <c r="C61" i="2"/>
  <c r="J9" i="1" s="1"/>
  <c r="C60" i="2"/>
  <c r="I9" i="1" s="1"/>
  <c r="N37" i="2"/>
  <c r="N38" i="2" s="1"/>
  <c r="AA37" i="2"/>
  <c r="AA38" i="2" s="1"/>
  <c r="S40" i="2"/>
  <c r="S41" i="2" s="1"/>
  <c r="AF40" i="2"/>
  <c r="AF41" i="2" s="1"/>
  <c r="AR40" i="2"/>
  <c r="AR41" i="2" s="1"/>
  <c r="AZ32" i="2"/>
  <c r="D57" i="1" s="1"/>
  <c r="I35" i="2"/>
  <c r="AI35" i="2"/>
  <c r="L34" i="3"/>
  <c r="M32" i="2"/>
  <c r="D19" i="1" s="1"/>
  <c r="K31" i="1"/>
  <c r="Y51" i="2"/>
  <c r="L31" i="1"/>
  <c r="Y52" i="2"/>
  <c r="Y32" i="2"/>
  <c r="D31" i="1" s="1"/>
  <c r="X34" i="3"/>
  <c r="L43" i="1"/>
  <c r="AK52" i="2"/>
  <c r="AJ34" i="3"/>
  <c r="AK32" i="2"/>
  <c r="D43" i="1" s="1"/>
  <c r="M51" i="2"/>
  <c r="G54" i="1"/>
  <c r="G45" i="1"/>
  <c r="F45" i="1"/>
  <c r="AY63" i="2"/>
  <c r="AY47" i="2"/>
  <c r="AD46" i="2"/>
  <c r="AD35" i="2"/>
  <c r="K20" i="1"/>
  <c r="N51" i="2"/>
  <c r="M34" i="3"/>
  <c r="N32" i="2"/>
  <c r="D20" i="1" s="1"/>
  <c r="L32" i="1"/>
  <c r="Z52" i="2"/>
  <c r="Z32" i="2"/>
  <c r="D32" i="1" s="1"/>
  <c r="Y34" i="3"/>
  <c r="AK34" i="3"/>
  <c r="K59" i="1"/>
  <c r="AL51" i="2"/>
  <c r="AK7" i="3"/>
  <c r="AK10" i="3"/>
  <c r="L59" i="1"/>
  <c r="AL52" i="2"/>
  <c r="L55" i="1"/>
  <c r="AX52" i="2"/>
  <c r="AW34" i="3"/>
  <c r="G37" i="1"/>
  <c r="K27" i="1"/>
  <c r="G48" i="1"/>
  <c r="F48" i="1"/>
  <c r="AE61" i="2"/>
  <c r="J37" i="1" s="1"/>
  <c r="AE60" i="2"/>
  <c r="I37" i="1" s="1"/>
  <c r="AZ35" i="2"/>
  <c r="AZ46" i="2"/>
  <c r="AP37" i="2"/>
  <c r="AP38" i="2" s="1"/>
  <c r="I32" i="2"/>
  <c r="D15" i="1" s="1"/>
  <c r="AN46" i="2"/>
  <c r="U51" i="2"/>
  <c r="K28" i="1"/>
  <c r="K54" i="1"/>
  <c r="W60" i="2"/>
  <c r="I29" i="1" s="1"/>
  <c r="L32" i="2"/>
  <c r="D18" i="1" s="1"/>
  <c r="X32" i="2"/>
  <c r="D30" i="1" s="1"/>
  <c r="L11" i="1"/>
  <c r="E52" i="2"/>
  <c r="L23" i="1"/>
  <c r="Q52" i="2"/>
  <c r="L35" i="1"/>
  <c r="AC52" i="2"/>
  <c r="L46" i="1"/>
  <c r="AO52" i="2"/>
  <c r="AZ34" i="3"/>
  <c r="L58" i="1"/>
  <c r="BA52" i="2"/>
  <c r="Q51" i="2"/>
  <c r="AE51" i="2"/>
  <c r="K23" i="1"/>
  <c r="K37" i="1"/>
  <c r="AQ9" i="3"/>
  <c r="AR11" i="2" s="1"/>
  <c r="AR34" i="2" s="1"/>
  <c r="S51" i="2"/>
  <c r="AV51" i="2"/>
  <c r="K25" i="1"/>
  <c r="AN16" i="3"/>
  <c r="AB34" i="3"/>
  <c r="AP34" i="3"/>
  <c r="AN17" i="3"/>
  <c r="AN33" i="3"/>
  <c r="AN34" i="3" s="1"/>
  <c r="P34" i="3"/>
  <c r="AD34" i="3"/>
  <c r="X51" i="2"/>
  <c r="BA51" i="2"/>
  <c r="AE52" i="2"/>
  <c r="K58" i="1"/>
  <c r="AQ17" i="3"/>
  <c r="L18" i="1"/>
  <c r="L52" i="2"/>
  <c r="L30" i="1"/>
  <c r="X52" i="2"/>
  <c r="L42" i="1"/>
  <c r="AJ52" i="2"/>
  <c r="AU34" i="3"/>
  <c r="L53" i="1"/>
  <c r="AV52" i="2"/>
  <c r="AQ13" i="3"/>
  <c r="AR15" i="2" s="1"/>
  <c r="AR37" i="2" s="1"/>
  <c r="AR38" i="2" s="1"/>
  <c r="AL17" i="3"/>
  <c r="AL15" i="3"/>
  <c r="AK8" i="3"/>
  <c r="AN14" i="3"/>
  <c r="F34" i="3"/>
  <c r="AI34" i="3"/>
  <c r="AN13" i="3"/>
  <c r="AL8" i="3"/>
  <c r="AM11" i="2" s="1"/>
  <c r="AM34" i="2" s="1"/>
  <c r="K9" i="1"/>
  <c r="C51" i="2"/>
  <c r="B21" i="3"/>
  <c r="C19" i="2" s="1"/>
  <c r="C40" i="2" s="1"/>
  <c r="K21" i="1"/>
  <c r="O51" i="2"/>
  <c r="K33" i="1"/>
  <c r="AA51" i="2"/>
  <c r="AM58" i="3"/>
  <c r="AM61" i="3" s="1"/>
  <c r="K45" i="1"/>
  <c r="AM51" i="2"/>
  <c r="K56" i="1"/>
  <c r="AY51" i="2"/>
  <c r="AC51" i="2"/>
  <c r="AQ51" i="2"/>
  <c r="G52" i="2"/>
  <c r="K35" i="1"/>
  <c r="AQ14" i="3"/>
  <c r="B22" i="3"/>
  <c r="P51" i="2"/>
  <c r="AY52" i="2"/>
  <c r="K22" i="1"/>
  <c r="L56" i="1"/>
  <c r="AN15" i="3"/>
  <c r="W34" i="3"/>
  <c r="C41" i="2" l="1"/>
  <c r="C46" i="2"/>
  <c r="AR46" i="2"/>
  <c r="AR35" i="2"/>
  <c r="AM35" i="2"/>
  <c r="AV63" i="2"/>
  <c r="AV47" i="2"/>
  <c r="J63" i="2"/>
  <c r="J47" i="2"/>
  <c r="K63" i="2"/>
  <c r="K47" i="2"/>
  <c r="AG47" i="2"/>
  <c r="AG63" i="2"/>
  <c r="AD63" i="2"/>
  <c r="AD47" i="2"/>
  <c r="P63" i="2"/>
  <c r="P47" i="2"/>
  <c r="AB63" i="2"/>
  <c r="AB47" i="2"/>
  <c r="F63" i="2"/>
  <c r="F47" i="2"/>
  <c r="M63" i="2"/>
  <c r="M47" i="2"/>
  <c r="AO15" i="2"/>
  <c r="AO37" i="2" s="1"/>
  <c r="AF46" i="2"/>
  <c r="AX47" i="2"/>
  <c r="AX63" i="2"/>
  <c r="AT63" i="2"/>
  <c r="AT47" i="2"/>
  <c r="Z46" i="2"/>
  <c r="Q63" i="2"/>
  <c r="Q47" i="2"/>
  <c r="F38" i="1"/>
  <c r="G38" i="1"/>
  <c r="AF32" i="2"/>
  <c r="D38" i="1" s="1"/>
  <c r="AK46" i="2"/>
  <c r="N46" i="2"/>
  <c r="AZ63" i="2"/>
  <c r="AZ47" i="2"/>
  <c r="D63" i="2"/>
  <c r="D47" i="2"/>
  <c r="X63" i="2"/>
  <c r="X47" i="2"/>
  <c r="Y63" i="2"/>
  <c r="Y47" i="2"/>
  <c r="AA46" i="2"/>
  <c r="E63" i="2"/>
  <c r="E47" i="2"/>
  <c r="AP46" i="2"/>
  <c r="S46" i="2"/>
  <c r="O63" i="2"/>
  <c r="O47" i="2"/>
  <c r="Q24" i="3"/>
  <c r="Q22" i="3"/>
  <c r="Q21" i="3"/>
  <c r="Q20" i="3"/>
  <c r="Q23" i="3"/>
  <c r="AM15" i="2"/>
  <c r="AM37" i="2" s="1"/>
  <c r="AM38" i="2" s="1"/>
  <c r="AI63" i="2"/>
  <c r="AI47" i="2"/>
  <c r="AU63" i="2"/>
  <c r="AU47" i="2"/>
  <c r="AW46" i="2"/>
  <c r="T63" i="2"/>
  <c r="T47" i="2"/>
  <c r="G63" i="2"/>
  <c r="G47" i="2"/>
  <c r="L63" i="2"/>
  <c r="L47" i="2"/>
  <c r="AC63" i="2"/>
  <c r="AC47" i="2"/>
  <c r="AL11" i="2"/>
  <c r="AL34" i="2" s="1"/>
  <c r="AY68" i="2"/>
  <c r="E56" i="1"/>
  <c r="W63" i="2"/>
  <c r="W47" i="2"/>
  <c r="AH63" i="2"/>
  <c r="AH47" i="2"/>
  <c r="U47" i="2"/>
  <c r="U63" i="2"/>
  <c r="H63" i="2"/>
  <c r="H47" i="2"/>
  <c r="AN63" i="2"/>
  <c r="AN47" i="2"/>
  <c r="AE46" i="2"/>
  <c r="V63" i="2"/>
  <c r="V47" i="2"/>
  <c r="I47" i="2"/>
  <c r="I63" i="2"/>
  <c r="AY65" i="2"/>
  <c r="AQ46" i="2"/>
  <c r="AQ35" i="2"/>
  <c r="AJ63" i="2"/>
  <c r="AJ47" i="2"/>
  <c r="BA63" i="2"/>
  <c r="BA47" i="2"/>
  <c r="AS47" i="2"/>
  <c r="AS63" i="2"/>
  <c r="J68" i="2" l="1"/>
  <c r="E16" i="1"/>
  <c r="AU68" i="2"/>
  <c r="E52" i="1"/>
  <c r="AV68" i="2"/>
  <c r="E53" i="1"/>
  <c r="P68" i="2"/>
  <c r="E22" i="1"/>
  <c r="AO38" i="2"/>
  <c r="AO46" i="2"/>
  <c r="D68" i="2"/>
  <c r="E10" i="1"/>
  <c r="AL46" i="2"/>
  <c r="AL35" i="2"/>
  <c r="AD68" i="2"/>
  <c r="E36" i="1"/>
  <c r="T68" i="2"/>
  <c r="E26" i="1"/>
  <c r="AW63" i="2"/>
  <c r="AW47" i="2"/>
  <c r="M68" i="2"/>
  <c r="E19" i="1"/>
  <c r="AM46" i="2"/>
  <c r="Q68" i="2"/>
  <c r="E23" i="1"/>
  <c r="W68" i="2"/>
  <c r="E29" i="1"/>
  <c r="N47" i="2"/>
  <c r="N63" i="2"/>
  <c r="AK63" i="2"/>
  <c r="AK47" i="2"/>
  <c r="I68" i="2"/>
  <c r="E15" i="1"/>
  <c r="AC68" i="2"/>
  <c r="E35" i="1"/>
  <c r="AI68" i="2"/>
  <c r="E41" i="1"/>
  <c r="AA63" i="2"/>
  <c r="AA47" i="2"/>
  <c r="AS68" i="2"/>
  <c r="E50" i="1"/>
  <c r="V68" i="2"/>
  <c r="E28" i="1"/>
  <c r="H68" i="2"/>
  <c r="E14" i="1"/>
  <c r="Y68" i="2"/>
  <c r="E31" i="1"/>
  <c r="AZ68" i="2"/>
  <c r="E57" i="1"/>
  <c r="Z47" i="2"/>
  <c r="Z63" i="2"/>
  <c r="E68" i="2"/>
  <c r="E11" i="1"/>
  <c r="BA68" i="2"/>
  <c r="E58" i="1"/>
  <c r="L68" i="2"/>
  <c r="E18" i="1"/>
  <c r="F68" i="2"/>
  <c r="E12" i="1"/>
  <c r="AG68" i="2"/>
  <c r="E39" i="1"/>
  <c r="AF63" i="2"/>
  <c r="AF47" i="2"/>
  <c r="AP63" i="2"/>
  <c r="AP47" i="2"/>
  <c r="AY66" i="2"/>
  <c r="AY67" i="2"/>
  <c r="AE63" i="2"/>
  <c r="AE47" i="2"/>
  <c r="S63" i="2"/>
  <c r="S47" i="2"/>
  <c r="X68" i="2"/>
  <c r="E30" i="1"/>
  <c r="AT68" i="2"/>
  <c r="E51" i="1"/>
  <c r="K68" i="2"/>
  <c r="E17" i="1"/>
  <c r="AR63" i="2"/>
  <c r="AR47" i="2"/>
  <c r="AX68" i="2"/>
  <c r="E55" i="1"/>
  <c r="AQ63" i="2"/>
  <c r="AQ47" i="2"/>
  <c r="O68" i="2"/>
  <c r="E21" i="1"/>
  <c r="AJ68" i="2"/>
  <c r="E42" i="1"/>
  <c r="AN68" i="2"/>
  <c r="E48" i="1"/>
  <c r="U68" i="2"/>
  <c r="E27" i="1"/>
  <c r="G68" i="2"/>
  <c r="E13" i="1"/>
  <c r="R19" i="2"/>
  <c r="R40" i="2" s="1"/>
  <c r="R6" i="2"/>
  <c r="C63" i="2"/>
  <c r="C47" i="2"/>
  <c r="AH68" i="2"/>
  <c r="E40" i="1"/>
  <c r="AB68" i="2"/>
  <c r="E34" i="1"/>
  <c r="H67" i="2" l="1"/>
  <c r="H66" i="2"/>
  <c r="H65" i="2"/>
  <c r="I67" i="2"/>
  <c r="I66" i="2"/>
  <c r="I65" i="2"/>
  <c r="AW68" i="2"/>
  <c r="E54" i="1"/>
  <c r="G67" i="2"/>
  <c r="G66" i="2"/>
  <c r="G65" i="2"/>
  <c r="AM63" i="2"/>
  <c r="AM47" i="2"/>
  <c r="AO63" i="2"/>
  <c r="AO47" i="2"/>
  <c r="AR68" i="2"/>
  <c r="E44" i="1"/>
  <c r="M67" i="2"/>
  <c r="M66" i="2"/>
  <c r="M65" i="2"/>
  <c r="AB66" i="2"/>
  <c r="AB67" i="2"/>
  <c r="AB65" i="2"/>
  <c r="AN65" i="2"/>
  <c r="AN66" i="2"/>
  <c r="AN67" i="2"/>
  <c r="AP68" i="2"/>
  <c r="E47" i="1"/>
  <c r="BA67" i="2"/>
  <c r="BA66" i="2"/>
  <c r="BA65" i="2"/>
  <c r="AK68" i="2"/>
  <c r="E43" i="1"/>
  <c r="P66" i="2"/>
  <c r="P65" i="2"/>
  <c r="P67" i="2"/>
  <c r="U67" i="2"/>
  <c r="U65" i="2"/>
  <c r="U66" i="2"/>
  <c r="V65" i="2"/>
  <c r="V66" i="2"/>
  <c r="V67" i="2"/>
  <c r="D67" i="2"/>
  <c r="D66" i="2"/>
  <c r="D65" i="2"/>
  <c r="AJ66" i="2"/>
  <c r="AJ67" i="2"/>
  <c r="AJ65" i="2"/>
  <c r="AF68" i="2"/>
  <c r="E38" i="1"/>
  <c r="AE68" i="2"/>
  <c r="E37" i="1"/>
  <c r="AH67" i="2"/>
  <c r="AH66" i="2"/>
  <c r="AH65" i="2"/>
  <c r="T67" i="2"/>
  <c r="T66" i="2"/>
  <c r="T65" i="2"/>
  <c r="C68" i="2"/>
  <c r="E9" i="1"/>
  <c r="AT65" i="2"/>
  <c r="AT66" i="2"/>
  <c r="AT67" i="2"/>
  <c r="AS67" i="2"/>
  <c r="AS66" i="2"/>
  <c r="AS65" i="2"/>
  <c r="N68" i="2"/>
  <c r="E20" i="1"/>
  <c r="AV67" i="2"/>
  <c r="AV66" i="2"/>
  <c r="AV65" i="2"/>
  <c r="F67" i="2"/>
  <c r="F66" i="2"/>
  <c r="F65" i="2"/>
  <c r="AX66" i="2"/>
  <c r="AX67" i="2"/>
  <c r="AX65" i="2"/>
  <c r="E66" i="2"/>
  <c r="E67" i="2"/>
  <c r="E65" i="2"/>
  <c r="AA68" i="2"/>
  <c r="E33" i="1"/>
  <c r="AD67" i="2"/>
  <c r="AD66" i="2"/>
  <c r="AD65" i="2"/>
  <c r="Y66" i="2"/>
  <c r="Y65" i="2"/>
  <c r="Y67" i="2"/>
  <c r="L66" i="2"/>
  <c r="L67" i="2"/>
  <c r="L65" i="2"/>
  <c r="O67" i="2"/>
  <c r="O66" i="2"/>
  <c r="O65" i="2"/>
  <c r="Z68" i="2"/>
  <c r="E32" i="1"/>
  <c r="W66" i="2"/>
  <c r="W67" i="2"/>
  <c r="W65" i="2"/>
  <c r="AU66" i="2"/>
  <c r="AU65" i="2"/>
  <c r="AU67" i="2"/>
  <c r="AC66" i="2"/>
  <c r="AC67" i="2"/>
  <c r="AC65" i="2"/>
  <c r="K65" i="2"/>
  <c r="K67" i="2"/>
  <c r="K66" i="2"/>
  <c r="G24" i="1"/>
  <c r="R32" i="2"/>
  <c r="D24" i="1" s="1"/>
  <c r="F24" i="1"/>
  <c r="X66" i="2"/>
  <c r="X67" i="2"/>
  <c r="X65" i="2"/>
  <c r="R41" i="2"/>
  <c r="R46" i="2"/>
  <c r="AQ68" i="2"/>
  <c r="E49" i="1"/>
  <c r="S68" i="2"/>
  <c r="E25" i="1"/>
  <c r="AG67" i="2"/>
  <c r="AG66" i="2"/>
  <c r="AG65" i="2"/>
  <c r="AL47" i="2"/>
  <c r="AL63" i="2"/>
  <c r="AZ67" i="2"/>
  <c r="AZ66" i="2"/>
  <c r="AZ65" i="2"/>
  <c r="AI67" i="2"/>
  <c r="AI66" i="2"/>
  <c r="AI65" i="2"/>
  <c r="Q66" i="2"/>
  <c r="Q67" i="2"/>
  <c r="Q65" i="2"/>
  <c r="J66" i="2"/>
  <c r="J65" i="2"/>
  <c r="J67" i="2"/>
  <c r="AQ66" i="2" l="1"/>
  <c r="AQ67" i="2"/>
  <c r="AQ65" i="2"/>
  <c r="R47" i="2"/>
  <c r="R63" i="2"/>
  <c r="AA67" i="2"/>
  <c r="AA66" i="2"/>
  <c r="AA65" i="2"/>
  <c r="AK66" i="2"/>
  <c r="AK65" i="2"/>
  <c r="AK67" i="2"/>
  <c r="AL68" i="2"/>
  <c r="E59" i="1"/>
  <c r="AE66" i="2"/>
  <c r="AE67" i="2"/>
  <c r="AE65" i="2"/>
  <c r="AR67" i="2"/>
  <c r="AR66" i="2"/>
  <c r="AR65" i="2"/>
  <c r="Z65" i="2"/>
  <c r="Z67" i="2"/>
  <c r="Z66" i="2"/>
  <c r="C66" i="2"/>
  <c r="C67" i="2"/>
  <c r="C65" i="2"/>
  <c r="AP67" i="2"/>
  <c r="AP65" i="2"/>
  <c r="AP66" i="2"/>
  <c r="AO68" i="2"/>
  <c r="E46" i="1"/>
  <c r="AF67" i="2"/>
  <c r="AF65" i="2"/>
  <c r="AF66" i="2"/>
  <c r="N67" i="2"/>
  <c r="N65" i="2"/>
  <c r="N66" i="2"/>
  <c r="AW66" i="2"/>
  <c r="AW65" i="2"/>
  <c r="AW67" i="2"/>
  <c r="S67" i="2"/>
  <c r="S66" i="2"/>
  <c r="S65" i="2"/>
  <c r="AM68" i="2"/>
  <c r="E45" i="1"/>
  <c r="AL66" i="2" l="1"/>
  <c r="AL67" i="2"/>
  <c r="AL65" i="2"/>
  <c r="AO67" i="2"/>
  <c r="AO65" i="2"/>
  <c r="AO66" i="2"/>
  <c r="R68" i="2"/>
  <c r="E24" i="1"/>
  <c r="AM67" i="2"/>
  <c r="AM65" i="2"/>
  <c r="AM66" i="2"/>
  <c r="R66" i="2" l="1"/>
  <c r="R67" i="2"/>
  <c r="R65" i="2"/>
</calcChain>
</file>

<file path=xl/sharedStrings.xml><?xml version="1.0" encoding="utf-8"?>
<sst xmlns="http://schemas.openxmlformats.org/spreadsheetml/2006/main" count="1701" uniqueCount="383">
  <si>
    <t>LIQUID AND GRIT'S ECONOMY SPREADSHEET</t>
  </si>
  <si>
    <t>Data collection</t>
  </si>
  <si>
    <t>Input numbers that come from the data tab</t>
  </si>
  <si>
    <t>This spreadsheet includes the economy analysis for many of the top apps</t>
  </si>
  <si>
    <t>The data below is the data used to determine the output of each feature. Notes included</t>
  </si>
  <si>
    <t>Category</t>
  </si>
  <si>
    <t>Number</t>
  </si>
  <si>
    <t>Feature</t>
  </si>
  <si>
    <t>Notes</t>
  </si>
  <si>
    <t>Huuuge Casino</t>
  </si>
  <si>
    <t>DoubleDown</t>
  </si>
  <si>
    <t>Big Fish Casino</t>
  </si>
  <si>
    <t>GSN Casino</t>
  </si>
  <si>
    <t>Heart of Vegas</t>
  </si>
  <si>
    <t>House of Fun</t>
  </si>
  <si>
    <t>Jackpot Party HD</t>
  </si>
  <si>
    <t>DoubleU Casino</t>
  </si>
  <si>
    <t>Wizard of Oz</t>
  </si>
  <si>
    <t>Hit It Rich</t>
  </si>
  <si>
    <t>Slotomania HD</t>
  </si>
  <si>
    <t>Gold Fish HD</t>
  </si>
  <si>
    <t>Quick Hit Slots</t>
  </si>
  <si>
    <t>Caesars Slots</t>
  </si>
  <si>
    <t>Wonka Slots</t>
  </si>
  <si>
    <t>my KONAMI</t>
  </si>
  <si>
    <t>Black Diamond Slots</t>
  </si>
  <si>
    <t>Ellen’s Road to Riches</t>
  </si>
  <si>
    <t>Jackpot Magic Slots</t>
  </si>
  <si>
    <t>myVEGAS</t>
  </si>
  <si>
    <t>Scatter Slots</t>
  </si>
  <si>
    <t>Viva Slots Las Vegas</t>
  </si>
  <si>
    <t>Infinity Slots</t>
  </si>
  <si>
    <t>POP! Slots</t>
  </si>
  <si>
    <t>High 5 Casino</t>
  </si>
  <si>
    <t>Hot Shot Casino</t>
  </si>
  <si>
    <t>Jackpotjoy Slots</t>
  </si>
  <si>
    <t>Pharaoh's Way</t>
  </si>
  <si>
    <t>Slot Bonanza HD</t>
  </si>
  <si>
    <t>Slots Era</t>
  </si>
  <si>
    <t>Xtreme Slots</t>
  </si>
  <si>
    <t>Old Vegas</t>
  </si>
  <si>
    <t>88 Fortune Slots</t>
  </si>
  <si>
    <t>Cashman Casino</t>
  </si>
  <si>
    <t>Spin to Win Slots</t>
  </si>
  <si>
    <t>Bingo Bash</t>
  </si>
  <si>
    <t>Bingo Blitz</t>
  </si>
  <si>
    <t>Bingo Party</t>
  </si>
  <si>
    <t>Monopoly Bingo</t>
  </si>
  <si>
    <t>Bingo Showdown</t>
  </si>
  <si>
    <t>Bingo Pop</t>
  </si>
  <si>
    <t>Bingo Drive</t>
  </si>
  <si>
    <t>WSOP</t>
  </si>
  <si>
    <t>Zynga - Texas Holdem</t>
  </si>
  <si>
    <t>Poker Heat</t>
  </si>
  <si>
    <t>Scatter HoldEm Poker</t>
  </si>
  <si>
    <t>Fresh Deck</t>
  </si>
  <si>
    <t>Pokerist</t>
  </si>
  <si>
    <t>Texas Holdem</t>
  </si>
  <si>
    <t>Slots on Tour</t>
  </si>
  <si>
    <t>Monopoly Slots</t>
  </si>
  <si>
    <t>Primary bonus amount</t>
  </si>
  <si>
    <t>Daily Spin</t>
  </si>
  <si>
    <t>Wheel of Fun</t>
  </si>
  <si>
    <t>Daily Stamp</t>
  </si>
  <si>
    <t>Daily Streak Amount</t>
  </si>
  <si>
    <t>Daily Streak Award</t>
  </si>
  <si>
    <t>Lotto Bonus</t>
  </si>
  <si>
    <t>Daily Catch w/FB</t>
  </si>
  <si>
    <t>Daily Lotto</t>
  </si>
  <si>
    <t>Coin Store</t>
  </si>
  <si>
    <t>Daily Bonus Streak</t>
  </si>
  <si>
    <t>Super Bonus</t>
  </si>
  <si>
    <t>Lobby Coin Bonus</t>
  </si>
  <si>
    <t>Read Bonus</t>
  </si>
  <si>
    <t>Daily Bonus</t>
  </si>
  <si>
    <t>Daily Spin Bonus</t>
  </si>
  <si>
    <t>Lucky Spin</t>
  </si>
  <si>
    <t>Coin Store Bonus</t>
  </si>
  <si>
    <t>Bonus Wheel</t>
  </si>
  <si>
    <t>Daily Bonus Spin</t>
  </si>
  <si>
    <t>Daily w/return bonus</t>
  </si>
  <si>
    <t>Daily Jackpot Wheel</t>
  </si>
  <si>
    <t>Daily Reward</t>
  </si>
  <si>
    <t>Mega Bonus</t>
  </si>
  <si>
    <t>Lucky Bonus</t>
  </si>
  <si>
    <t>Daily Reveiw</t>
  </si>
  <si>
    <t>Hours players can play and collect per day</t>
  </si>
  <si>
    <t>Starting Balance (Explained)</t>
  </si>
  <si>
    <t>10000000 Coins, 1 Bronze Ticket</t>
  </si>
  <si>
    <t>1000000 Chips</t>
  </si>
  <si>
    <t>100000 Chips</t>
  </si>
  <si>
    <t>12500 Coins</t>
  </si>
  <si>
    <t>2000000 Coins</t>
  </si>
  <si>
    <t>1000 Coins</t>
  </si>
  <si>
    <t>6000000 Coins</t>
  </si>
  <si>
    <t>1000000 Coins</t>
  </si>
  <si>
    <t>4500000 Coins</t>
  </si>
  <si>
    <t>1520000 Coins</t>
  </si>
  <si>
    <t>10000 Coins</t>
  </si>
  <si>
    <t>1250000 Coins</t>
  </si>
  <si>
    <t>40000 Coins</t>
  </si>
  <si>
    <t>1800000 Coins</t>
  </si>
  <si>
    <t>100000 Chips, 6 Tickets</t>
  </si>
  <si>
    <t>5000000 Coins</t>
  </si>
  <si>
    <t>50000 Chips, 100 Loyalty Points</t>
  </si>
  <si>
    <t>12,000,000 Coins, 50 Gems</t>
  </si>
  <si>
    <t>2000 Coins</t>
  </si>
  <si>
    <t>3000000 Coins</t>
  </si>
  <si>
    <t>30000 Chips, 100 Loyalty Points</t>
  </si>
  <si>
    <t>1400000 Coins</t>
  </si>
  <si>
    <t>323250 Coins</t>
  </si>
  <si>
    <t>150 Coins, 10 Gems, 1,000 Black Diamonds</t>
  </si>
  <si>
    <t>10,000 Coins, 3 Diamonds</t>
  </si>
  <si>
    <t>15000 Coins</t>
  </si>
  <si>
    <t>200000 Coins</t>
  </si>
  <si>
    <t>2,500 Coins, 24 Bingo Chips, 25 Boosts</t>
  </si>
  <si>
    <t>5,000 coins, 50 Bingo Chips, 30 Boosts</t>
  </si>
  <si>
    <t>500 BingoTickets, 30Boosts</t>
  </si>
  <si>
    <t>2,000 Money, 20 Gems, 30 Dice</t>
  </si>
  <si>
    <t>12 Tickets, 16 Boosts</t>
  </si>
  <si>
    <t>68 Cherries, 17,500 Coins</t>
  </si>
  <si>
    <t>50 credits, 5000 coins, and 23 power ups</t>
  </si>
  <si>
    <t>Adjust this number based on the engagement of the player group</t>
  </si>
  <si>
    <t>250,000 Chips</t>
  </si>
  <si>
    <t>80,000 Chips, 5 gold coins</t>
  </si>
  <si>
    <t>15,000 Chips</t>
  </si>
  <si>
    <t>1,000,000 Coins, 20 Gems</t>
  </si>
  <si>
    <t>95000 Chips</t>
  </si>
  <si>
    <t>5,000 Chips, 10 Gold Coins</t>
  </si>
  <si>
    <t>800 Chips</t>
  </si>
  <si>
    <t>4,000,000 Coins, 200 Gems</t>
  </si>
  <si>
    <t xml:space="preserve">400,000 Coins, 10 Bucks </t>
  </si>
  <si>
    <t>New User Value</t>
  </si>
  <si>
    <t>42000 Coins, 20 Shields</t>
  </si>
  <si>
    <t>Vlookup number</t>
  </si>
  <si>
    <t>496000 Coins, 15 Shields</t>
  </si>
  <si>
    <t>ID</t>
  </si>
  <si>
    <t>New User Currency Balance</t>
  </si>
  <si>
    <t>Game</t>
  </si>
  <si>
    <t>Type</t>
  </si>
  <si>
    <t>New User Balance</t>
  </si>
  <si>
    <t>Daily Free Value</t>
  </si>
  <si>
    <t>Default Tuning</t>
  </si>
  <si>
    <t>Minimum Tuning</t>
  </si>
  <si>
    <t>Currency conversion</t>
  </si>
  <si>
    <t>$1 Props (Default Bet)</t>
  </si>
  <si>
    <t>$1 Props (Min Bet)</t>
  </si>
  <si>
    <t>Default Bet</t>
  </si>
  <si>
    <t>Minimum Bet</t>
  </si>
  <si>
    <t>Slots</t>
  </si>
  <si>
    <t>73500 Coins, 20 Shields</t>
  </si>
  <si>
    <t>Primary bonuses awarded / day</t>
  </si>
  <si>
    <t>85800 Coins, 25 Sheilds</t>
  </si>
  <si>
    <t>105600 Coins, 30 Sheilds</t>
  </si>
  <si>
    <t>Amount collected time set time period</t>
  </si>
  <si>
    <t>Secondary coin bonus</t>
  </si>
  <si>
    <t>Coin Shop</t>
  </si>
  <si>
    <t>N/A</t>
  </si>
  <si>
    <t>Gold Vault - L15/T1</t>
  </si>
  <si>
    <t>Instant Deal</t>
  </si>
  <si>
    <t>Coin Bonus</t>
  </si>
  <si>
    <t>Inbox Free Coins</t>
  </si>
  <si>
    <t>Bonus</t>
  </si>
  <si>
    <t>Mystery Box</t>
  </si>
  <si>
    <t>Monthly Magic Bonus</t>
  </si>
  <si>
    <t>Bonus Spin w/o Streak</t>
  </si>
  <si>
    <t>Store Bonus</t>
  </si>
  <si>
    <t>Bonus Spin</t>
  </si>
  <si>
    <t>Legacy Bonus</t>
  </si>
  <si>
    <t>Monthly Morsels</t>
  </si>
  <si>
    <t>Daily Inbox Gift</t>
  </si>
  <si>
    <t>Daily Streak Bonus</t>
  </si>
  <si>
    <t>Mitzy Gift</t>
  </si>
  <si>
    <t>Hourly Bonus</t>
  </si>
  <si>
    <t>Mega Bonus - Skill Game</t>
  </si>
  <si>
    <t>Collect Bonus</t>
  </si>
  <si>
    <t>Bonus Coins</t>
  </si>
  <si>
    <t>CoinBonus</t>
  </si>
  <si>
    <t>Inbox Retention Gifts</t>
  </si>
  <si>
    <t>Xtreme Bonus</t>
  </si>
  <si>
    <t>Turbo Reward</t>
  </si>
  <si>
    <t>Daily Bonus Wheel</t>
  </si>
  <si>
    <t>Daily Collect</t>
  </si>
  <si>
    <t>Sctatcher - level 10</t>
  </si>
  <si>
    <t>Return Bonus</t>
  </si>
  <si>
    <t>Welcome Back</t>
  </si>
  <si>
    <t>Mega Bonus Wheel</t>
  </si>
  <si>
    <t>Free Daily Spin</t>
  </si>
  <si>
    <t>Hourly Spin &amp; Win</t>
  </si>
  <si>
    <t>Income</t>
  </si>
  <si>
    <t>-</t>
  </si>
  <si>
    <t>Tertiary coin bonus</t>
  </si>
  <si>
    <t>Lottery</t>
  </si>
  <si>
    <t>Sliver Vault</t>
  </si>
  <si>
    <t>Lucky Wheel</t>
  </si>
  <si>
    <t>Bonus w/o Streak</t>
  </si>
  <si>
    <t>Bonus Tickets</t>
  </si>
  <si>
    <t>Bonus Gems</t>
  </si>
  <si>
    <t>Silver Vault</t>
  </si>
  <si>
    <t>Chip Bonus</t>
  </si>
  <si>
    <t>Bonanza Wheel</t>
  </si>
  <si>
    <t>Instant Reward</t>
  </si>
  <si>
    <t>Lobby Coins</t>
  </si>
  <si>
    <t>Lobby Bonus</t>
  </si>
  <si>
    <t>Special Bonus</t>
  </si>
  <si>
    <t>Lobby Chips</t>
  </si>
  <si>
    <t>Other bonus</t>
  </si>
  <si>
    <t>Bronze Vault</t>
  </si>
  <si>
    <t>Average primary bonus awarded / day</t>
  </si>
  <si>
    <t>Watch for Coins</t>
  </si>
  <si>
    <t>$ value of free coins</t>
  </si>
  <si>
    <t>Secondary bonus awarded / day</t>
  </si>
  <si>
    <t>Players receive 30 diamonds @L10 and added to new user value ~10min to level up to L10</t>
  </si>
  <si>
    <t>watch to earn now speeds up the bronze vault x1 - Increase to return bonus was 1k each consecutive day max 25K</t>
  </si>
  <si>
    <t>Higher Lucky Wheel amounts</t>
  </si>
  <si>
    <t>Monthly Magic unlocks L15</t>
  </si>
  <si>
    <t>daily bonus multiplier now upto x5 for 5days in a row</t>
  </si>
  <si>
    <t>Legacy Bonus timer resets at 5pm PST server clock</t>
  </si>
  <si>
    <t>Monthly Morsels unlocks L20</t>
  </si>
  <si>
    <t>Ticket value based on weighted average</t>
  </si>
  <si>
    <t>collect lobby bonus 6x to activate party XP - in place of a mega bonus retention feature - additional rewards are not at level 1 or VIP level 1</t>
  </si>
  <si>
    <t>watch to earn now for speed up of the bronze vault - value of coins set at average of 5 BV awards</t>
  </si>
  <si>
    <t>4/8 Collect bonus coins 100 on ipad, 120 on iphone - both level 1</t>
  </si>
  <si>
    <t>Watch to Earn lobby icon- increasing rewards for watching videos consecutive videos by 100 - starts @10K</t>
  </si>
  <si>
    <t>Jackpot added to the dailly bonus - noted 7/31 - daily streak added as return bonus to daily bonus - VIP daily bonus multiplier added</t>
  </si>
  <si>
    <t>total bet = sweepstakes entry *accumulates on fs - daily reward bonus increases by 10K daily, daily wheel bonus multiplier = xdays streak</t>
  </si>
  <si>
    <t>Primary bingo play currency (dice) is bought with gems -33 dice for 120 gems -&gt; 120 gems for 4.99 - new users awarded 30 dice as daily bonus then all daily collections are 20 for D1-D5 - W2E = 5 gems</t>
  </si>
  <si>
    <t>Boosts may be purchsed each game for coins</t>
  </si>
  <si>
    <t>Lucky Streak' return bonus included it in the bonus - other bonus is not for currency rather a XP 200% boost</t>
  </si>
  <si>
    <t>Bonuses based on league advancment and current league -data collected with min advancement in leagues or standings (mega bonus requries play and may affect level) - Lobby special bonus changed from 4hr to hrs</t>
  </si>
  <si>
    <t>VIP daily reward is 6,000,000 + 10 Gems this is used for the VIP Day = Coins - some reason VIP was awarded for new player (no game play) just one day (collected as day 2 bonus)</t>
  </si>
  <si>
    <t>second currency can be purchased or earn through achievements to be used to purchase some avatars and extra spins of the stepper mini game for more chips</t>
  </si>
  <si>
    <t>add secondary currency to feature matrix</t>
  </si>
  <si>
    <t>1 Sliver chest awarded as part of daily bonus. Used average of rewards (7 chest collections) 530,286 coins and 35 gems for conversion</t>
  </si>
  <si>
    <t>Income collected @L3 - no $value of bucks - D1 daily bonus bonus assumption no notification</t>
  </si>
  <si>
    <t>Starting Balance</t>
  </si>
  <si>
    <t>10000000 Coins, 1 Bronze Ticket, 30 Diamonds</t>
  </si>
  <si>
    <t>2,000 Money, 20 Gems</t>
  </si>
  <si>
    <t>250,000 chips</t>
  </si>
  <si>
    <t>35,000 Chips, 1 Gold</t>
  </si>
  <si>
    <t>4,000,000 coins, 200 Gems</t>
  </si>
  <si>
    <t xml:space="preserve">400,000 coins, 10 bucks </t>
  </si>
  <si>
    <t>Currency Conversions</t>
  </si>
  <si>
    <t>Other currencies</t>
  </si>
  <si>
    <t>Bronze Tickets</t>
  </si>
  <si>
    <t>Magic Spin Gem</t>
  </si>
  <si>
    <t>Gems</t>
  </si>
  <si>
    <t>Diamonds</t>
  </si>
  <si>
    <t>Coins</t>
  </si>
  <si>
    <t>Boosts</t>
  </si>
  <si>
    <t>Gold Coins</t>
  </si>
  <si>
    <t>Gold</t>
  </si>
  <si>
    <t>Bucks</t>
  </si>
  <si>
    <t>Amount of currency</t>
  </si>
  <si>
    <t>Cost of currency</t>
  </si>
  <si>
    <t>Cost each</t>
  </si>
  <si>
    <t>Black Diamonds</t>
  </si>
  <si>
    <t>Money</t>
  </si>
  <si>
    <t>Mini Games</t>
  </si>
  <si>
    <t>Power Ups</t>
  </si>
  <si>
    <t>Average secondary bonus awarded / day</t>
  </si>
  <si>
    <t>Pull Tabs/Scratchers</t>
  </si>
  <si>
    <t>Scratchers</t>
  </si>
  <si>
    <t>Streak mulitplier</t>
  </si>
  <si>
    <t>Wonka Bars</t>
  </si>
  <si>
    <t>D1 = 4K</t>
  </si>
  <si>
    <t>D1 = 1x</t>
  </si>
  <si>
    <t>Value</t>
  </si>
  <si>
    <t>Streak information</t>
  </si>
  <si>
    <t>D1 = 1000</t>
  </si>
  <si>
    <t>D1 = 6000</t>
  </si>
  <si>
    <t>D2 = 8k</t>
  </si>
  <si>
    <t>D2 = 2x</t>
  </si>
  <si>
    <t xml:space="preserve">D1 = </t>
  </si>
  <si>
    <t>D1 = 1 Tap</t>
  </si>
  <si>
    <t>D1 = 40</t>
  </si>
  <si>
    <t>D1 = 5k</t>
  </si>
  <si>
    <t>D1 = 500000 Coins, 2 Spins</t>
  </si>
  <si>
    <t>D1 = 500</t>
  </si>
  <si>
    <t>D1 = 30000</t>
  </si>
  <si>
    <t>bingo credits</t>
  </si>
  <si>
    <t>Daily Streak</t>
  </si>
  <si>
    <t>D2 = 2000</t>
  </si>
  <si>
    <t>D5 = 10000</t>
  </si>
  <si>
    <t>D3 = 12k</t>
  </si>
  <si>
    <t>D3 = 3x</t>
  </si>
  <si>
    <t xml:space="preserve">D2 = </t>
  </si>
  <si>
    <t>D2 = 1.5x</t>
  </si>
  <si>
    <t>D2 = 2 Taps</t>
  </si>
  <si>
    <t>D2 = 80</t>
  </si>
  <si>
    <t>D2 = 5k</t>
  </si>
  <si>
    <t>D2 = 1000000 Coins, 4 Spins</t>
  </si>
  <si>
    <t>D2 = 1000</t>
  </si>
  <si>
    <t>D2 = 40000</t>
  </si>
  <si>
    <t>coins</t>
  </si>
  <si>
    <t>D3 = 3000</t>
  </si>
  <si>
    <t>D10 = 15000</t>
  </si>
  <si>
    <t>D4 = 16k</t>
  </si>
  <si>
    <t>D4 = 4x</t>
  </si>
  <si>
    <t xml:space="preserve">D3 = </t>
  </si>
  <si>
    <t>D3 = 2x</t>
  </si>
  <si>
    <t>D3 = 3 Taps</t>
  </si>
  <si>
    <t>D3 = 120</t>
  </si>
  <si>
    <t>D3 = 5k</t>
  </si>
  <si>
    <t>D3 = 2000000 Coins, 6 Spins</t>
  </si>
  <si>
    <t>D3 = 1500</t>
  </si>
  <si>
    <t>D3 = 50000</t>
  </si>
  <si>
    <t>power ups</t>
  </si>
  <si>
    <t>D4 = 4000</t>
  </si>
  <si>
    <t>D15 = 20000</t>
  </si>
  <si>
    <t>D5 = 20k</t>
  </si>
  <si>
    <t>D5 = 5x</t>
  </si>
  <si>
    <t xml:space="preserve">D4 = </t>
  </si>
  <si>
    <t>D4 = 4 Taps</t>
  </si>
  <si>
    <t>D4 = 160</t>
  </si>
  <si>
    <t>D4 = 5k</t>
  </si>
  <si>
    <t>D4 = 5000000 Coins, 8 Spins</t>
  </si>
  <si>
    <t>D4 = 2000</t>
  </si>
  <si>
    <t>D4 = 65000</t>
  </si>
  <si>
    <t>D5= 5000</t>
  </si>
  <si>
    <t>D25 = 30000</t>
  </si>
  <si>
    <t xml:space="preserve">D5 = </t>
  </si>
  <si>
    <t>D5 = 5 Taps</t>
  </si>
  <si>
    <t>D5 = 200</t>
  </si>
  <si>
    <t>D5 = 7500</t>
  </si>
  <si>
    <t>D5 = 10000000 Coins, 10 Spins</t>
  </si>
  <si>
    <t>D5 = 2500</t>
  </si>
  <si>
    <t>D5= 85000</t>
  </si>
  <si>
    <t>D5= 5x</t>
  </si>
  <si>
    <t>Tertiary bonus awarded / day</t>
  </si>
  <si>
    <t>Average tertiary bonus awarded / day</t>
  </si>
  <si>
    <t>Other bonus awarded / day</t>
  </si>
  <si>
    <t>Bingo</t>
  </si>
  <si>
    <t>Average other bonus awarded / day</t>
  </si>
  <si>
    <t>~$5 worth of primary currency (non-sale)</t>
  </si>
  <si>
    <t>Cost of currency (~$5)</t>
  </si>
  <si>
    <t xml:space="preserve">Default bet value </t>
  </si>
  <si>
    <t>Choose Bet</t>
  </si>
  <si>
    <t xml:space="preserve">Minimum bet value </t>
  </si>
  <si>
    <t>Results</t>
  </si>
  <si>
    <t>Value of new user coin balance</t>
  </si>
  <si>
    <t>Total primary bonus awarded daily</t>
  </si>
  <si>
    <t>Primary coin bonus daily coin value</t>
  </si>
  <si>
    <t>Total secondary bonus amount daily</t>
  </si>
  <si>
    <t>Secondary coin bonus daily coin value</t>
  </si>
  <si>
    <t>Total tertiary bonus amount daily</t>
  </si>
  <si>
    <t>Tertiary coin bonus daily coin value</t>
  </si>
  <si>
    <t>Total Other bonus amount daily</t>
  </si>
  <si>
    <t>Other coin bonus daily coin value</t>
  </si>
  <si>
    <t xml:space="preserve"> Total daily coin balance </t>
  </si>
  <si>
    <t>Total daily coin balance value</t>
  </si>
  <si>
    <t>$1 worth of chips (at $5 package)</t>
  </si>
  <si>
    <t>Default bet value</t>
  </si>
  <si>
    <t>Minimum bet value</t>
  </si>
  <si>
    <t>Default tuning</t>
  </si>
  <si>
    <t>Minimum bet tuning</t>
  </si>
  <si>
    <t>Currency value in propositions (default bet)</t>
  </si>
  <si>
    <t>Currency value in propositions (minimum bet)</t>
  </si>
  <si>
    <t>Bet/Chips (Default bet)</t>
  </si>
  <si>
    <t>Bet/Chips (Minimum Bet)</t>
  </si>
  <si>
    <t>Faucet Props (Default bet)</t>
  </si>
  <si>
    <t>% of value in primary</t>
  </si>
  <si>
    <t>% of value in secondary</t>
  </si>
  <si>
    <t>% of value in other</t>
  </si>
  <si>
    <t>Total</t>
  </si>
  <si>
    <t>Input Data Definitions</t>
  </si>
  <si>
    <t>Explanations of the outputs and the inputs to the economy teardowns</t>
  </si>
  <si>
    <r>
      <t>Daily Free Value:</t>
    </r>
    <r>
      <rPr>
        <sz val="12"/>
        <color rgb="FF222222"/>
        <rFont val="TT Norms Regular"/>
      </rPr>
      <t> The amount of value a </t>
    </r>
    <r>
      <rPr>
        <i/>
        <sz val="12"/>
        <color rgb="FF222222"/>
        <rFont val="TT Norms Regular"/>
      </rPr>
      <t>new </t>
    </r>
    <r>
      <rPr>
        <sz val="12"/>
        <color rgb="FF222222"/>
        <rFont val="TT Norms Regular"/>
      </rPr>
      <t>player receives daily from all the free faucet features assuming x amount of hours played/collected. X is adjustable in the "Outputs" tab cell C5</t>
    </r>
  </si>
  <si>
    <r>
      <t>Faucets</t>
    </r>
    <r>
      <rPr>
        <sz val="12"/>
        <color rgb="FF222222"/>
        <rFont val="TT Norms Regular"/>
      </rPr>
      <t> are features like the COLLECT free bonus in House of Fun that give free currency to players</t>
    </r>
  </si>
  <si>
    <r>
      <t>Value</t>
    </r>
    <r>
      <rPr>
        <sz val="12"/>
        <color rgb="FF222222"/>
        <rFont val="TT Norms Regular"/>
      </rPr>
      <t> is determined by taking the currency given to players and converting it to a dollar amount using the $5 non-sale package on the buy page (or closest package to $5)</t>
    </r>
  </si>
  <si>
    <r>
      <t>New User Balance:</t>
    </r>
    <r>
      <rPr>
        <sz val="12"/>
        <color rgb="FF222222"/>
        <rFont val="TT Norms Regular"/>
      </rPr>
      <t> The amount of value a new player receives to play the game after the tutorial. You can find this number and their inputs on the "Inputs" tab Row 5 </t>
    </r>
    <r>
      <rPr>
        <i/>
        <sz val="12"/>
        <color rgb="FF222222"/>
        <rFont val="TT Norms Regular"/>
      </rPr>
      <t>Starting Balance Explained</t>
    </r>
  </si>
  <si>
    <r>
      <t>Default Bet Tuning:</t>
    </r>
    <r>
      <rPr>
        <sz val="12"/>
        <color rgb="FF222222"/>
        <rFont val="TT Norms Regular"/>
      </rPr>
      <t> Is the average number of spins a new player receives if they only bet at the default bet with the free value given upon download. The equation is: (New User Balance) / (Cost of the Default Bet) / (90% RTP) </t>
    </r>
  </si>
  <si>
    <r>
      <t>Minimum Bet Tuning:</t>
    </r>
    <r>
      <rPr>
        <sz val="12"/>
        <color rgb="FF222222"/>
        <rFont val="TT Norms Regular"/>
      </rPr>
      <t> The same as the Default Bet Tuning only with the (Cost of the Minimum Bet) replacing the (Cost of the Default Bet)</t>
    </r>
  </si>
  <si>
    <r>
      <t>Currency Conversion:</t>
    </r>
    <r>
      <rPr>
        <sz val="12"/>
        <color rgb="FF222222"/>
        <rFont val="TT Norms Regular"/>
      </rPr>
      <t> Simply the amount of in-game currency a player receives for $1 spent on the buy page</t>
    </r>
  </si>
  <si>
    <t>All the calculations are on the "Inputs" tab (including the equations)</t>
  </si>
  <si>
    <t>All the raw data is on the "Raw Data" tab. This is where you can see how we got the average payout of a Faucet</t>
  </si>
  <si>
    <t>Example of how we convert currency (Best Fiends example)</t>
  </si>
  <si>
    <t>The amount players receive from each retention bonus collection. This is later averaged in the Econony tab</t>
  </si>
  <si>
    <t>Dollars</t>
  </si>
  <si>
    <t>Gold Bars</t>
  </si>
  <si>
    <t>=</t>
  </si>
  <si>
    <t>Energy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</si>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</sst>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&quot;$&quot;#,##0.00;"/>
    <numFmt numFmtId="166" formatCode="0.0"/>
    <numFmt numFmtId="167" formatCode="_(* #,##0_);_(* \(#,##0\);_(* &quot;-&quot;??_);_(@_)"/>
  </numFmts>
  <fonts count="40">
    <font>
      <sz val="12"/>
      <color rgb="FF000000"/>
      <name val="Calibri"/>
    </font>
    <font>
      <sz val="12"/>
      <name val="Montserrat"/>
    </font>
    <font>
      <b/>
      <sz val="12"/>
      <color rgb="FF62C3FF"/>
      <name val="Montserrat"/>
    </font>
    <font>
      <sz val="24"/>
      <color rgb="FF20304F"/>
      <name val="Montserrat"/>
    </font>
    <font>
      <b/>
      <sz val="24"/>
      <color rgb="FFFFFFFF"/>
      <name val="Montserrat"/>
    </font>
    <font>
      <b/>
      <i/>
      <sz val="30"/>
      <color rgb="FF62C3FF"/>
      <name val="Montserrat"/>
    </font>
    <font>
      <b/>
      <i/>
      <sz val="24"/>
      <color rgb="FFFFFFFF"/>
      <name val="Montserrat"/>
    </font>
    <font>
      <b/>
      <i/>
      <sz val="12"/>
      <color rgb="FF2281E0"/>
      <name val="Montserrat"/>
    </font>
    <font>
      <sz val="12"/>
      <color rgb="FF20304F"/>
      <name val="Montserrat"/>
    </font>
    <font>
      <b/>
      <sz val="12"/>
      <color rgb="FF2281E0"/>
      <name val="Montserrat"/>
    </font>
    <font>
      <b/>
      <sz val="12"/>
      <color rgb="FF20304F"/>
      <name val="Montserrat"/>
    </font>
    <font>
      <sz val="24"/>
      <color rgb="FFFFFFFF"/>
      <name val="Montserrat"/>
    </font>
    <font>
      <i/>
      <sz val="12"/>
      <color rgb="FF20304F"/>
      <name val="Montserrat"/>
    </font>
    <font>
      <sz val="11"/>
      <color rgb="FF62C3FF"/>
      <name val="Montserrat"/>
    </font>
    <font>
      <b/>
      <sz val="11"/>
      <color rgb="FF62C3FF"/>
      <name val="Montserrat"/>
    </font>
    <font>
      <b/>
      <sz val="12"/>
      <color rgb="FFFFFFFF"/>
      <name val="Montserrat"/>
    </font>
    <font>
      <b/>
      <i/>
      <sz val="12"/>
      <color rgb="FFFFFFFF"/>
      <name val="Montserrat"/>
    </font>
    <font>
      <sz val="12"/>
      <color rgb="FF62C3FF"/>
      <name val="Montserrat"/>
    </font>
    <font>
      <sz val="11"/>
      <color rgb="FF20304F"/>
      <name val="Montserrat"/>
    </font>
    <font>
      <b/>
      <sz val="11"/>
      <color rgb="FF20304F"/>
      <name val="Montserrat"/>
    </font>
    <font>
      <sz val="12"/>
      <name val="Calibri"/>
    </font>
    <font>
      <sz val="12"/>
      <color rgb="FFFFFFFF"/>
      <name val="Montserrat"/>
    </font>
    <font>
      <i/>
      <sz val="12"/>
      <color rgb="FFFFFFFF"/>
      <name val="Montserrat"/>
    </font>
    <font>
      <sz val="10"/>
      <color rgb="FF000000"/>
      <name val="Arial"/>
    </font>
    <font>
      <sz val="12"/>
      <color rgb="FF000000"/>
      <name val="Montserrat"/>
    </font>
    <font>
      <b/>
      <i/>
      <sz val="36"/>
      <color rgb="FF20304F"/>
      <name val="TT Norms Regular"/>
    </font>
    <font>
      <sz val="10"/>
      <color rgb="FF000000"/>
      <name val="TT Norms Regular"/>
    </font>
    <font>
      <b/>
      <i/>
      <sz val="12"/>
      <color rgb="FFFFFFFF"/>
      <name val="TT Norms Regular"/>
    </font>
    <font>
      <b/>
      <sz val="12"/>
      <color rgb="FFFFFFFF"/>
      <name val="TT Norms Regular"/>
    </font>
    <font>
      <b/>
      <sz val="12"/>
      <color rgb="FF222222"/>
      <name val="TT Norms Regular"/>
    </font>
    <font>
      <sz val="12"/>
      <color rgb="FF222222"/>
      <name val="TT Norms Regular"/>
    </font>
    <font>
      <i/>
      <sz val="12"/>
      <color rgb="FF222222"/>
      <name val="TT Norms Regular"/>
    </font>
    <font>
      <sz val="12"/>
      <color rgb="FF000000"/>
      <name val="TT Norms Regular"/>
    </font>
    <font>
      <b/>
      <i/>
      <sz val="30"/>
      <color rgb="FF20304F"/>
      <name val="Montserrat"/>
    </font>
    <font>
      <sz val="10"/>
      <name val="Montserrat"/>
    </font>
    <font>
      <sz val="10"/>
      <color rgb="FF20304F"/>
      <name val="Montserrat"/>
    </font>
    <font>
      <i/>
      <sz val="10"/>
      <color rgb="FF20304F"/>
      <name val="Montserrat"/>
    </font>
    <font>
      <sz val="10"/>
      <color rgb="FFFFFFFF"/>
      <name val="Montserrat"/>
    </font>
    <font>
      <i/>
      <sz val="10"/>
      <color rgb="FFFFFFFF"/>
      <name val="Montserrat"/>
    </font>
    <font>
      <b/>
      <i/>
      <sz val="12"/>
      <color rgb="FF20304F"/>
      <name val="Montserrat"/>
    </font>
  </fonts>
  <fills count="7">
    <fill>
      <patternFill patternType="none"/>
    </fill>
    <fill>
      <patternFill patternType="gray125"/>
    </fill>
    <fill>
      <patternFill patternType="solid">
        <fgColor rgb="FF62C3FF"/>
        <bgColor rgb="FF62C3FF"/>
      </patternFill>
    </fill>
    <fill>
      <patternFill patternType="solid">
        <fgColor rgb="FF2281E0"/>
        <bgColor rgb="FF2281E0"/>
      </patternFill>
    </fill>
    <fill>
      <patternFill patternType="solid">
        <fgColor rgb="FF20304F"/>
        <bgColor rgb="FF20304F"/>
      </patternFill>
    </fill>
    <fill>
      <patternFill patternType="solid">
        <fgColor rgb="FFFFFFFF"/>
        <bgColor rgb="FFFFFFFF"/>
      </patternFill>
    </fill>
    <fill>
      <patternFill patternType="solid">
        <fgColor rgb="FFF3F8FF"/>
        <bgColor rgb="FFF3F8FF"/>
      </patternFill>
    </fill>
  </fills>
  <borders count="52">
    <border>
      <left/>
      <right/>
      <top/>
      <bottom/>
      <diagonal/>
    </border>
    <border>
      <left style="dotted">
        <color rgb="FF62C3FF"/>
      </left>
      <right/>
      <top style="dotted">
        <color rgb="FF62C3FF"/>
      </top>
      <bottom style="dotted">
        <color rgb="FF62C3FF"/>
      </bottom>
      <diagonal/>
    </border>
    <border>
      <left/>
      <right/>
      <top/>
      <bottom/>
      <diagonal/>
    </border>
    <border>
      <left/>
      <right/>
      <top style="dotted">
        <color rgb="FF62C3FF"/>
      </top>
      <bottom style="dotted">
        <color rgb="FF62C3FF"/>
      </bottom>
      <diagonal/>
    </border>
    <border>
      <left/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/>
      <right/>
      <top/>
      <bottom style="dotted">
        <color rgb="FF20304F"/>
      </bottom>
      <diagonal/>
    </border>
    <border>
      <left style="thin">
        <color rgb="FF20304F"/>
      </left>
      <right/>
      <top style="thin">
        <color rgb="FF20304F"/>
      </top>
      <bottom style="dotted">
        <color rgb="FF20304F"/>
      </bottom>
      <diagonal/>
    </border>
    <border>
      <left/>
      <right/>
      <top style="thin">
        <color rgb="FF20304F"/>
      </top>
      <bottom style="dotted">
        <color rgb="FF20304F"/>
      </bottom>
      <diagonal/>
    </border>
    <border>
      <left/>
      <right/>
      <top/>
      <bottom style="medium">
        <color rgb="FF9CC2E5"/>
      </bottom>
      <diagonal/>
    </border>
    <border>
      <left/>
      <right/>
      <top style="dotted">
        <color rgb="FF62C3FF"/>
      </top>
      <bottom/>
      <diagonal/>
    </border>
    <border>
      <left/>
      <right style="dotted">
        <color rgb="FF62C3FF"/>
      </right>
      <top/>
      <bottom style="dotted">
        <color rgb="FF62C3FF"/>
      </bottom>
      <diagonal/>
    </border>
    <border>
      <left style="dotted">
        <color rgb="FF62C3FF"/>
      </left>
      <right style="dotted">
        <color rgb="FF62C3FF"/>
      </right>
      <top/>
      <bottom style="dotted">
        <color rgb="FF62C3FF"/>
      </bottom>
      <diagonal/>
    </border>
    <border>
      <left/>
      <right style="thin">
        <color rgb="FF20304F"/>
      </right>
      <top style="thin">
        <color rgb="FF20304F"/>
      </top>
      <bottom style="dotted">
        <color rgb="FF20304F"/>
      </bottom>
      <diagonal/>
    </border>
    <border>
      <left style="dotted">
        <color rgb="FF62C3FF"/>
      </left>
      <right style="dotted">
        <color rgb="FF62C3FF"/>
      </right>
      <top style="medium">
        <color rgb="FF9CC2E5"/>
      </top>
      <bottom style="dotted">
        <color rgb="FF62C3FF"/>
      </bottom>
      <diagonal/>
    </border>
    <border>
      <left style="thin">
        <color rgb="FF20304F"/>
      </left>
      <right/>
      <top/>
      <bottom style="thin">
        <color rgb="FF20304F"/>
      </bottom>
      <diagonal/>
    </border>
    <border>
      <left style="thin">
        <color rgb="FF20304F"/>
      </left>
      <right style="double">
        <color rgb="FF20304F"/>
      </right>
      <top style="thin">
        <color rgb="FF20304F"/>
      </top>
      <bottom style="dotted">
        <color rgb="FF62C3FF"/>
      </bottom>
      <diagonal/>
    </border>
    <border>
      <left/>
      <right style="dotted">
        <color rgb="FF62C3FF"/>
      </right>
      <top/>
      <bottom style="dotted">
        <color rgb="FF62C3FF"/>
      </bottom>
      <diagonal/>
    </border>
    <border>
      <left style="dotted">
        <color rgb="FF62C3FF"/>
      </left>
      <right style="dotted">
        <color rgb="FF62C3FF"/>
      </right>
      <top/>
      <bottom style="dotted">
        <color rgb="FF62C3FF"/>
      </bottom>
      <diagonal/>
    </border>
    <border>
      <left style="dotted">
        <color rgb="FF62C3FF"/>
      </left>
      <right/>
      <top/>
      <bottom style="dotted">
        <color rgb="FF62C3FF"/>
      </bottom>
      <diagonal/>
    </border>
    <border>
      <left style="dotted">
        <color rgb="FF20304F"/>
      </left>
      <right style="dotted">
        <color rgb="FF20304F"/>
      </right>
      <top/>
      <bottom style="thin">
        <color rgb="FF20304F"/>
      </bottom>
      <diagonal/>
    </border>
    <border>
      <left/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 style="dotted">
        <color rgb="FF62C3FF"/>
      </left>
      <right/>
      <top/>
      <bottom style="dotted">
        <color rgb="FF62C3FF"/>
      </bottom>
      <diagonal/>
    </border>
    <border>
      <left/>
      <right/>
      <top/>
      <bottom style="thin">
        <color rgb="FF20304F"/>
      </bottom>
      <diagonal/>
    </border>
    <border>
      <left style="thin">
        <color rgb="FF20304F"/>
      </left>
      <right style="double">
        <color rgb="FF20304F"/>
      </right>
      <top style="dotted">
        <color rgb="FF62C3FF"/>
      </top>
      <bottom style="dotted">
        <color rgb="FF62C3FF"/>
      </bottom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 style="dotted">
        <color rgb="FF62C3FF"/>
      </bottom>
      <diagonal/>
    </border>
    <border>
      <left/>
      <right style="thin">
        <color rgb="FF20304F"/>
      </right>
      <top/>
      <bottom style="thin">
        <color rgb="FF20304F"/>
      </bottom>
      <diagonal/>
    </border>
    <border>
      <left style="thin">
        <color rgb="FF7F7F7F"/>
      </left>
      <right style="dotted">
        <color rgb="FFFFFFFF"/>
      </right>
      <top style="thin">
        <color rgb="FF7F7F7F"/>
      </top>
      <bottom/>
      <diagonal/>
    </border>
    <border>
      <left style="dotted">
        <color rgb="FFFFFFFF"/>
      </left>
      <right style="dotted">
        <color rgb="FFFFFFFF"/>
      </right>
      <top style="thin">
        <color rgb="FF7F7F7F"/>
      </top>
      <bottom/>
      <diagonal/>
    </border>
    <border>
      <left style="dotted">
        <color rgb="FF62C3FF"/>
      </left>
      <right/>
      <top style="dotted">
        <color rgb="FF62C3FF"/>
      </top>
      <bottom style="dotted">
        <color rgb="FF62C3FF"/>
      </bottom>
      <diagonal/>
    </border>
    <border>
      <left style="dotted">
        <color rgb="FFFFFFFF"/>
      </left>
      <right style="thin">
        <color rgb="FF7F7F7F"/>
      </right>
      <top style="thin">
        <color rgb="FF7F7F7F"/>
      </top>
      <bottom/>
      <diagonal/>
    </border>
    <border>
      <left style="thin">
        <color rgb="FF20304F"/>
      </left>
      <right/>
      <top style="thin">
        <color rgb="FF20304F"/>
      </top>
      <bottom/>
      <diagonal/>
    </border>
    <border>
      <left/>
      <right/>
      <top style="thin">
        <color rgb="FF20304F"/>
      </top>
      <bottom/>
      <diagonal/>
    </border>
    <border>
      <left/>
      <right style="thin">
        <color rgb="FF20304F"/>
      </right>
      <top style="thin">
        <color rgb="FF20304F"/>
      </top>
      <bottom/>
      <diagonal/>
    </border>
    <border>
      <left style="thin">
        <color rgb="FF20304F"/>
      </left>
      <right/>
      <top style="thin">
        <color rgb="FF20304F"/>
      </top>
      <bottom style="dotted">
        <color rgb="FF62C3FF"/>
      </bottom>
      <diagonal/>
    </border>
    <border>
      <left style="medium">
        <color rgb="FF20304F"/>
      </left>
      <right style="medium">
        <color rgb="FF20304F"/>
      </right>
      <top style="thin">
        <color rgb="FF20304F"/>
      </top>
      <bottom style="dotted">
        <color rgb="FF62C3FF"/>
      </bottom>
      <diagonal/>
    </border>
    <border>
      <left/>
      <right style="dotted">
        <color rgb="FF62C3FF"/>
      </right>
      <top style="thin">
        <color rgb="FF20304F"/>
      </top>
      <bottom style="dotted">
        <color rgb="FF62C3FF"/>
      </bottom>
      <diagonal/>
    </border>
    <border>
      <left style="dotted">
        <color rgb="FF62C3FF"/>
      </left>
      <right style="dotted">
        <color rgb="FF62C3FF"/>
      </right>
      <top style="thin">
        <color rgb="FF20304F"/>
      </top>
      <bottom style="dotted">
        <color rgb="FF62C3FF"/>
      </bottom>
      <diagonal/>
    </border>
    <border>
      <left style="dotted">
        <color rgb="FF62C3FF"/>
      </left>
      <right style="thin">
        <color rgb="FF20304F"/>
      </right>
      <top style="thin">
        <color rgb="FF20304F"/>
      </top>
      <bottom style="dotted">
        <color rgb="FF62C3FF"/>
      </bottom>
      <diagonal/>
    </border>
    <border>
      <left style="thin">
        <color rgb="FF20304F"/>
      </left>
      <right/>
      <top style="dotted">
        <color rgb="FF62C3FF"/>
      </top>
      <bottom style="dotted">
        <color rgb="FF62C3FF"/>
      </bottom>
      <diagonal/>
    </border>
    <border>
      <left style="medium">
        <color rgb="FF20304F"/>
      </left>
      <right style="medium">
        <color rgb="FF20304F"/>
      </right>
      <top style="dotted">
        <color rgb="FF62C3FF"/>
      </top>
      <bottom style="dotted">
        <color rgb="FF62C3FF"/>
      </bottom>
      <diagonal/>
    </border>
    <border>
      <left style="dotted">
        <color rgb="FF62C3FF"/>
      </left>
      <right style="thin">
        <color rgb="FF20304F"/>
      </right>
      <top style="dotted">
        <color rgb="FF62C3FF"/>
      </top>
      <bottom style="dotted">
        <color rgb="FF62C3FF"/>
      </bottom>
      <diagonal/>
    </border>
    <border>
      <left style="thin">
        <color rgb="FF20304F"/>
      </left>
      <right style="double">
        <color rgb="FF20304F"/>
      </right>
      <top style="dotted">
        <color rgb="FF62C3FF"/>
      </top>
      <bottom style="thin">
        <color rgb="FF20304F"/>
      </bottom>
      <diagonal/>
    </border>
    <border>
      <left/>
      <right style="dotted">
        <color rgb="FF62C3FF"/>
      </right>
      <top style="dotted">
        <color rgb="FF62C3FF"/>
      </top>
      <bottom/>
      <diagonal/>
    </border>
    <border>
      <left style="dotted">
        <color rgb="FF62C3FF"/>
      </left>
      <right style="dotted">
        <color rgb="FF62C3FF"/>
      </right>
      <top style="dotted">
        <color rgb="FF62C3FF"/>
      </top>
      <bottom/>
      <diagonal/>
    </border>
    <border>
      <left style="dotted">
        <color rgb="FF62C3FF"/>
      </left>
      <right/>
      <top style="dotted">
        <color rgb="FF62C3FF"/>
      </top>
      <bottom/>
      <diagonal/>
    </border>
    <border>
      <left/>
      <right/>
      <top style="thin">
        <color rgb="FF20304F"/>
      </top>
      <bottom style="medium">
        <color rgb="FF20304F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dotted">
        <color rgb="FF000000"/>
      </top>
      <bottom/>
      <diagonal/>
    </border>
  </borders>
  <cellStyleXfs count="2">
    <xf numFmtId="0" fontId="0" fillId="0" borderId="0"/>
    <xf numFmtId="0" fontId="23" fillId="0" borderId="2"/>
  </cellStyleXfs>
  <cellXfs count="210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/>
    <xf numFmtId="0" fontId="3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0" borderId="5" xfId="0" applyFont="1" applyBorder="1"/>
    <xf numFmtId="0" fontId="1" fillId="0" borderId="5" xfId="0" applyFont="1" applyBorder="1"/>
    <xf numFmtId="0" fontId="6" fillId="3" borderId="2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9" fillId="0" borderId="5" xfId="0" applyFont="1" applyBorder="1"/>
    <xf numFmtId="0" fontId="10" fillId="2" borderId="6" xfId="0" applyFont="1" applyFill="1" applyBorder="1"/>
    <xf numFmtId="0" fontId="9" fillId="0" borderId="0" xfId="0" applyFont="1"/>
    <xf numFmtId="0" fontId="10" fillId="2" borderId="7" xfId="0" applyFont="1" applyFill="1" applyBorder="1"/>
    <xf numFmtId="0" fontId="2" fillId="4" borderId="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2" borderId="10" xfId="0" applyFont="1" applyFill="1" applyBorder="1" applyAlignment="1">
      <alignment horizontal="center"/>
    </xf>
    <xf numFmtId="0" fontId="0" fillId="0" borderId="0" xfId="0" applyFont="1"/>
    <xf numFmtId="0" fontId="8" fillId="2" borderId="11" xfId="0" applyFont="1" applyFill="1" applyBorder="1" applyAlignment="1">
      <alignment horizontal="center"/>
    </xf>
    <xf numFmtId="0" fontId="12" fillId="0" borderId="5" xfId="0" applyFont="1" applyBorder="1"/>
    <xf numFmtId="0" fontId="12" fillId="2" borderId="7" xfId="0" applyFont="1" applyFill="1" applyBorder="1" applyAlignment="1">
      <alignment horizontal="center"/>
    </xf>
    <xf numFmtId="0" fontId="13" fillId="4" borderId="2" xfId="0" applyFont="1" applyFill="1" applyBorder="1" applyAlignment="1">
      <alignment vertical="center" wrapText="1"/>
    </xf>
    <xf numFmtId="0" fontId="13" fillId="4" borderId="2" xfId="0" applyFont="1" applyFill="1" applyBorder="1" applyAlignment="1">
      <alignment vertical="center"/>
    </xf>
    <xf numFmtId="0" fontId="14" fillId="4" borderId="8" xfId="0" applyFont="1" applyFill="1" applyBorder="1" applyAlignment="1">
      <alignment horizontal="center" vertical="center" wrapText="1"/>
    </xf>
    <xf numFmtId="0" fontId="12" fillId="2" borderId="7" xfId="0" applyFont="1" applyFill="1" applyBorder="1"/>
    <xf numFmtId="0" fontId="12" fillId="2" borderId="12" xfId="0" applyFont="1" applyFill="1" applyBorder="1"/>
    <xf numFmtId="0" fontId="14" fillId="4" borderId="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2" fillId="0" borderId="0" xfId="0" applyFont="1"/>
    <xf numFmtId="0" fontId="0" fillId="0" borderId="0" xfId="0" applyFont="1" applyAlignment="1">
      <alignment wrapText="1"/>
    </xf>
    <xf numFmtId="0" fontId="8" fillId="0" borderId="14" xfId="0" applyFont="1" applyBorder="1" applyAlignment="1">
      <alignment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5" fillId="4" borderId="19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/>
    </xf>
    <xf numFmtId="0" fontId="12" fillId="0" borderId="22" xfId="0" applyFont="1" applyBorder="1"/>
    <xf numFmtId="0" fontId="12" fillId="0" borderId="22" xfId="0" applyFont="1" applyBorder="1" applyAlignment="1">
      <alignment horizontal="center"/>
    </xf>
    <xf numFmtId="0" fontId="10" fillId="0" borderId="23" xfId="0" applyFont="1" applyBorder="1"/>
    <xf numFmtId="3" fontId="8" fillId="0" borderId="24" xfId="0" applyNumberFormat="1" applyFont="1" applyBorder="1" applyAlignment="1">
      <alignment horizontal="center"/>
    </xf>
    <xf numFmtId="3" fontId="8" fillId="5" borderId="24" xfId="0" applyNumberFormat="1" applyFont="1" applyFill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5" borderId="24" xfId="0" applyNumberFormat="1" applyFont="1" applyFill="1" applyBorder="1" applyAlignment="1">
      <alignment horizontal="center" wrapText="1"/>
    </xf>
    <xf numFmtId="0" fontId="12" fillId="0" borderId="25" xfId="0" applyFont="1" applyBorder="1"/>
    <xf numFmtId="0" fontId="8" fillId="0" borderId="24" xfId="0" applyFont="1" applyBorder="1" applyAlignment="1">
      <alignment horizontal="center"/>
    </xf>
    <xf numFmtId="0" fontId="15" fillId="5" borderId="2" xfId="0" applyFont="1" applyFill="1" applyBorder="1"/>
    <xf numFmtId="0" fontId="16" fillId="2" borderId="26" xfId="0" applyFont="1" applyFill="1" applyBorder="1"/>
    <xf numFmtId="0" fontId="16" fillId="2" borderId="27" xfId="0" applyFont="1" applyFill="1" applyBorder="1" applyAlignment="1">
      <alignment horizontal="center"/>
    </xf>
    <xf numFmtId="1" fontId="8" fillId="0" borderId="24" xfId="0" applyNumberFormat="1" applyFont="1" applyBorder="1" applyAlignment="1">
      <alignment horizontal="center"/>
    </xf>
    <xf numFmtId="0" fontId="16" fillId="2" borderId="27" xfId="0" applyFont="1" applyFill="1" applyBorder="1"/>
    <xf numFmtId="0" fontId="8" fillId="0" borderId="17" xfId="0" applyFont="1" applyBorder="1" applyAlignment="1">
      <alignment horizontal="center"/>
    </xf>
    <xf numFmtId="0" fontId="16" fillId="2" borderId="27" xfId="0" applyFont="1" applyFill="1" applyBorder="1" applyAlignment="1">
      <alignment horizontal="right"/>
    </xf>
    <xf numFmtId="3" fontId="8" fillId="0" borderId="28" xfId="0" applyNumberFormat="1" applyFont="1" applyBorder="1" applyAlignment="1">
      <alignment horizontal="center"/>
    </xf>
    <xf numFmtId="0" fontId="16" fillId="2" borderId="29" xfId="0" applyFont="1" applyFill="1" applyBorder="1" applyAlignment="1">
      <alignment horizontal="right"/>
    </xf>
    <xf numFmtId="0" fontId="14" fillId="4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4" fillId="4" borderId="32" xfId="0" applyFont="1" applyFill="1" applyBorder="1" applyAlignment="1">
      <alignment horizontal="center" vertical="center" wrapText="1"/>
    </xf>
    <xf numFmtId="3" fontId="8" fillId="0" borderId="24" xfId="0" applyNumberFormat="1" applyFont="1" applyBorder="1" applyAlignment="1">
      <alignment horizontal="center"/>
    </xf>
    <xf numFmtId="0" fontId="8" fillId="0" borderId="23" xfId="0" applyFont="1" applyBorder="1"/>
    <xf numFmtId="0" fontId="8" fillId="0" borderId="20" xfId="0" applyFont="1" applyBorder="1"/>
    <xf numFmtId="0" fontId="8" fillId="0" borderId="24" xfId="0" applyFont="1" applyBorder="1"/>
    <xf numFmtId="3" fontId="8" fillId="0" borderId="24" xfId="0" applyNumberFormat="1" applyFont="1" applyBorder="1" applyAlignment="1">
      <alignment horizontal="center" wrapText="1"/>
    </xf>
    <xf numFmtId="0" fontId="17" fillId="5" borderId="2" xfId="0" applyFont="1" applyFill="1" applyBorder="1" applyAlignment="1">
      <alignment wrapText="1"/>
    </xf>
    <xf numFmtId="0" fontId="18" fillId="0" borderId="33" xfId="0" applyFont="1" applyBorder="1"/>
    <xf numFmtId="0" fontId="19" fillId="0" borderId="34" xfId="0" applyFont="1" applyBorder="1"/>
    <xf numFmtId="0" fontId="8" fillId="0" borderId="35" xfId="0" applyFont="1" applyBorder="1" applyAlignment="1">
      <alignment horizontal="center"/>
    </xf>
    <xf numFmtId="3" fontId="8" fillId="0" borderId="28" xfId="0" applyNumberFormat="1" applyFont="1" applyBorder="1" applyAlignment="1">
      <alignment horizontal="center" wrapText="1"/>
    </xf>
    <xf numFmtId="164" fontId="8" fillId="0" borderId="36" xfId="0" applyNumberFormat="1" applyFont="1" applyBorder="1" applyAlignment="1">
      <alignment horizontal="center"/>
    </xf>
    <xf numFmtId="0" fontId="8" fillId="0" borderId="28" xfId="0" applyFont="1" applyBorder="1"/>
    <xf numFmtId="165" fontId="8" fillId="0" borderId="36" xfId="0" applyNumberFormat="1" applyFont="1" applyBorder="1" applyAlignment="1">
      <alignment horizontal="center"/>
    </xf>
    <xf numFmtId="1" fontId="10" fillId="2" borderId="23" xfId="0" applyNumberFormat="1" applyFont="1" applyFill="1" applyBorder="1"/>
    <xf numFmtId="3" fontId="8" fillId="0" borderId="36" xfId="0" applyNumberFormat="1" applyFont="1" applyBorder="1" applyAlignment="1">
      <alignment horizontal="center"/>
    </xf>
    <xf numFmtId="1" fontId="8" fillId="0" borderId="17" xfId="0" applyNumberFormat="1" applyFont="1" applyBorder="1" applyAlignment="1">
      <alignment horizontal="center"/>
    </xf>
    <xf numFmtId="166" fontId="8" fillId="0" borderId="24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3" fontId="8" fillId="0" borderId="37" xfId="0" applyNumberFormat="1" applyFont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18" fillId="0" borderId="38" xfId="0" applyFont="1" applyBorder="1"/>
    <xf numFmtId="0" fontId="20" fillId="0" borderId="17" xfId="0" applyFont="1" applyBorder="1" applyAlignment="1"/>
    <xf numFmtId="2" fontId="8" fillId="0" borderId="28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19" fillId="0" borderId="39" xfId="0" applyFont="1" applyBorder="1"/>
    <xf numFmtId="0" fontId="10" fillId="2" borderId="4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165" fontId="8" fillId="0" borderId="24" xfId="0" applyNumberFormat="1" applyFont="1" applyBorder="1" applyAlignment="1">
      <alignment horizontal="center"/>
    </xf>
    <xf numFmtId="0" fontId="8" fillId="2" borderId="24" xfId="0" applyFont="1" applyFill="1" applyBorder="1"/>
    <xf numFmtId="0" fontId="8" fillId="2" borderId="17" xfId="0" applyFont="1" applyFill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3" fontId="8" fillId="0" borderId="40" xfId="0" applyNumberFormat="1" applyFont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3" fontId="8" fillId="2" borderId="24" xfId="0" applyNumberFormat="1" applyFont="1" applyFill="1" applyBorder="1" applyAlignment="1">
      <alignment horizontal="center"/>
    </xf>
    <xf numFmtId="1" fontId="8" fillId="2" borderId="24" xfId="0" applyNumberFormat="1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8" fontId="21" fillId="3" borderId="24" xfId="0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166" fontId="8" fillId="0" borderId="24" xfId="0" applyNumberFormat="1" applyFont="1" applyBorder="1"/>
    <xf numFmtId="1" fontId="8" fillId="0" borderId="0" xfId="0" applyNumberFormat="1" applyFont="1"/>
    <xf numFmtId="1" fontId="8" fillId="0" borderId="20" xfId="0" applyNumberFormat="1" applyFont="1" applyBorder="1" applyAlignment="1">
      <alignment horizontal="center"/>
    </xf>
    <xf numFmtId="8" fontId="20" fillId="3" borderId="17" xfId="0" applyNumberFormat="1" applyFont="1" applyFill="1" applyBorder="1" applyAlignment="1"/>
    <xf numFmtId="1" fontId="8" fillId="0" borderId="28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8" fontId="21" fillId="0" borderId="24" xfId="0" applyNumberFormat="1" applyFont="1" applyBorder="1" applyAlignment="1">
      <alignment horizontal="center"/>
    </xf>
    <xf numFmtId="166" fontId="8" fillId="0" borderId="20" xfId="0" applyNumberFormat="1" applyFont="1" applyBorder="1" applyAlignment="1">
      <alignment horizontal="center"/>
    </xf>
    <xf numFmtId="8" fontId="21" fillId="0" borderId="28" xfId="0" applyNumberFormat="1" applyFont="1" applyBorder="1" applyAlignment="1">
      <alignment horizontal="center"/>
    </xf>
    <xf numFmtId="0" fontId="12" fillId="0" borderId="20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3" fontId="8" fillId="0" borderId="24" xfId="0" applyNumberFormat="1" applyFont="1" applyBorder="1"/>
    <xf numFmtId="3" fontId="12" fillId="0" borderId="24" xfId="0" applyNumberFormat="1" applyFont="1" applyBorder="1" applyAlignment="1">
      <alignment horizontal="center" wrapText="1"/>
    </xf>
    <xf numFmtId="3" fontId="8" fillId="5" borderId="24" xfId="0" applyNumberFormat="1" applyFont="1" applyFill="1" applyBorder="1"/>
    <xf numFmtId="0" fontId="8" fillId="5" borderId="24" xfId="0" applyFont="1" applyFill="1" applyBorder="1"/>
    <xf numFmtId="0" fontId="8" fillId="5" borderId="24" xfId="0" applyFont="1" applyFill="1" applyBorder="1" applyAlignment="1">
      <alignment horizontal="center" wrapText="1"/>
    </xf>
    <xf numFmtId="0" fontId="12" fillId="5" borderId="24" xfId="0" applyFont="1" applyFill="1" applyBorder="1" applyAlignment="1">
      <alignment horizontal="center" wrapText="1"/>
    </xf>
    <xf numFmtId="0" fontId="12" fillId="0" borderId="28" xfId="0" applyFont="1" applyBorder="1" applyAlignment="1">
      <alignment horizontal="center" wrapText="1"/>
    </xf>
    <xf numFmtId="3" fontId="12" fillId="5" borderId="24" xfId="0" applyNumberFormat="1" applyFont="1" applyFill="1" applyBorder="1" applyAlignment="1">
      <alignment horizontal="center" wrapText="1"/>
    </xf>
    <xf numFmtId="3" fontId="22" fillId="3" borderId="24" xfId="0" applyNumberFormat="1" applyFont="1" applyFill="1" applyBorder="1" applyAlignment="1">
      <alignment horizontal="center" wrapText="1"/>
    </xf>
    <xf numFmtId="3" fontId="12" fillId="0" borderId="17" xfId="0" applyNumberFormat="1" applyFont="1" applyBorder="1" applyAlignment="1">
      <alignment horizontal="center" wrapText="1"/>
    </xf>
    <xf numFmtId="3" fontId="12" fillId="0" borderId="28" xfId="0" applyNumberFormat="1" applyFont="1" applyBorder="1" applyAlignment="1">
      <alignment horizontal="center" wrapText="1"/>
    </xf>
    <xf numFmtId="0" fontId="21" fillId="3" borderId="24" xfId="0" applyFont="1" applyFill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8" fontId="8" fillId="0" borderId="24" xfId="0" applyNumberFormat="1" applyFont="1" applyBorder="1" applyAlignment="1">
      <alignment horizontal="center"/>
    </xf>
    <xf numFmtId="8" fontId="8" fillId="0" borderId="28" xfId="0" applyNumberFormat="1" applyFont="1" applyBorder="1" applyAlignment="1">
      <alignment horizontal="center"/>
    </xf>
    <xf numFmtId="166" fontId="8" fillId="0" borderId="28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24" xfId="0" applyFont="1" applyBorder="1" applyAlignment="1">
      <alignment wrapText="1"/>
    </xf>
    <xf numFmtId="164" fontId="8" fillId="0" borderId="24" xfId="0" applyNumberFormat="1" applyFont="1" applyBorder="1"/>
    <xf numFmtId="0" fontId="8" fillId="0" borderId="24" xfId="0" applyFont="1" applyBorder="1" applyAlignment="1">
      <alignment horizontal="right"/>
    </xf>
    <xf numFmtId="9" fontId="8" fillId="5" borderId="24" xfId="0" applyNumberFormat="1" applyFont="1" applyFill="1" applyBorder="1" applyAlignment="1">
      <alignment horizontal="center"/>
    </xf>
    <xf numFmtId="1" fontId="8" fillId="0" borderId="24" xfId="0" applyNumberFormat="1" applyFont="1" applyBorder="1"/>
    <xf numFmtId="1" fontId="8" fillId="0" borderId="0" xfId="0" applyNumberFormat="1" applyFont="1" applyAlignment="1">
      <alignment horizontal="center"/>
    </xf>
    <xf numFmtId="2" fontId="8" fillId="0" borderId="0" xfId="0" applyNumberFormat="1" applyFont="1"/>
    <xf numFmtId="0" fontId="8" fillId="0" borderId="20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8" fillId="0" borderId="28" xfId="0" applyNumberFormat="1" applyFont="1" applyBorder="1" applyAlignment="1">
      <alignment horizontal="center"/>
    </xf>
    <xf numFmtId="3" fontId="8" fillId="5" borderId="1" xfId="0" applyNumberFormat="1" applyFont="1" applyFill="1" applyBorder="1" applyAlignment="1">
      <alignment horizontal="center"/>
    </xf>
    <xf numFmtId="0" fontId="13" fillId="4" borderId="2" xfId="0" applyFont="1" applyFill="1" applyBorder="1" applyAlignment="1">
      <alignment horizontal="right" vertical="center" wrapText="1"/>
    </xf>
    <xf numFmtId="0" fontId="14" fillId="4" borderId="23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9" fillId="0" borderId="23" xfId="0" applyFont="1" applyBorder="1"/>
    <xf numFmtId="167" fontId="8" fillId="0" borderId="0" xfId="0" applyNumberFormat="1" applyFont="1"/>
    <xf numFmtId="0" fontId="19" fillId="0" borderId="39" xfId="0" applyFont="1" applyBorder="1" applyAlignment="1">
      <alignment horizontal="left"/>
    </xf>
    <xf numFmtId="0" fontId="24" fillId="0" borderId="0" xfId="0" applyFont="1" applyAlignment="1">
      <alignment horizontal="center"/>
    </xf>
    <xf numFmtId="166" fontId="19" fillId="0" borderId="23" xfId="0" applyNumberFormat="1" applyFont="1" applyBorder="1"/>
    <xf numFmtId="9" fontId="8" fillId="0" borderId="20" xfId="0" applyNumberFormat="1" applyFont="1" applyBorder="1" applyAlignment="1">
      <alignment horizontal="center"/>
    </xf>
    <xf numFmtId="9" fontId="8" fillId="0" borderId="24" xfId="0" applyNumberFormat="1" applyFont="1" applyBorder="1" applyAlignment="1">
      <alignment horizontal="center"/>
    </xf>
    <xf numFmtId="9" fontId="8" fillId="0" borderId="28" xfId="0" applyNumberFormat="1" applyFont="1" applyBorder="1" applyAlignment="1">
      <alignment horizontal="center"/>
    </xf>
    <xf numFmtId="0" fontId="19" fillId="0" borderId="41" xfId="0" applyFont="1" applyBorder="1"/>
    <xf numFmtId="164" fontId="8" fillId="0" borderId="42" xfId="0" applyNumberFormat="1" applyFont="1" applyBorder="1" applyAlignment="1">
      <alignment horizontal="center"/>
    </xf>
    <xf numFmtId="164" fontId="8" fillId="0" borderId="43" xfId="0" applyNumberFormat="1" applyFont="1" applyBorder="1" applyAlignment="1">
      <alignment horizontal="center"/>
    </xf>
    <xf numFmtId="164" fontId="8" fillId="0" borderId="44" xfId="0" applyNumberFormat="1" applyFont="1" applyBorder="1" applyAlignment="1">
      <alignment horizontal="center"/>
    </xf>
    <xf numFmtId="0" fontId="19" fillId="0" borderId="0" xfId="0" applyFont="1"/>
    <xf numFmtId="164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164" fontId="8" fillId="0" borderId="0" xfId="0" applyNumberFormat="1" applyFont="1"/>
    <xf numFmtId="0" fontId="25" fillId="3" borderId="2" xfId="1" applyFont="1" applyFill="1" applyBorder="1" applyAlignment="1">
      <alignment vertical="center"/>
    </xf>
    <xf numFmtId="0" fontId="26" fillId="0" borderId="2" xfId="1" applyFont="1" applyAlignment="1"/>
    <xf numFmtId="0" fontId="27" fillId="3" borderId="45" xfId="1" applyFont="1" applyFill="1" applyBorder="1" applyAlignment="1">
      <alignment vertical="center"/>
    </xf>
    <xf numFmtId="0" fontId="28" fillId="3" borderId="45" xfId="1" applyFont="1" applyFill="1" applyBorder="1" applyAlignment="1">
      <alignment vertical="center"/>
    </xf>
    <xf numFmtId="0" fontId="23" fillId="0" borderId="2" xfId="1" applyFont="1" applyAlignment="1"/>
    <xf numFmtId="0" fontId="29" fillId="0" borderId="2" xfId="1" applyFont="1" applyAlignment="1"/>
    <xf numFmtId="0" fontId="29" fillId="0" borderId="2" xfId="1" applyFont="1" applyAlignment="1">
      <alignment horizontal="left" indent="2"/>
    </xf>
    <xf numFmtId="0" fontId="32" fillId="0" borderId="2" xfId="1" applyFont="1" applyAlignment="1"/>
    <xf numFmtId="0" fontId="30" fillId="0" borderId="2" xfId="1" applyFont="1" applyAlignment="1"/>
    <xf numFmtId="0" fontId="33" fillId="3" borderId="2" xfId="1" applyFont="1" applyFill="1" applyBorder="1" applyAlignment="1">
      <alignment vertical="center"/>
    </xf>
    <xf numFmtId="0" fontId="16" fillId="3" borderId="45" xfId="1" applyFont="1" applyFill="1" applyBorder="1" applyAlignment="1">
      <alignment vertical="center"/>
    </xf>
    <xf numFmtId="0" fontId="15" fillId="3" borderId="45" xfId="1" applyFont="1" applyFill="1" applyBorder="1" applyAlignment="1">
      <alignment vertical="center"/>
    </xf>
    <xf numFmtId="0" fontId="34" fillId="0" borderId="2" xfId="1" applyFont="1"/>
    <xf numFmtId="3" fontId="35" fillId="6" borderId="46" xfId="1" applyNumberFormat="1" applyFont="1" applyFill="1" applyBorder="1" applyAlignment="1">
      <alignment horizontal="center" vertical="center"/>
    </xf>
    <xf numFmtId="164" fontId="36" fillId="6" borderId="47" xfId="1" applyNumberFormat="1" applyFont="1" applyFill="1" applyBorder="1" applyAlignment="1">
      <alignment horizontal="center" vertical="center"/>
    </xf>
    <xf numFmtId="164" fontId="35" fillId="6" borderId="47" xfId="1" applyNumberFormat="1" applyFont="1" applyFill="1" applyBorder="1" applyAlignment="1">
      <alignment horizontal="center" vertical="center"/>
    </xf>
    <xf numFmtId="0" fontId="36" fillId="6" borderId="47" xfId="1" applyFont="1" applyFill="1" applyBorder="1" applyAlignment="1">
      <alignment horizontal="center" vertical="center"/>
    </xf>
    <xf numFmtId="0" fontId="35" fillId="6" borderId="47" xfId="1" applyFont="1" applyFill="1" applyBorder="1" applyAlignment="1">
      <alignment horizontal="center" vertical="center"/>
    </xf>
    <xf numFmtId="0" fontId="35" fillId="0" borderId="47" xfId="1" quotePrefix="1" applyFont="1" applyBorder="1" applyAlignment="1">
      <alignment horizontal="center" vertical="center"/>
    </xf>
    <xf numFmtId="3" fontId="35" fillId="2" borderId="47" xfId="1" applyNumberFormat="1" applyFont="1" applyFill="1" applyBorder="1" applyAlignment="1">
      <alignment horizontal="center" vertical="center"/>
    </xf>
    <xf numFmtId="3" fontId="37" fillId="3" borderId="47" xfId="1" applyNumberFormat="1" applyFont="1" applyFill="1" applyBorder="1" applyAlignment="1">
      <alignment horizontal="center" vertical="center"/>
    </xf>
    <xf numFmtId="0" fontId="38" fillId="3" borderId="47" xfId="1" applyFont="1" applyFill="1" applyBorder="1" applyAlignment="1">
      <alignment horizontal="center" vertical="center"/>
    </xf>
    <xf numFmtId="164" fontId="37" fillId="3" borderId="47" xfId="1" applyNumberFormat="1" applyFont="1" applyFill="1" applyBorder="1" applyAlignment="1">
      <alignment horizontal="center" vertical="center"/>
    </xf>
    <xf numFmtId="0" fontId="38" fillId="3" borderId="48" xfId="1" applyFont="1" applyFill="1" applyBorder="1" applyAlignment="1">
      <alignment horizontal="center" vertical="center"/>
    </xf>
    <xf numFmtId="164" fontId="35" fillId="6" borderId="49" xfId="1" applyNumberFormat="1" applyFont="1" applyFill="1" applyBorder="1" applyAlignment="1">
      <alignment horizontal="center" vertical="center"/>
    </xf>
    <xf numFmtId="0" fontId="36" fillId="6" borderId="50" xfId="1" applyFont="1" applyFill="1" applyBorder="1" applyAlignment="1">
      <alignment horizontal="center" vertical="center"/>
    </xf>
    <xf numFmtId="0" fontId="35" fillId="6" borderId="50" xfId="1" applyFont="1" applyFill="1" applyBorder="1" applyAlignment="1">
      <alignment horizontal="center" vertical="center"/>
    </xf>
    <xf numFmtId="0" fontId="35" fillId="0" borderId="50" xfId="1" quotePrefix="1" applyFont="1" applyBorder="1" applyAlignment="1">
      <alignment horizontal="center" vertical="center"/>
    </xf>
    <xf numFmtId="3" fontId="35" fillId="2" borderId="50" xfId="1" applyNumberFormat="1" applyFont="1" applyFill="1" applyBorder="1" applyAlignment="1">
      <alignment horizontal="center" vertical="center"/>
    </xf>
    <xf numFmtId="0" fontId="37" fillId="3" borderId="50" xfId="1" applyFont="1" applyFill="1" applyBorder="1" applyAlignment="1">
      <alignment horizontal="center" vertical="center"/>
    </xf>
    <xf numFmtId="0" fontId="38" fillId="3" borderId="50" xfId="1" applyFont="1" applyFill="1" applyBorder="1" applyAlignment="1">
      <alignment horizontal="center" vertical="center"/>
    </xf>
    <xf numFmtId="0" fontId="37" fillId="3" borderId="51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12" fillId="0" borderId="16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3" fontId="12" fillId="5" borderId="2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10" fillId="0" borderId="23" xfId="0" applyFont="1" applyBorder="1" applyAlignment="1">
      <alignment horizontal="left"/>
    </xf>
    <xf numFmtId="0" fontId="10" fillId="2" borderId="23" xfId="0" applyFont="1" applyFill="1" applyBorder="1"/>
    <xf numFmtId="0" fontId="39" fillId="2" borderId="15" xfId="0" applyFont="1" applyFill="1" applyBorder="1" applyAlignment="1">
      <alignment vertical="center"/>
    </xf>
  </cellXfs>
  <cellStyles count="2">
    <cellStyle name="Normal" xfId="0" builtinId="0"/>
    <cellStyle name="Normal 2" xfId="1" xr:uid="{0BC83457-7047-E348-A750-C9F676482AB6}"/>
  </cellStyles>
  <dxfs count="0"/>
  <tableStyles count="0" defaultTableStyle="TableStyleMedium2" defaultPivotStyle="PivotStyleLight16"/>
  <colors>
    <mruColors>
      <color rgb="FF228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Outputs!$D$8</c:f>
              <c:strCache>
                <c:ptCount val="1"/>
                <c:pt idx="0">
                  <c:v>New User Balance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Outputs!$B$9:$B$59</c:f>
              <c:strCache>
                <c:ptCount val="7"/>
                <c:pt idx="0">
                  <c:v>Bingo Drive</c:v>
                </c:pt>
                <c:pt idx="1">
                  <c:v>Bingo Blitz</c:v>
                </c:pt>
                <c:pt idx="2">
                  <c:v>Monopoly Bingo</c:v>
                </c:pt>
                <c:pt idx="3">
                  <c:v>Bingo Showdown</c:v>
                </c:pt>
                <c:pt idx="4">
                  <c:v>Bingo Party</c:v>
                </c:pt>
                <c:pt idx="5">
                  <c:v>Bingo Pop</c:v>
                </c:pt>
                <c:pt idx="6">
                  <c:v>Bingo Bash</c:v>
                </c:pt>
              </c:strCache>
            </c:strRef>
          </c:cat>
          <c:val>
            <c:numRef>
              <c:f>Outputs!$D$9:$D$59</c:f>
              <c:numCache>
                <c:formatCode>"$"#,##0.00;</c:formatCode>
                <c:ptCount val="7"/>
                <c:pt idx="0">
                  <c:v>16.867000000000001</c:v>
                </c:pt>
                <c:pt idx="1">
                  <c:v>32.523250000000004</c:v>
                </c:pt>
                <c:pt idx="2">
                  <c:v>5.8985423197492164</c:v>
                </c:pt>
                <c:pt idx="3">
                  <c:v>3.8151794871794871</c:v>
                </c:pt>
                <c:pt idx="4">
                  <c:v>16.515384615384615</c:v>
                </c:pt>
                <c:pt idx="5">
                  <c:v>25.965</c:v>
                </c:pt>
                <c:pt idx="6">
                  <c:v>5.9776515151515168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19-E54A-ADE0-10FC51169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52"/>
        <c:axId val="648022607"/>
        <c:axId val="646936719"/>
      </c:barChart>
      <c:catAx>
        <c:axId val="64802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936719"/>
        <c:crosses val="autoZero"/>
        <c:auto val="1"/>
        <c:lblAlgn val="ctr"/>
        <c:lblOffset val="100"/>
        <c:noMultiLvlLbl val="0"/>
      </c:catAx>
      <c:valAx>
        <c:axId val="6469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02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Outputs!$E$8</c:f>
              <c:strCache>
                <c:ptCount val="1"/>
                <c:pt idx="0">
                  <c:v>Daily Free Value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Outputs!$B$9:$B$59</c:f>
              <c:strCache>
                <c:ptCount val="7"/>
                <c:pt idx="0">
                  <c:v>Bingo Drive</c:v>
                </c:pt>
                <c:pt idx="1">
                  <c:v>Bingo Blitz</c:v>
                </c:pt>
                <c:pt idx="2">
                  <c:v>Monopoly Bingo</c:v>
                </c:pt>
                <c:pt idx="3">
                  <c:v>Bingo Showdown</c:v>
                </c:pt>
                <c:pt idx="4">
                  <c:v>Bingo Party</c:v>
                </c:pt>
                <c:pt idx="5">
                  <c:v>Bingo Pop</c:v>
                </c:pt>
                <c:pt idx="6">
                  <c:v>Bingo Bash</c:v>
                </c:pt>
              </c:strCache>
            </c:strRef>
          </c:cat>
          <c:val>
            <c:numRef>
              <c:f>Outputs!$E$9:$E$59</c:f>
              <c:numCache>
                <c:formatCode>"$"#,##0.00;</c:formatCode>
                <c:ptCount val="7"/>
                <c:pt idx="0">
                  <c:v>3.9386000000000001</c:v>
                </c:pt>
                <c:pt idx="1">
                  <c:v>3.81</c:v>
                </c:pt>
                <c:pt idx="2">
                  <c:v>3.2382196969696975</c:v>
                </c:pt>
                <c:pt idx="3">
                  <c:v>2.5857641025641023</c:v>
                </c:pt>
                <c:pt idx="4">
                  <c:v>2.2676923076923079</c:v>
                </c:pt>
                <c:pt idx="5">
                  <c:v>1.75</c:v>
                </c:pt>
                <c:pt idx="6">
                  <c:v>1.5656575757575759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D-4842-807B-7061BE655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52"/>
        <c:axId val="648022607"/>
        <c:axId val="646936719"/>
      </c:barChart>
      <c:catAx>
        <c:axId val="64802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936719"/>
        <c:crosses val="autoZero"/>
        <c:auto val="1"/>
        <c:lblAlgn val="ctr"/>
        <c:lblOffset val="100"/>
        <c:noMultiLvlLbl val="0"/>
      </c:catAx>
      <c:valAx>
        <c:axId val="6469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02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Outputs!$G$8</c:f>
              <c:strCache>
                <c:ptCount val="1"/>
                <c:pt idx="0">
                  <c:v>Minimum Tuning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Outputs!$B$10:$B$59</c:f>
              <c:strCache>
                <c:ptCount val="7"/>
                <c:pt idx="0">
                  <c:v>Bingo Drive</c:v>
                </c:pt>
                <c:pt idx="1">
                  <c:v>Bingo Blitz</c:v>
                </c:pt>
                <c:pt idx="2">
                  <c:v>Monopoly Bingo</c:v>
                </c:pt>
                <c:pt idx="3">
                  <c:v>Bingo Showdown</c:v>
                </c:pt>
                <c:pt idx="4">
                  <c:v>Bingo Party</c:v>
                </c:pt>
                <c:pt idx="5">
                  <c:v>Bingo Pop</c:v>
                </c:pt>
                <c:pt idx="6">
                  <c:v>Bingo Bash</c:v>
                </c:pt>
              </c:strCache>
            </c:strRef>
          </c:cat>
          <c:val>
            <c:numRef>
              <c:f>Outputs!$G$10:$G$59</c:f>
              <c:numCache>
                <c:formatCode>#,##0</c:formatCode>
                <c:ptCount val="7"/>
                <c:pt idx="0">
                  <c:v>167.67000000000007</c:v>
                </c:pt>
                <c:pt idx="1">
                  <c:v>649.46500000000015</c:v>
                </c:pt>
                <c:pt idx="2">
                  <c:v>37.93037931034484</c:v>
                </c:pt>
                <c:pt idx="3">
                  <c:v>38.677866666666681</c:v>
                </c:pt>
                <c:pt idx="4">
                  <c:v>164.15384615384619</c:v>
                </c:pt>
                <c:pt idx="5">
                  <c:v>206.72000000000003</c:v>
                </c:pt>
                <c:pt idx="6">
                  <c:v>88.664772727272776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C-7F41-97B3-D1927BBBF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52"/>
        <c:axId val="648022607"/>
        <c:axId val="646936719"/>
      </c:barChart>
      <c:catAx>
        <c:axId val="64802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936719"/>
        <c:crosses val="autoZero"/>
        <c:auto val="1"/>
        <c:lblAlgn val="ctr"/>
        <c:lblOffset val="100"/>
        <c:noMultiLvlLbl val="0"/>
      </c:catAx>
      <c:valAx>
        <c:axId val="6469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02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Outputs!$H$8</c:f>
              <c:strCache>
                <c:ptCount val="1"/>
                <c:pt idx="0">
                  <c:v>Currency conversion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Outputs!$B$10:$B$59</c:f>
              <c:strCache>
                <c:ptCount val="7"/>
                <c:pt idx="0">
                  <c:v>Bingo Drive</c:v>
                </c:pt>
                <c:pt idx="1">
                  <c:v>Bingo Blitz</c:v>
                </c:pt>
                <c:pt idx="2">
                  <c:v>Monopoly Bingo</c:v>
                </c:pt>
                <c:pt idx="3">
                  <c:v>Bingo Showdown</c:v>
                </c:pt>
                <c:pt idx="4">
                  <c:v>Bingo Party</c:v>
                </c:pt>
                <c:pt idx="5">
                  <c:v>Bingo Pop</c:v>
                </c:pt>
                <c:pt idx="6">
                  <c:v>Bingo Bash</c:v>
                </c:pt>
              </c:strCache>
            </c:strRef>
          </c:cat>
          <c:val>
            <c:numRef>
              <c:f>Outputs!$H$10:$H$59</c:f>
              <c:numCache>
                <c:formatCode>#,##0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6.6</c:v>
                </c:pt>
                <c:pt idx="3">
                  <c:v>10.4</c:v>
                </c:pt>
                <c:pt idx="4">
                  <c:v>100</c:v>
                </c:pt>
                <c:pt idx="5">
                  <c:v>8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82-8B42-A576-66B9C5C44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52"/>
        <c:axId val="648022607"/>
        <c:axId val="646936719"/>
      </c:barChart>
      <c:catAx>
        <c:axId val="64802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936719"/>
        <c:crosses val="autoZero"/>
        <c:auto val="1"/>
        <c:lblAlgn val="ctr"/>
        <c:lblOffset val="100"/>
        <c:noMultiLvlLbl val="0"/>
      </c:catAx>
      <c:valAx>
        <c:axId val="6469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02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Outputs!$J$8</c:f>
              <c:strCache>
                <c:ptCount val="1"/>
                <c:pt idx="0">
                  <c:v>Bet/Chips (Minimum Bet)</c:v>
                </c:pt>
              </c:strCache>
            </c:strRef>
          </c:tx>
          <c:spPr>
            <a:solidFill>
              <a:srgbClr val="2281E0"/>
            </a:solidFill>
            <a:ln>
              <a:noFill/>
            </a:ln>
            <a:effectLst/>
          </c:spPr>
          <c:invertIfNegative val="0"/>
          <c:cat>
            <c:strRef>
              <c:f>Outputs!$B$10:$B$59</c:f>
              <c:strCache>
                <c:ptCount val="7"/>
                <c:pt idx="0">
                  <c:v>Bingo Drive</c:v>
                </c:pt>
                <c:pt idx="1">
                  <c:v>Bingo Blitz</c:v>
                </c:pt>
                <c:pt idx="2">
                  <c:v>Monopoly Bingo</c:v>
                </c:pt>
                <c:pt idx="3">
                  <c:v>Bingo Showdown</c:v>
                </c:pt>
                <c:pt idx="4">
                  <c:v>Bingo Party</c:v>
                </c:pt>
                <c:pt idx="5">
                  <c:v>Bingo Pop</c:v>
                </c:pt>
                <c:pt idx="6">
                  <c:v>Bingo Bash</c:v>
                </c:pt>
              </c:strCache>
            </c:strRef>
          </c:cat>
          <c:val>
            <c:numRef>
              <c:f>Outputs!$J$10:$J$59</c:f>
              <c:numCache>
                <c:formatCode>#,##0</c:formatCode>
                <c:ptCount val="7"/>
                <c:pt idx="0">
                  <c:v>50</c:v>
                </c:pt>
                <c:pt idx="1">
                  <c:v>50</c:v>
                </c:pt>
                <c:pt idx="2">
                  <c:v>30</c:v>
                </c:pt>
                <c:pt idx="3">
                  <c:v>12</c:v>
                </c:pt>
                <c:pt idx="4">
                  <c:v>50</c:v>
                </c:pt>
                <c:pt idx="5">
                  <c:v>68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6-8441-8C6A-DF883F3F8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52"/>
        <c:axId val="648022607"/>
        <c:axId val="646936719"/>
      </c:barChart>
      <c:catAx>
        <c:axId val="648022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6936719"/>
        <c:crosses val="autoZero"/>
        <c:auto val="1"/>
        <c:lblAlgn val="ctr"/>
        <c:lblOffset val="100"/>
        <c:noMultiLvlLbl val="0"/>
      </c:catAx>
      <c:valAx>
        <c:axId val="64693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022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419100</xdr:colOff>
      <xdr:row>0</xdr:row>
      <xdr:rowOff>0</xdr:rowOff>
    </xdr:from>
    <xdr:ext cx="695325" cy="40957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1035050</xdr:colOff>
      <xdr:row>61</xdr:row>
      <xdr:rowOff>101600</xdr:rowOff>
    </xdr:from>
    <xdr:to>
      <xdr:col>6</xdr:col>
      <xdr:colOff>533400</xdr:colOff>
      <xdr:row>79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13C07BC-616D-9A44-953C-28DFF03395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190500</xdr:colOff>
      <xdr:row>61</xdr:row>
      <xdr:rowOff>0</xdr:rowOff>
    </xdr:from>
    <xdr:to>
      <xdr:col>12</xdr:col>
      <xdr:colOff>806450</xdr:colOff>
      <xdr:row>79</xdr:row>
      <xdr:rowOff>25400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F1E07BA-DE1F-724E-A6A5-99298B1C1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1016000</xdr:colOff>
      <xdr:row>82</xdr:row>
      <xdr:rowOff>12700</xdr:rowOff>
    </xdr:from>
    <xdr:to>
      <xdr:col>6</xdr:col>
      <xdr:colOff>514350</xdr:colOff>
      <xdr:row>100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D9F1FA6-8E17-8043-970E-9D850F586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82</xdr:row>
      <xdr:rowOff>0</xdr:rowOff>
    </xdr:from>
    <xdr:to>
      <xdr:col>12</xdr:col>
      <xdr:colOff>615950</xdr:colOff>
      <xdr:row>100</xdr:row>
      <xdr:rowOff>25400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620CFED-0648-AF4E-903B-B9607FA7D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103</xdr:row>
      <xdr:rowOff>0</xdr:rowOff>
    </xdr:from>
    <xdr:to>
      <xdr:col>6</xdr:col>
      <xdr:colOff>615950</xdr:colOff>
      <xdr:row>121</xdr:row>
      <xdr:rowOff>25400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5E4AE98-98C1-ED47-9DCD-B60EE79AD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2403475</xdr:colOff>
      <xdr:row>0</xdr:row>
      <xdr:rowOff>25400</xdr:rowOff>
    </xdr:from>
    <xdr:ext cx="714375" cy="4286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03475" y="25400"/>
          <a:ext cx="714375" cy="4286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1076325</xdr:colOff>
      <xdr:row>0</xdr:row>
      <xdr:rowOff>12700</xdr:rowOff>
    </xdr:from>
    <xdr:ext cx="666750" cy="40005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12700"/>
          <a:ext cx="666750" cy="40005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174625</xdr:colOff>
      <xdr:row>0</xdr:row>
      <xdr:rowOff>12700</xdr:rowOff>
    </xdr:from>
    <xdr:ext cx="647700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2727432C-410D-DC4C-A49A-7276CB1DC1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4625" y="12700"/>
          <a:ext cx="647700" cy="3905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450850</xdr:colOff>
      <xdr:row>0</xdr:row>
      <xdr:rowOff>12700</xdr:rowOff>
    </xdr:from>
    <xdr:ext cx="647700" cy="3905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23F4352E-2964-3442-B65E-8B6F45136AA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0850" y="12700"/>
          <a:ext cx="647700" cy="3905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Z999"/>
  <sheetViews>
    <sheetView tabSelected="1" workbookViewId="0">
      <pane ySplit="8" topLeftCell="A67" activePane="bottomLeft" state="frozen"/>
      <selection pane="bottomLeft" activeCell="B104" sqref="B104"/>
    </sheetView>
  </sheetViews>
  <sheetFormatPr baseColWidth="10" defaultColWidth="11.1640625" defaultRowHeight="15" customHeight="1"/>
  <cols>
    <col min="1" max="1" width="14.6640625" customWidth="1"/>
    <col min="2" max="14" width="20" customWidth="1"/>
    <col min="15" max="26" width="11" customWidth="1"/>
  </cols>
  <sheetData>
    <row r="1" spans="1:26" ht="31.5" customHeight="1">
      <c r="A1" s="1"/>
      <c r="B1" s="5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7"/>
    </row>
    <row r="2" spans="1:26" ht="15.75" customHeight="1">
      <c r="A2" s="9" t="s">
        <v>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>
      <c r="A3" s="12"/>
      <c r="B3" s="12"/>
      <c r="C3" s="1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5"/>
    </row>
    <row r="4" spans="1:26" ht="15.75" customHeight="1">
      <c r="A4" s="12"/>
      <c r="B4" s="17" t="s">
        <v>5</v>
      </c>
      <c r="C4" s="19" t="s">
        <v>6</v>
      </c>
      <c r="D4" s="19" t="s">
        <v>8</v>
      </c>
      <c r="E4" s="32"/>
      <c r="F4" s="36"/>
      <c r="G4" s="37"/>
      <c r="H4" s="4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5"/>
    </row>
    <row r="5" spans="1:26" ht="15.75" customHeight="1">
      <c r="A5" s="12"/>
      <c r="B5" s="43" t="s">
        <v>86</v>
      </c>
      <c r="C5" s="46">
        <v>4</v>
      </c>
      <c r="D5" s="48" t="s">
        <v>122</v>
      </c>
      <c r="E5" s="49"/>
      <c r="F5" s="48"/>
      <c r="G5" s="55"/>
      <c r="H5" s="4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5"/>
    </row>
    <row r="6" spans="1:26" ht="15.75" customHeight="1">
      <c r="A6" s="12"/>
      <c r="B6" s="12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5"/>
    </row>
    <row r="7" spans="1:26" ht="15.75" hidden="1" customHeight="1">
      <c r="A7" s="57"/>
      <c r="B7" s="58" t="s">
        <v>134</v>
      </c>
      <c r="C7" s="59"/>
      <c r="D7" s="59">
        <v>2</v>
      </c>
      <c r="E7" s="59">
        <v>17</v>
      </c>
      <c r="F7" s="61">
        <v>24</v>
      </c>
      <c r="G7" s="61">
        <v>25</v>
      </c>
      <c r="H7" s="61">
        <v>19</v>
      </c>
      <c r="I7" s="63">
        <v>30</v>
      </c>
      <c r="J7" s="63">
        <v>31</v>
      </c>
      <c r="K7" s="63">
        <v>27</v>
      </c>
      <c r="L7" s="63">
        <v>28</v>
      </c>
      <c r="M7" s="63">
        <v>25</v>
      </c>
      <c r="N7" s="65">
        <v>26</v>
      </c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28">
      <c r="A8" s="66" t="s">
        <v>136</v>
      </c>
      <c r="B8" s="67" t="s">
        <v>138</v>
      </c>
      <c r="C8" s="67" t="s">
        <v>139</v>
      </c>
      <c r="D8" s="67" t="s">
        <v>140</v>
      </c>
      <c r="E8" s="67" t="s">
        <v>141</v>
      </c>
      <c r="F8" s="67" t="s">
        <v>142</v>
      </c>
      <c r="G8" s="67" t="s">
        <v>143</v>
      </c>
      <c r="H8" s="67" t="s">
        <v>144</v>
      </c>
      <c r="I8" s="67" t="str">
        <f>Inputs!B60</f>
        <v>Bet/Chips (Default bet)</v>
      </c>
      <c r="J8" s="67" t="str">
        <f>Inputs!B61</f>
        <v>Bet/Chips (Minimum Bet)</v>
      </c>
      <c r="K8" s="67" t="s">
        <v>145</v>
      </c>
      <c r="L8" s="67" t="s">
        <v>146</v>
      </c>
      <c r="M8" s="67" t="s">
        <v>147</v>
      </c>
      <c r="N8" s="68" t="s">
        <v>148</v>
      </c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15.75" hidden="1" customHeight="1">
      <c r="A9" s="75">
        <v>1</v>
      </c>
      <c r="B9" s="76" t="s">
        <v>9</v>
      </c>
      <c r="C9" s="77" t="s">
        <v>149</v>
      </c>
      <c r="D9" s="79">
        <f>HLOOKUP($B9,Inputs!$B$31:$ZV$68,D$7,FALSE)</f>
        <v>5.7055555555555557</v>
      </c>
      <c r="E9" s="81">
        <f>HLOOKUP($B9,Inputs!$B$31:$ZV$68,E$7,FALSE)</f>
        <v>1.5433333333333332</v>
      </c>
      <c r="F9" s="83">
        <f>HLOOKUP($B9,Inputs!$B$31:$ZV$68,F$7,FALSE)</f>
        <v>1026.0000000000002</v>
      </c>
      <c r="G9" s="83">
        <f>HLOOKUP($B9,Inputs!$B$31:$ZV$68,G$7,FALSE)</f>
        <v>102699.00000000003</v>
      </c>
      <c r="H9" s="83">
        <f>HLOOKUP($B9,Inputs!$B$31:$ZV$68,H$7,FALSE)</f>
        <v>1800000</v>
      </c>
      <c r="I9" s="83">
        <f>HLOOKUP($B9,Inputs!$B$31:$ZV$68,I$7,FALSE)</f>
        <v>100</v>
      </c>
      <c r="J9" s="83">
        <f>HLOOKUP($B9,Inputs!$B$31:$ZV$68,J$7,FALSE)</f>
        <v>10000</v>
      </c>
      <c r="K9" s="83">
        <f>HLOOKUP($B9,Inputs!$B$31:$ZV$68,K$7,FALSE)</f>
        <v>359.99999999999966</v>
      </c>
      <c r="L9" s="83">
        <f>HLOOKUP($B9,Inputs!$B$31:$ZV$68,L$7,FALSE)</f>
        <v>35999.999999999971</v>
      </c>
      <c r="M9" s="83">
        <f>HLOOKUP($B9,Inputs!$B$4:$ZX$29,M$7,FALSE)</f>
        <v>100000</v>
      </c>
      <c r="N9" s="87">
        <f>HLOOKUP($B9,Inputs!$B$4:$ZX$29,N$7,FALSE)</f>
        <v>1000</v>
      </c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5"/>
    </row>
    <row r="10" spans="1:26" ht="15.75" hidden="1" customHeight="1">
      <c r="A10" s="89">
        <v>2</v>
      </c>
      <c r="B10" s="93" t="s">
        <v>10</v>
      </c>
      <c r="C10" s="47" t="s">
        <v>149</v>
      </c>
      <c r="D10" s="96">
        <f>HLOOKUP($B10,Inputs!$B$31:$ZV$68,D$7,FALSE)</f>
        <v>8</v>
      </c>
      <c r="E10" s="96">
        <f>HLOOKUP($B10,Inputs!$B$31:$ZV$68,E$7,FALSE)</f>
        <v>1.4239999999999999</v>
      </c>
      <c r="F10" s="51">
        <f>HLOOKUP($B10,Inputs!$B$31:$ZV$68,F$7,FALSE)</f>
        <v>999.00000000000023</v>
      </c>
      <c r="G10" s="51">
        <f>HLOOKUP($B10,Inputs!$B$31:$ZV$68,G$7,FALSE)</f>
        <v>999.00000000000023</v>
      </c>
      <c r="H10" s="51">
        <f>HLOOKUP($B10,Inputs!$B$31:$ZV$68,H$7,FALSE)</f>
        <v>125000</v>
      </c>
      <c r="I10" s="51">
        <f>HLOOKUP($B10,Inputs!$B$31:$ZV$68,I$7,FALSE)</f>
        <v>100</v>
      </c>
      <c r="J10" s="51">
        <f>HLOOKUP($B10,Inputs!$B$31:$ZV$68,J$7,FALSE)</f>
        <v>100</v>
      </c>
      <c r="K10" s="51">
        <f>HLOOKUP($B10,Inputs!$B$31:$ZV$68,K$7,FALSE)</f>
        <v>249.99999999999977</v>
      </c>
      <c r="L10" s="51">
        <f>HLOOKUP($B10,Inputs!$B$31:$ZV$68,L$7,FALSE)</f>
        <v>249.99999999999977</v>
      </c>
      <c r="M10" s="51">
        <f>HLOOKUP($B10,Inputs!$B$4:$ZX$29,M$7,FALSE)</f>
        <v>10000</v>
      </c>
      <c r="N10" s="100">
        <f>HLOOKUP($B10,Inputs!$B$4:$ZX$29,N$7,FALSE)</f>
        <v>10000</v>
      </c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5"/>
    </row>
    <row r="11" spans="1:26" ht="15.75" hidden="1" customHeight="1">
      <c r="A11" s="89">
        <v>3</v>
      </c>
      <c r="B11" s="93" t="s">
        <v>11</v>
      </c>
      <c r="C11" s="47" t="s">
        <v>149</v>
      </c>
      <c r="D11" s="96">
        <f>HLOOKUP($B11,Inputs!$B$31:$ZV$68,D$7,FALSE)</f>
        <v>9.0909090909090917</v>
      </c>
      <c r="E11" s="96">
        <f>HLOOKUP($B11,Inputs!$B$31:$ZV$68,E$7,FALSE)</f>
        <v>6.2736363636363635</v>
      </c>
      <c r="F11" s="51">
        <f>HLOOKUP($B11,Inputs!$B$31:$ZV$68,F$7,FALSE)</f>
        <v>1599.0000000000005</v>
      </c>
      <c r="G11" s="51">
        <f>HLOOKUP($B11,Inputs!$B$31:$ZV$68,G$7,FALSE)</f>
        <v>1599.0000000000005</v>
      </c>
      <c r="H11" s="51">
        <f>HLOOKUP($B11,Inputs!$B$31:$ZV$68,H$7,FALSE)</f>
        <v>11000</v>
      </c>
      <c r="I11" s="51">
        <f>HLOOKUP($B11,Inputs!$B$31:$ZV$68,I$7,FALSE)</f>
        <v>160</v>
      </c>
      <c r="J11" s="51">
        <f>HLOOKUP($B11,Inputs!$B$31:$ZV$68,J$7,FALSE)</f>
        <v>160</v>
      </c>
      <c r="K11" s="51">
        <f>HLOOKUP($B11,Inputs!$B$31:$ZV$68,K$7,FALSE)</f>
        <v>351.99999999999972</v>
      </c>
      <c r="L11" s="51">
        <f>HLOOKUP($B11,Inputs!$B$31:$ZV$68,L$7,FALSE)</f>
        <v>351.99999999999972</v>
      </c>
      <c r="M11" s="51">
        <f>HLOOKUP($B11,Inputs!$B$4:$ZX$29,M$7,FALSE)</f>
        <v>625</v>
      </c>
      <c r="N11" s="100">
        <f>HLOOKUP($B11,Inputs!$B$4:$ZX$29,N$7,FALSE)</f>
        <v>625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5"/>
    </row>
    <row r="12" spans="1:26" ht="15.75" hidden="1" customHeight="1">
      <c r="A12" s="89">
        <v>4</v>
      </c>
      <c r="B12" s="93" t="s">
        <v>12</v>
      </c>
      <c r="C12" s="47" t="s">
        <v>149</v>
      </c>
      <c r="D12" s="96">
        <f>HLOOKUP($B12,Inputs!$B$31:$ZV$68,D$7,FALSE)</f>
        <v>1.0964912280701755</v>
      </c>
      <c r="E12" s="96">
        <f>HLOOKUP($B12,Inputs!$B$31:$ZV$68,E$7,FALSE)</f>
        <v>2.9973684210526317</v>
      </c>
      <c r="F12" s="51">
        <f>HLOOKUP($B12,Inputs!$B$31:$ZV$68,F$7,FALSE)</f>
        <v>311.50000000000006</v>
      </c>
      <c r="G12" s="51">
        <f>HLOOKUP($B12,Inputs!$B$31:$ZV$68,G$7,FALSE)</f>
        <v>3124.0000000000009</v>
      </c>
      <c r="H12" s="51">
        <f>HLOOKUP($B12,Inputs!$B$31:$ZV$68,H$7,FALSE)</f>
        <v>11400</v>
      </c>
      <c r="I12" s="51">
        <f>HLOOKUP($B12,Inputs!$B$31:$ZV$68,I$7,FALSE)</f>
        <v>31.25</v>
      </c>
      <c r="J12" s="51">
        <f>HLOOKUP($B12,Inputs!$B$31:$ZV$68,J$7,FALSE)</f>
        <v>312.5</v>
      </c>
      <c r="K12" s="51">
        <f>HLOOKUP($B12,Inputs!$B$31:$ZV$68,K$7,FALSE)</f>
        <v>569.99999999999955</v>
      </c>
      <c r="L12" s="51">
        <f>HLOOKUP($B12,Inputs!$B$31:$ZV$68,L$7,FALSE)</f>
        <v>5699.9999999999945</v>
      </c>
      <c r="M12" s="51">
        <f>HLOOKUP($B12,Inputs!$B$4:$ZX$29,M$7,FALSE)</f>
        <v>400</v>
      </c>
      <c r="N12" s="100">
        <f>HLOOKUP($B12,Inputs!$B$4:$ZX$29,N$7,FALSE)</f>
        <v>40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5"/>
    </row>
    <row r="13" spans="1:26" ht="15.75" hidden="1" customHeight="1">
      <c r="A13" s="89">
        <v>6</v>
      </c>
      <c r="B13" s="93" t="s">
        <v>13</v>
      </c>
      <c r="C13" s="47" t="s">
        <v>149</v>
      </c>
      <c r="D13" s="96">
        <f>HLOOKUP($B13,Inputs!$B$31:$ZV$68,D$7,FALSE)</f>
        <v>20</v>
      </c>
      <c r="E13" s="96">
        <f>HLOOKUP($B13,Inputs!$B$31:$ZV$68,E$7,FALSE)</f>
        <v>0.81799999999999995</v>
      </c>
      <c r="F13" s="51" t="str">
        <f>HLOOKUP($B13,Inputs!$B$31:$ZV$68,F$7,FALSE)</f>
        <v>Choose Bet</v>
      </c>
      <c r="G13" s="51">
        <f>HLOOKUP($B13,Inputs!$B$31:$ZV$68,G$7,FALSE)</f>
        <v>3999.0000000000009</v>
      </c>
      <c r="H13" s="51">
        <f>HLOOKUP($B13,Inputs!$B$31:$ZV$68,H$7,FALSE)</f>
        <v>100000</v>
      </c>
      <c r="I13" s="51" t="str">
        <f>HLOOKUP($B13,Inputs!$B$31:$ZV$68,I$7,FALSE)</f>
        <v>Choose Bet</v>
      </c>
      <c r="J13" s="51">
        <f>HLOOKUP($B13,Inputs!$B$31:$ZV$68,J$7,FALSE)</f>
        <v>400</v>
      </c>
      <c r="K13" s="51" t="str">
        <f>HLOOKUP($B13,Inputs!$B$31:$ZV$68,K$7,FALSE)</f>
        <v>N/A</v>
      </c>
      <c r="L13" s="51">
        <f>HLOOKUP($B13,Inputs!$B$31:$ZV$68,L$7,FALSE)</f>
        <v>399.99999999999966</v>
      </c>
      <c r="M13" s="51" t="str">
        <f>HLOOKUP($B13,Inputs!$B$4:$ZX$29,M$7,FALSE)</f>
        <v>Choose Bet</v>
      </c>
      <c r="N13" s="100">
        <f>HLOOKUP($B13,Inputs!$B$4:$ZX$29,N$7,FALSE)</f>
        <v>5000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5"/>
    </row>
    <row r="14" spans="1:26" ht="15.75" hidden="1" customHeight="1">
      <c r="A14" s="89">
        <v>7</v>
      </c>
      <c r="B14" s="93" t="s">
        <v>14</v>
      </c>
      <c r="C14" s="47" t="s">
        <v>149</v>
      </c>
      <c r="D14" s="96">
        <f>HLOOKUP($B14,Inputs!$B$31:$ZV$68,D$7,FALSE)</f>
        <v>0.25</v>
      </c>
      <c r="E14" s="96">
        <f>HLOOKUP($B14,Inputs!$B$31:$ZV$68,E$7,FALSE)</f>
        <v>0.27666666666666667</v>
      </c>
      <c r="F14" s="51">
        <f>HLOOKUP($B14,Inputs!$B$31:$ZV$68,F$7,FALSE)</f>
        <v>1110.1111111111113</v>
      </c>
      <c r="G14" s="51">
        <f>HLOOKUP($B14,Inputs!$B$31:$ZV$68,G$7,FALSE)</f>
        <v>1110.1111111111113</v>
      </c>
      <c r="H14" s="51">
        <f>HLOOKUP($B14,Inputs!$B$31:$ZV$68,H$7,FALSE)</f>
        <v>4000</v>
      </c>
      <c r="I14" s="51">
        <f>HLOOKUP($B14,Inputs!$B$31:$ZV$68,I$7,FALSE)</f>
        <v>111.11111111111111</v>
      </c>
      <c r="J14" s="51">
        <f>HLOOKUP($B14,Inputs!$B$31:$ZV$68,J$7,FALSE)</f>
        <v>111.11111111111111</v>
      </c>
      <c r="K14" s="51">
        <f>HLOOKUP($B14,Inputs!$B$31:$ZV$68,K$7,FALSE)</f>
        <v>8888.8888888888814</v>
      </c>
      <c r="L14" s="51">
        <f>HLOOKUP($B14,Inputs!$B$31:$ZV$68,L$7,FALSE)</f>
        <v>8888.8888888888814</v>
      </c>
      <c r="M14" s="51">
        <f>HLOOKUP($B14,Inputs!$B$4:$ZX$29,M$7,FALSE)</f>
        <v>9</v>
      </c>
      <c r="N14" s="100">
        <f>HLOOKUP($B14,Inputs!$B$4:$ZX$29,N$7,FALSE)</f>
        <v>9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5"/>
    </row>
    <row r="15" spans="1:26" ht="15.75" hidden="1" customHeight="1">
      <c r="A15" s="89">
        <v>8</v>
      </c>
      <c r="B15" s="93" t="s">
        <v>15</v>
      </c>
      <c r="C15" s="47" t="s">
        <v>149</v>
      </c>
      <c r="D15" s="96">
        <f>HLOOKUP($B15,Inputs!$B$31:$ZV$68,D$7,FALSE)</f>
        <v>3</v>
      </c>
      <c r="E15" s="96">
        <f>HLOOKUP($B15,Inputs!$B$31:$ZV$68,E$7,FALSE)</f>
        <v>0.60119999999999996</v>
      </c>
      <c r="F15" s="51">
        <f>HLOOKUP($B15,Inputs!$B$31:$ZV$68,F$7,FALSE)</f>
        <v>1249.0000000000002</v>
      </c>
      <c r="G15" s="51">
        <f>HLOOKUP($B15,Inputs!$B$31:$ZV$68,G$7,FALSE)</f>
        <v>1249.0000000000002</v>
      </c>
      <c r="H15" s="51">
        <f>HLOOKUP($B15,Inputs!$B$31:$ZV$68,H$7,FALSE)</f>
        <v>2000000</v>
      </c>
      <c r="I15" s="51">
        <f>HLOOKUP($B15,Inputs!$B$31:$ZV$68,I$7,FALSE)</f>
        <v>125</v>
      </c>
      <c r="J15" s="51">
        <f>HLOOKUP($B15,Inputs!$B$31:$ZV$68,J$7,FALSE)</f>
        <v>125</v>
      </c>
      <c r="K15" s="51">
        <f>HLOOKUP($B15,Inputs!$B$31:$ZV$68,K$7,FALSE)</f>
        <v>833.33333333333258</v>
      </c>
      <c r="L15" s="51">
        <f>HLOOKUP($B15,Inputs!$B$31:$ZV$68,L$7,FALSE)</f>
        <v>833.33333333333258</v>
      </c>
      <c r="M15" s="51">
        <f>HLOOKUP($B15,Inputs!$B$4:$ZX$29,M$7,FALSE)</f>
        <v>48000</v>
      </c>
      <c r="N15" s="100">
        <f>HLOOKUP($B15,Inputs!$B$4:$ZX$29,N$7,FALSE)</f>
        <v>48000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5"/>
    </row>
    <row r="16" spans="1:26" ht="15.75" hidden="1" customHeight="1">
      <c r="A16" s="89">
        <v>9</v>
      </c>
      <c r="B16" s="93" t="s">
        <v>16</v>
      </c>
      <c r="C16" s="47" t="s">
        <v>149</v>
      </c>
      <c r="D16" s="96">
        <f>HLOOKUP($B16,Inputs!$B$31:$ZV$68,D$7,FALSE)</f>
        <v>3.3333333333333335</v>
      </c>
      <c r="E16" s="96">
        <f>HLOOKUP($B16,Inputs!$B$31:$ZV$68,E$7,FALSE)</f>
        <v>2.4613333333333332</v>
      </c>
      <c r="F16" s="51" t="str">
        <f>HLOOKUP($B16,Inputs!$B$31:$ZV$68,F$7,FALSE)</f>
        <v>Choose Bet</v>
      </c>
      <c r="G16" s="51">
        <f>HLOOKUP($B16,Inputs!$B$31:$ZV$68,G$7,FALSE)</f>
        <v>1665.666666666667</v>
      </c>
      <c r="H16" s="51">
        <f>HLOOKUP($B16,Inputs!$B$31:$ZV$68,H$7,FALSE)</f>
        <v>300000</v>
      </c>
      <c r="I16" s="51" t="str">
        <f>HLOOKUP($B16,Inputs!$B$31:$ZV$68,I$7,FALSE)</f>
        <v>Choose Bet</v>
      </c>
      <c r="J16" s="51">
        <f>HLOOKUP($B16,Inputs!$B$31:$ZV$68,J$7,FALSE)</f>
        <v>166.66666666666666</v>
      </c>
      <c r="K16" s="51" t="str">
        <f>HLOOKUP($B16,Inputs!$B$31:$ZV$68,K$7,FALSE)</f>
        <v>N/A</v>
      </c>
      <c r="L16" s="51">
        <f>HLOOKUP($B16,Inputs!$B$31:$ZV$68,L$7,FALSE)</f>
        <v>999.99999999999909</v>
      </c>
      <c r="M16" s="51" t="str">
        <f>HLOOKUP($B16,Inputs!$B$4:$ZX$29,M$7,FALSE)</f>
        <v>Choose Bet</v>
      </c>
      <c r="N16" s="100">
        <f>HLOOKUP($B16,Inputs!$B$4:$ZX$29,N$7,FALSE)</f>
        <v>6000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5"/>
    </row>
    <row r="17" spans="1:26" ht="15.75" hidden="1" customHeight="1">
      <c r="A17" s="89">
        <v>10</v>
      </c>
      <c r="B17" s="93" t="s">
        <v>17</v>
      </c>
      <c r="C17" s="47" t="s">
        <v>149</v>
      </c>
      <c r="D17" s="96">
        <f>HLOOKUP($B17,Inputs!$B$31:$ZV$68,D$7,FALSE)</f>
        <v>0.40909090909090912</v>
      </c>
      <c r="E17" s="96">
        <f>HLOOKUP($B17,Inputs!$B$31:$ZV$68,E$7,FALSE)</f>
        <v>0.52372727272727271</v>
      </c>
      <c r="F17" s="51">
        <f>HLOOKUP($B17,Inputs!$B$31:$ZV$68,F$7,FALSE)</f>
        <v>899.00000000000023</v>
      </c>
      <c r="G17" s="51">
        <f>HLOOKUP($B17,Inputs!$B$31:$ZV$68,G$7,FALSE)</f>
        <v>4499.0000000000009</v>
      </c>
      <c r="H17" s="51">
        <f>HLOOKUP($B17,Inputs!$B$31:$ZV$68,H$7,FALSE)</f>
        <v>11000000</v>
      </c>
      <c r="I17" s="51">
        <f>HLOOKUP($B17,Inputs!$B$31:$ZV$68,I$7,FALSE)</f>
        <v>90</v>
      </c>
      <c r="J17" s="51">
        <f>HLOOKUP($B17,Inputs!$B$31:$ZV$68,J$7,FALSE)</f>
        <v>450</v>
      </c>
      <c r="K17" s="51">
        <f>HLOOKUP($B17,Inputs!$B$31:$ZV$68,K$7,FALSE)</f>
        <v>4399.9999999999964</v>
      </c>
      <c r="L17" s="51">
        <f>HLOOKUP($B17,Inputs!$B$31:$ZV$68,L$7,FALSE)</f>
        <v>21999.999999999982</v>
      </c>
      <c r="M17" s="51">
        <f>HLOOKUP($B17,Inputs!$B$4:$ZX$29,M$7,FALSE)</f>
        <v>50000</v>
      </c>
      <c r="N17" s="100">
        <f>HLOOKUP($B17,Inputs!$B$4:$ZX$29,N$7,FALSE)</f>
        <v>10000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5"/>
    </row>
    <row r="18" spans="1:26" ht="15.75" hidden="1" customHeight="1">
      <c r="A18" s="89">
        <v>11</v>
      </c>
      <c r="B18" s="93" t="s">
        <v>18</v>
      </c>
      <c r="C18" s="47" t="s">
        <v>149</v>
      </c>
      <c r="D18" s="96">
        <f>HLOOKUP($B18,Inputs!$B$31:$ZV$68,D$7,FALSE)</f>
        <v>16</v>
      </c>
      <c r="E18" s="96">
        <f>HLOOKUP($B18,Inputs!$B$31:$ZV$68,E$7,FALSE)</f>
        <v>11.6</v>
      </c>
      <c r="F18" s="51">
        <f>HLOOKUP($B18,Inputs!$B$31:$ZV$68,F$7,FALSE)</f>
        <v>443.44444444444451</v>
      </c>
      <c r="G18" s="51">
        <f>HLOOKUP($B18,Inputs!$B$31:$ZV$68,G$7,FALSE)</f>
        <v>443.44444444444451</v>
      </c>
      <c r="H18" s="51">
        <f>HLOOKUP($B18,Inputs!$B$31:$ZV$68,H$7,FALSE)</f>
        <v>95000</v>
      </c>
      <c r="I18" s="51">
        <f>HLOOKUP($B18,Inputs!$B$31:$ZV$68,I$7,FALSE)</f>
        <v>44.444444444444443</v>
      </c>
      <c r="J18" s="51">
        <f>HLOOKUP($B18,Inputs!$B$31:$ZV$68,J$7,FALSE)</f>
        <v>44.444444444444443</v>
      </c>
      <c r="K18" s="51">
        <f>HLOOKUP($B18,Inputs!$B$31:$ZV$68,K$7,FALSE)</f>
        <v>55.555555555555507</v>
      </c>
      <c r="L18" s="51">
        <f>HLOOKUP($B18,Inputs!$B$31:$ZV$68,L$7,FALSE)</f>
        <v>55.555555555555507</v>
      </c>
      <c r="M18" s="51">
        <f>HLOOKUP($B18,Inputs!$B$4:$ZX$29,M$7,FALSE)</f>
        <v>34200</v>
      </c>
      <c r="N18" s="100">
        <f>HLOOKUP($B18,Inputs!$B$4:$ZX$29,N$7,FALSE)</f>
        <v>34200</v>
      </c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5"/>
    </row>
    <row r="19" spans="1:26" ht="15.75" hidden="1" customHeight="1">
      <c r="A19" s="89">
        <v>12</v>
      </c>
      <c r="B19" s="93" t="s">
        <v>19</v>
      </c>
      <c r="C19" s="47" t="s">
        <v>149</v>
      </c>
      <c r="D19" s="96">
        <f>HLOOKUP($B19,Inputs!$B$31:$ZV$68,D$7,FALSE)</f>
        <v>3.3333333333333335</v>
      </c>
      <c r="E19" s="96">
        <f>HLOOKUP($B19,Inputs!$B$31:$ZV$68,E$7,FALSE)</f>
        <v>0.83933333333333338</v>
      </c>
      <c r="F19" s="51">
        <f>HLOOKUP($B19,Inputs!$B$31:$ZV$68,F$7,FALSE)</f>
        <v>11110.111111111113</v>
      </c>
      <c r="G19" s="51">
        <f>HLOOKUP($B19,Inputs!$B$31:$ZV$68,G$7,FALSE)</f>
        <v>111110.11111111114</v>
      </c>
      <c r="H19" s="51">
        <f>HLOOKUP($B19,Inputs!$B$31:$ZV$68,H$7,FALSE)</f>
        <v>3000</v>
      </c>
      <c r="I19" s="51">
        <f>HLOOKUP($B19,Inputs!$B$31:$ZV$68,I$7,FALSE)</f>
        <v>1111.1111111111111</v>
      </c>
      <c r="J19" s="51">
        <f>HLOOKUP($B19,Inputs!$B$31:$ZV$68,J$7,FALSE)</f>
        <v>11111.111111111111</v>
      </c>
      <c r="K19" s="51">
        <f>HLOOKUP($B19,Inputs!$B$31:$ZV$68,K$7,FALSE)</f>
        <v>6666.6666666666606</v>
      </c>
      <c r="L19" s="51">
        <f>HLOOKUP($B19,Inputs!$B$31:$ZV$68,L$7,FALSE)</f>
        <v>66666.666666666599</v>
      </c>
      <c r="M19" s="51">
        <f>HLOOKUP($B19,Inputs!$B$4:$ZX$29,M$7,FALSE)</f>
        <v>9</v>
      </c>
      <c r="N19" s="100">
        <f>HLOOKUP($B19,Inputs!$B$4:$ZX$29,N$7,FALSE)</f>
        <v>0.9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5"/>
    </row>
    <row r="20" spans="1:26" ht="15.75" hidden="1" customHeight="1">
      <c r="A20" s="89">
        <v>13</v>
      </c>
      <c r="B20" s="93" t="s">
        <v>20</v>
      </c>
      <c r="C20" s="47" t="s">
        <v>149</v>
      </c>
      <c r="D20" s="96">
        <f>HLOOKUP($B20,Inputs!$B$31:$ZV$68,D$7,FALSE)</f>
        <v>1.6666666666666667</v>
      </c>
      <c r="E20" s="96">
        <f>HLOOKUP($B20,Inputs!$B$31:$ZV$68,E$7,FALSE)</f>
        <v>3.8374999999999999</v>
      </c>
      <c r="F20" s="51">
        <f>HLOOKUP($B20,Inputs!$B$31:$ZV$68,F$7,FALSE)</f>
        <v>379.95238095238102</v>
      </c>
      <c r="G20" s="51">
        <f>HLOOKUP($B20,Inputs!$B$31:$ZV$68,G$7,FALSE)</f>
        <v>713.28571428571445</v>
      </c>
      <c r="H20" s="51">
        <f>HLOOKUP($B20,Inputs!$B$31:$ZV$68,H$7,FALSE)</f>
        <v>600000</v>
      </c>
      <c r="I20" s="51">
        <f>HLOOKUP($B20,Inputs!$B$31:$ZV$68,I$7,FALSE)</f>
        <v>38.095238095238095</v>
      </c>
      <c r="J20" s="51">
        <f>HLOOKUP($B20,Inputs!$B$31:$ZV$68,J$7,FALSE)</f>
        <v>71.428571428571431</v>
      </c>
      <c r="K20" s="51">
        <f>HLOOKUP($B20,Inputs!$B$31:$ZV$68,K$7,FALSE)</f>
        <v>457.14285714285677</v>
      </c>
      <c r="L20" s="51">
        <f>HLOOKUP($B20,Inputs!$B$31:$ZV$68,L$7,FALSE)</f>
        <v>857.14285714285631</v>
      </c>
      <c r="M20" s="51">
        <f>HLOOKUP($B20,Inputs!$B$4:$ZX$29,M$7,FALSE)</f>
        <v>26250</v>
      </c>
      <c r="N20" s="100">
        <f>HLOOKUP($B20,Inputs!$B$4:$ZX$29,N$7,FALSE)</f>
        <v>14000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5"/>
    </row>
    <row r="21" spans="1:26" ht="15.75" hidden="1" customHeight="1">
      <c r="A21" s="89">
        <v>14</v>
      </c>
      <c r="B21" s="93" t="s">
        <v>21</v>
      </c>
      <c r="C21" s="47" t="s">
        <v>149</v>
      </c>
      <c r="D21" s="96">
        <f>HLOOKUP($B21,Inputs!$B$31:$ZV$68,D$7,FALSE)</f>
        <v>1.25</v>
      </c>
      <c r="E21" s="96">
        <f>HLOOKUP($B21,Inputs!$B$31:$ZV$68,E$7,FALSE)</f>
        <v>0.32425999999999999</v>
      </c>
      <c r="F21" s="51">
        <f>HLOOKUP($B21,Inputs!$B$31:$ZV$68,F$7,FALSE)</f>
        <v>519.83333333333348</v>
      </c>
      <c r="G21" s="51">
        <f>HLOOKUP($B21,Inputs!$B$31:$ZV$68,G$7,FALSE)</f>
        <v>1542.2098765432102</v>
      </c>
      <c r="H21" s="51">
        <f>HLOOKUP($B21,Inputs!$B$31:$ZV$68,H$7,FALSE)</f>
        <v>1000000</v>
      </c>
      <c r="I21" s="51">
        <f>HLOOKUP($B21,Inputs!$B$31:$ZV$68,I$7,FALSE)</f>
        <v>52.083333333333336</v>
      </c>
      <c r="J21" s="51">
        <f>HLOOKUP($B21,Inputs!$B$31:$ZV$68,J$7,FALSE)</f>
        <v>154.32098765432099</v>
      </c>
      <c r="K21" s="51">
        <f>HLOOKUP($B21,Inputs!$B$31:$ZV$68,K$7,FALSE)</f>
        <v>833.33333333333258</v>
      </c>
      <c r="L21" s="51">
        <f>HLOOKUP($B21,Inputs!$B$31:$ZV$68,L$7,FALSE)</f>
        <v>2469.1358024691335</v>
      </c>
      <c r="M21" s="51">
        <f>HLOOKUP($B21,Inputs!$B$4:$ZX$29,M$7,FALSE)</f>
        <v>24000</v>
      </c>
      <c r="N21" s="100">
        <f>HLOOKUP($B21,Inputs!$B$4:$ZX$29,N$7,FALSE)</f>
        <v>8100</v>
      </c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5"/>
    </row>
    <row r="22" spans="1:26" ht="15.75" hidden="1" customHeight="1">
      <c r="A22" s="89">
        <v>15</v>
      </c>
      <c r="B22" s="93" t="s">
        <v>22</v>
      </c>
      <c r="C22" s="47" t="s">
        <v>149</v>
      </c>
      <c r="D22" s="96">
        <f>HLOOKUP($B22,Inputs!$B$31:$ZV$68,D$7,FALSE)</f>
        <v>1</v>
      </c>
      <c r="E22" s="96">
        <f>HLOOKUP($B22,Inputs!$B$31:$ZV$68,E$7,FALSE)</f>
        <v>0.85158333333333336</v>
      </c>
      <c r="F22" s="51">
        <f>HLOOKUP($B22,Inputs!$B$31:$ZV$68,F$7,FALSE)</f>
        <v>39999.000000000007</v>
      </c>
      <c r="G22" s="51">
        <f>HLOOKUP($B22,Inputs!$B$31:$ZV$68,G$7,FALSE)</f>
        <v>39999.000000000007</v>
      </c>
      <c r="H22" s="51">
        <f>HLOOKUP($B22,Inputs!$B$31:$ZV$68,H$7,FALSE)</f>
        <v>40000</v>
      </c>
      <c r="I22" s="51">
        <f>HLOOKUP($B22,Inputs!$B$31:$ZV$68,I$7,FALSE)</f>
        <v>4000</v>
      </c>
      <c r="J22" s="51">
        <f>HLOOKUP($B22,Inputs!$B$31:$ZV$68,J$7,FALSE)</f>
        <v>4000</v>
      </c>
      <c r="K22" s="51">
        <f>HLOOKUP($B22,Inputs!$B$31:$ZV$68,K$7,FALSE)</f>
        <v>79999.999999999927</v>
      </c>
      <c r="L22" s="51">
        <f>HLOOKUP($B22,Inputs!$B$31:$ZV$68,L$7,FALSE)</f>
        <v>79999.999999999927</v>
      </c>
      <c r="M22" s="51">
        <f>HLOOKUP($B22,Inputs!$B$4:$ZX$29,M$7,FALSE)</f>
        <v>10</v>
      </c>
      <c r="N22" s="100">
        <f>HLOOKUP($B22,Inputs!$B$4:$ZX$29,N$7,FALSE)</f>
        <v>10</v>
      </c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5"/>
    </row>
    <row r="23" spans="1:26" ht="15.75" hidden="1" customHeight="1">
      <c r="A23" s="89">
        <v>16</v>
      </c>
      <c r="B23" s="93" t="s">
        <v>23</v>
      </c>
      <c r="C23" s="47" t="s">
        <v>149</v>
      </c>
      <c r="D23" s="96">
        <f>HLOOKUP($B23,Inputs!$B$31:$ZV$68,D$7,FALSE)</f>
        <v>1.5</v>
      </c>
      <c r="E23" s="96">
        <f>HLOOKUP($B23,Inputs!$B$31:$ZV$68,E$7,FALSE)</f>
        <v>5.1383333333333336</v>
      </c>
      <c r="F23" s="51">
        <f>HLOOKUP($B23,Inputs!$B$31:$ZV$68,F$7,FALSE)</f>
        <v>499.00000000000011</v>
      </c>
      <c r="G23" s="51">
        <f>HLOOKUP($B23,Inputs!$B$31:$ZV$68,G$7,FALSE)</f>
        <v>1499.0000000000002</v>
      </c>
      <c r="H23" s="51">
        <f>HLOOKUP($B23,Inputs!$B$31:$ZV$68,H$7,FALSE)</f>
        <v>1200000</v>
      </c>
      <c r="I23" s="51">
        <f>HLOOKUP($B23,Inputs!$B$31:$ZV$68,I$7,FALSE)</f>
        <v>50</v>
      </c>
      <c r="J23" s="51">
        <f>HLOOKUP($B23,Inputs!$B$31:$ZV$68,J$7,FALSE)</f>
        <v>150</v>
      </c>
      <c r="K23" s="51">
        <f>HLOOKUP($B23,Inputs!$B$31:$ZV$68,K$7,FALSE)</f>
        <v>666.66666666666617</v>
      </c>
      <c r="L23" s="51">
        <f>HLOOKUP($B23,Inputs!$B$31:$ZV$68,L$7,FALSE)</f>
        <v>1999.9999999999982</v>
      </c>
      <c r="M23" s="51">
        <f>HLOOKUP($B23,Inputs!$B$4:$ZX$29,M$7,FALSE)</f>
        <v>36000</v>
      </c>
      <c r="N23" s="100">
        <f>HLOOKUP($B23,Inputs!$B$4:$ZX$29,N$7,FALSE)</f>
        <v>12000</v>
      </c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5"/>
    </row>
    <row r="24" spans="1:26" ht="15.75" hidden="1" customHeight="1">
      <c r="A24" s="89">
        <v>17</v>
      </c>
      <c r="B24" s="93" t="s">
        <v>24</v>
      </c>
      <c r="C24" s="47" t="s">
        <v>149</v>
      </c>
      <c r="D24" s="96" t="e">
        <f>HLOOKUP($B24,Inputs!$B$31:$ZV$68,D$7,FALSE)</f>
        <v>#REF!</v>
      </c>
      <c r="E24" s="96">
        <f>HLOOKUP($B24,Inputs!$B$31:$ZV$68,E$7,FALSE)</f>
        <v>0.20086916666666665</v>
      </c>
      <c r="F24" s="51" t="str">
        <f>HLOOKUP($B24,Inputs!$B$31:$ZV$68,F$7,FALSE)</f>
        <v>Choose Bet</v>
      </c>
      <c r="G24" s="51" t="str">
        <f>HLOOKUP($B24,Inputs!$B$31:$ZV$68,G$7,FALSE)</f>
        <v>Choose Bet</v>
      </c>
      <c r="H24" s="51">
        <f>HLOOKUP($B24,Inputs!$B$31:$ZV$68,H$7,FALSE)</f>
        <v>240000</v>
      </c>
      <c r="I24" s="51">
        <f>HLOOKUP($B24,Inputs!$B$31:$ZV$68,I$7,FALSE)</f>
        <v>16.666666666666668</v>
      </c>
      <c r="J24" s="51">
        <f>HLOOKUP($B24,Inputs!$B$31:$ZV$68,J$7,FALSE)</f>
        <v>16.666666666666668</v>
      </c>
      <c r="K24" s="51">
        <f>HLOOKUP($B24,Inputs!$B$31:$ZV$68,K$7,FALSE)</f>
        <v>799.99999999999932</v>
      </c>
      <c r="L24" s="51">
        <f>HLOOKUP($B24,Inputs!$B$31:$ZV$68,L$7,FALSE)</f>
        <v>799.99999999999932</v>
      </c>
      <c r="M24" s="51">
        <f>HLOOKUP($B24,Inputs!$B$4:$ZX$29,M$7,FALSE)</f>
        <v>6000</v>
      </c>
      <c r="N24" s="100">
        <f>HLOOKUP($B24,Inputs!$B$4:$ZX$29,N$7,FALSE)</f>
        <v>6000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5"/>
    </row>
    <row r="25" spans="1:26" ht="15.75" hidden="1" customHeight="1">
      <c r="A25" s="89">
        <v>18</v>
      </c>
      <c r="B25" s="93" t="s">
        <v>25</v>
      </c>
      <c r="C25" s="47" t="s">
        <v>149</v>
      </c>
      <c r="D25" s="96">
        <f>HLOOKUP($B25,Inputs!$B$31:$ZV$68,D$7,FALSE)</f>
        <v>6</v>
      </c>
      <c r="E25" s="96">
        <f>HLOOKUP($B25,Inputs!$B$31:$ZV$68,E$7,FALSE)</f>
        <v>3.4128569999999998</v>
      </c>
      <c r="F25" s="51">
        <f>HLOOKUP($B25,Inputs!$B$31:$ZV$68,F$7,FALSE)</f>
        <v>2856.1428571428578</v>
      </c>
      <c r="G25" s="51">
        <f>HLOOKUP($B25,Inputs!$B$31:$ZV$68,G$7,FALSE)</f>
        <v>2856.1428571428578</v>
      </c>
      <c r="H25" s="51">
        <f>HLOOKUP($B25,Inputs!$B$31:$ZV$68,H$7,FALSE)</f>
        <v>1000000</v>
      </c>
      <c r="I25" s="51">
        <f>HLOOKUP($B25,Inputs!$B$31:$ZV$68,I$7,FALSE)</f>
        <v>285.71428571428572</v>
      </c>
      <c r="J25" s="51">
        <f>HLOOKUP($B25,Inputs!$B$31:$ZV$68,J$7,FALSE)</f>
        <v>285.71428571428572</v>
      </c>
      <c r="K25" s="51">
        <f>HLOOKUP($B25,Inputs!$B$31:$ZV$68,K$7,FALSE)</f>
        <v>952.38095238095161</v>
      </c>
      <c r="L25" s="51">
        <f>HLOOKUP($B25,Inputs!$B$31:$ZV$68,L$7,FALSE)</f>
        <v>952.38095238095161</v>
      </c>
      <c r="M25" s="51">
        <f>HLOOKUP($B25,Inputs!$B$4:$ZX$29,M$7,FALSE)</f>
        <v>21000</v>
      </c>
      <c r="N25" s="100">
        <f>HLOOKUP($B25,Inputs!$B$4:$ZX$29,N$7,FALSE)</f>
        <v>21000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5"/>
    </row>
    <row r="26" spans="1:26" ht="15.75" hidden="1" customHeight="1">
      <c r="A26" s="89">
        <v>19</v>
      </c>
      <c r="B26" s="93" t="s">
        <v>26</v>
      </c>
      <c r="C26" s="47" t="s">
        <v>149</v>
      </c>
      <c r="D26" s="96">
        <f>HLOOKUP($B26,Inputs!$B$31:$ZV$68,D$7,FALSE)</f>
        <v>3.4722222222222223</v>
      </c>
      <c r="E26" s="96">
        <f>HLOOKUP($B26,Inputs!$B$31:$ZV$68,E$7,FALSE)</f>
        <v>0.88888888888888884</v>
      </c>
      <c r="F26" s="51">
        <f>HLOOKUP($B26,Inputs!$B$31:$ZV$68,F$7,FALSE)</f>
        <v>3124.0000000000009</v>
      </c>
      <c r="G26" s="51">
        <f>HLOOKUP($B26,Inputs!$B$31:$ZV$68,G$7,FALSE)</f>
        <v>3124.0000000000009</v>
      </c>
      <c r="H26" s="51">
        <f>HLOOKUP($B26,Inputs!$B$31:$ZV$68,H$7,FALSE)</f>
        <v>1440000</v>
      </c>
      <c r="I26" s="51">
        <f>HLOOKUP($B26,Inputs!$B$31:$ZV$68,I$7,FALSE)</f>
        <v>312.5</v>
      </c>
      <c r="J26" s="51">
        <f>HLOOKUP($B26,Inputs!$B$31:$ZV$68,J$7,FALSE)</f>
        <v>312.5</v>
      </c>
      <c r="K26" s="51">
        <f>HLOOKUP($B26,Inputs!$B$31:$ZV$68,K$7,FALSE)</f>
        <v>1799.9999999999984</v>
      </c>
      <c r="L26" s="51">
        <f>HLOOKUP($B26,Inputs!$B$31:$ZV$68,L$7,FALSE)</f>
        <v>1799.9999999999984</v>
      </c>
      <c r="M26" s="51">
        <f>HLOOKUP($B26,Inputs!$B$4:$ZX$29,M$7,FALSE)</f>
        <v>16000</v>
      </c>
      <c r="N26" s="100">
        <f>HLOOKUP($B26,Inputs!$B$4:$ZX$29,N$7,FALSE)</f>
        <v>16000</v>
      </c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5"/>
    </row>
    <row r="27" spans="1:26" ht="15.75" hidden="1" customHeight="1">
      <c r="A27" s="89">
        <v>20</v>
      </c>
      <c r="B27" s="93" t="s">
        <v>27</v>
      </c>
      <c r="C27" s="47" t="s">
        <v>149</v>
      </c>
      <c r="D27" s="96">
        <f>HLOOKUP($B27,Inputs!$B$31:$ZV$68,D$7,FALSE)</f>
        <v>5</v>
      </c>
      <c r="E27" s="96">
        <f>HLOOKUP($B27,Inputs!$B$31:$ZV$68,E$7,FALSE)</f>
        <v>5.3125</v>
      </c>
      <c r="F27" s="51">
        <f>HLOOKUP($B27,Inputs!$B$31:$ZV$68,F$7,FALSE)</f>
        <v>3999.0000000000009</v>
      </c>
      <c r="G27" s="51">
        <f>HLOOKUP($B27,Inputs!$B$31:$ZV$68,G$7,FALSE)</f>
        <v>3999.0000000000009</v>
      </c>
      <c r="H27" s="51">
        <f>HLOOKUP($B27,Inputs!$B$31:$ZV$68,H$7,FALSE)</f>
        <v>200000</v>
      </c>
      <c r="I27" s="51">
        <f>HLOOKUP($B27,Inputs!$B$31:$ZV$68,I$7,FALSE)</f>
        <v>400</v>
      </c>
      <c r="J27" s="51">
        <f>HLOOKUP($B27,Inputs!$B$31:$ZV$68,J$7,FALSE)</f>
        <v>400</v>
      </c>
      <c r="K27" s="51">
        <f>HLOOKUP($B27,Inputs!$B$31:$ZV$68,K$7,FALSE)</f>
        <v>1599.9999999999986</v>
      </c>
      <c r="L27" s="51">
        <f>HLOOKUP($B27,Inputs!$B$31:$ZV$68,L$7,FALSE)</f>
        <v>1599.9999999999986</v>
      </c>
      <c r="M27" s="51">
        <f>HLOOKUP($B27,Inputs!$B$4:$ZX$29,M$7,FALSE)</f>
        <v>2500</v>
      </c>
      <c r="N27" s="100">
        <f>HLOOKUP($B27,Inputs!$B$4:$ZX$29,N$7,FALSE)</f>
        <v>2500</v>
      </c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5"/>
    </row>
    <row r="28" spans="1:26" ht="15.75" hidden="1" customHeight="1">
      <c r="A28" s="89">
        <v>21</v>
      </c>
      <c r="B28" s="93" t="s">
        <v>28</v>
      </c>
      <c r="C28" s="47" t="s">
        <v>149</v>
      </c>
      <c r="D28" s="96">
        <f>HLOOKUP($B28,Inputs!$B$31:$ZV$68,D$7,FALSE)</f>
        <v>0.95238095238095233</v>
      </c>
      <c r="E28" s="96">
        <f>HLOOKUP($B28,Inputs!$B$31:$ZV$68,E$7,FALSE)</f>
        <v>0.66666666666666663</v>
      </c>
      <c r="F28" s="51">
        <f>HLOOKUP($B28,Inputs!$B$31:$ZV$68,F$7,FALSE)</f>
        <v>332.33333333333343</v>
      </c>
      <c r="G28" s="51">
        <f>HLOOKUP($B28,Inputs!$B$31:$ZV$68,G$7,FALSE)</f>
        <v>332.33333333333343</v>
      </c>
      <c r="H28" s="51">
        <f>HLOOKUP($B28,Inputs!$B$31:$ZV$68,H$7,FALSE)</f>
        <v>52500</v>
      </c>
      <c r="I28" s="51">
        <f>HLOOKUP($B28,Inputs!$B$31:$ZV$68,I$7,FALSE)</f>
        <v>33.333333333333336</v>
      </c>
      <c r="J28" s="51">
        <f>HLOOKUP($B28,Inputs!$B$31:$ZV$68,J$7,FALSE)</f>
        <v>33.333333333333336</v>
      </c>
      <c r="K28" s="51">
        <f>HLOOKUP($B28,Inputs!$B$31:$ZV$68,K$7,FALSE)</f>
        <v>699.99999999999943</v>
      </c>
      <c r="L28" s="51">
        <f>HLOOKUP($B28,Inputs!$B$31:$ZV$68,L$7,FALSE)</f>
        <v>699.99999999999943</v>
      </c>
      <c r="M28" s="51">
        <f>HLOOKUP($B28,Inputs!$B$4:$ZX$29,M$7,FALSE)</f>
        <v>1500</v>
      </c>
      <c r="N28" s="100">
        <f>HLOOKUP($B28,Inputs!$B$4:$ZX$29,N$7,FALSE)</f>
        <v>1500</v>
      </c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5"/>
    </row>
    <row r="29" spans="1:26" ht="15.75" hidden="1" customHeight="1">
      <c r="A29" s="89">
        <v>22</v>
      </c>
      <c r="B29" s="93" t="s">
        <v>29</v>
      </c>
      <c r="C29" s="47" t="s">
        <v>149</v>
      </c>
      <c r="D29" s="96">
        <f>HLOOKUP($B29,Inputs!$B$31:$ZV$68,D$7,FALSE)</f>
        <v>17.475000000000001</v>
      </c>
      <c r="E29" s="96">
        <f>HLOOKUP($B29,Inputs!$B$31:$ZV$68,E$7,FALSE)</f>
        <v>1.7873333333333334</v>
      </c>
      <c r="F29" s="51">
        <f>HLOOKUP($B29,Inputs!$B$31:$ZV$68,F$7,FALSE)</f>
        <v>10484.000000000002</v>
      </c>
      <c r="G29" s="51">
        <f>HLOOKUP($B29,Inputs!$B$31:$ZV$68,G$7,FALSE)</f>
        <v>10484.000000000002</v>
      </c>
      <c r="H29" s="51">
        <f>HLOOKUP($B29,Inputs!$B$31:$ZV$68,H$7,FALSE)</f>
        <v>2400000</v>
      </c>
      <c r="I29" s="51">
        <f>HLOOKUP($B29,Inputs!$B$31:$ZV$68,I$7,FALSE)</f>
        <v>300</v>
      </c>
      <c r="J29" s="51">
        <f>HLOOKUP($B29,Inputs!$B$31:$ZV$68,J$7,FALSE)</f>
        <v>300</v>
      </c>
      <c r="K29" s="51">
        <f>HLOOKUP($B29,Inputs!$B$31:$ZV$68,K$7,FALSE)</f>
        <v>1199.9999999999989</v>
      </c>
      <c r="L29" s="51">
        <f>HLOOKUP($B29,Inputs!$B$31:$ZV$68,L$7,FALSE)</f>
        <v>1199.9999999999989</v>
      </c>
      <c r="M29" s="51">
        <f>HLOOKUP($B29,Inputs!$B$4:$ZX$29,M$7,FALSE)</f>
        <v>40000</v>
      </c>
      <c r="N29" s="100">
        <f>HLOOKUP($B29,Inputs!$B$4:$ZX$29,N$7,FALSE)</f>
        <v>40000</v>
      </c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5"/>
    </row>
    <row r="30" spans="1:26" ht="15.75" hidden="1" customHeight="1">
      <c r="A30" s="89">
        <v>23</v>
      </c>
      <c r="B30" s="93" t="s">
        <v>30</v>
      </c>
      <c r="C30" s="47" t="s">
        <v>149</v>
      </c>
      <c r="D30" s="96">
        <f>HLOOKUP($B30,Inputs!$B$31:$ZV$68,D$7,FALSE)</f>
        <v>1.3333333333333333</v>
      </c>
      <c r="E30" s="96">
        <f>HLOOKUP($B30,Inputs!$B$31:$ZV$68,E$7,FALSE)</f>
        <v>2.3333333333333335</v>
      </c>
      <c r="F30" s="51">
        <f>HLOOKUP($B30,Inputs!$B$31:$ZV$68,F$7,FALSE)</f>
        <v>399.00000000000011</v>
      </c>
      <c r="G30" s="51">
        <f>HLOOKUP($B30,Inputs!$B$31:$ZV$68,G$7,FALSE)</f>
        <v>399.00000000000011</v>
      </c>
      <c r="H30" s="51">
        <f>HLOOKUP($B30,Inputs!$B$31:$ZV$68,H$7,FALSE)</f>
        <v>1500</v>
      </c>
      <c r="I30" s="51">
        <f>HLOOKUP($B30,Inputs!$B$31:$ZV$68,I$7,FALSE)</f>
        <v>40</v>
      </c>
      <c r="J30" s="51">
        <f>HLOOKUP($B30,Inputs!$B$31:$ZV$68,J$7,FALSE)</f>
        <v>40</v>
      </c>
      <c r="K30" s="51">
        <f>HLOOKUP($B30,Inputs!$B$31:$ZV$68,K$7,FALSE)</f>
        <v>599.99999999999943</v>
      </c>
      <c r="L30" s="51">
        <f>HLOOKUP($B30,Inputs!$B$31:$ZV$68,L$7,FALSE)</f>
        <v>599.99999999999943</v>
      </c>
      <c r="M30" s="51">
        <f>HLOOKUP($B30,Inputs!$B$4:$ZX$29,M$7,FALSE)</f>
        <v>50</v>
      </c>
      <c r="N30" s="100">
        <f>HLOOKUP($B30,Inputs!$B$4:$ZX$29,N$7,FALSE)</f>
        <v>50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5"/>
    </row>
    <row r="31" spans="1:26" ht="15.75" hidden="1" customHeight="1">
      <c r="A31" s="89">
        <v>24</v>
      </c>
      <c r="B31" s="93" t="s">
        <v>31</v>
      </c>
      <c r="C31" s="47" t="s">
        <v>149</v>
      </c>
      <c r="D31" s="96">
        <f>HLOOKUP($B31,Inputs!$B$31:$ZV$68,D$7,FALSE)</f>
        <v>1.6666666666666667</v>
      </c>
      <c r="E31" s="96">
        <f>HLOOKUP($B31,Inputs!$B$31:$ZV$68,E$7,FALSE)</f>
        <v>2.2881944444444446</v>
      </c>
      <c r="F31" s="51">
        <f>HLOOKUP($B31,Inputs!$B$31:$ZV$68,F$7,FALSE)</f>
        <v>499.00000000000011</v>
      </c>
      <c r="G31" s="51">
        <f>HLOOKUP($B31,Inputs!$B$31:$ZV$68,G$7,FALSE)</f>
        <v>499.00000000000011</v>
      </c>
      <c r="H31" s="51">
        <f>HLOOKUP($B31,Inputs!$B$31:$ZV$68,H$7,FALSE)</f>
        <v>1800000</v>
      </c>
      <c r="I31" s="51">
        <f>HLOOKUP($B31,Inputs!$B$31:$ZV$68,I$7,FALSE)</f>
        <v>50</v>
      </c>
      <c r="J31" s="51">
        <f>HLOOKUP($B31,Inputs!$B$31:$ZV$68,J$7,FALSE)</f>
        <v>50</v>
      </c>
      <c r="K31" s="51">
        <f>HLOOKUP($B31,Inputs!$B$31:$ZV$68,K$7,FALSE)</f>
        <v>599.99999999999943</v>
      </c>
      <c r="L31" s="51">
        <f>HLOOKUP($B31,Inputs!$B$31:$ZV$68,L$7,FALSE)</f>
        <v>599.99999999999943</v>
      </c>
      <c r="M31" s="51">
        <f>HLOOKUP($B31,Inputs!$B$4:$ZX$29,M$7,FALSE)</f>
        <v>60000</v>
      </c>
      <c r="N31" s="100">
        <f>HLOOKUP($B31,Inputs!$B$4:$ZX$29,N$7,FALSE)</f>
        <v>60000</v>
      </c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5"/>
    </row>
    <row r="32" spans="1:26" ht="15.75" hidden="1" customHeight="1">
      <c r="A32" s="89">
        <v>25</v>
      </c>
      <c r="B32" s="93" t="s">
        <v>32</v>
      </c>
      <c r="C32" s="47" t="s">
        <v>149</v>
      </c>
      <c r="D32" s="96">
        <f>HLOOKUP($B32,Inputs!$B$31:$ZV$68,D$7,FALSE)</f>
        <v>0.33333333333333331</v>
      </c>
      <c r="E32" s="96">
        <f>HLOOKUP($B32,Inputs!$B$31:$ZV$68,E$7,FALSE)</f>
        <v>0.5</v>
      </c>
      <c r="F32" s="51">
        <f>HLOOKUP($B32,Inputs!$B$31:$ZV$68,F$7,FALSE)</f>
        <v>499.00000000000011</v>
      </c>
      <c r="G32" s="51">
        <f>HLOOKUP($B32,Inputs!$B$31:$ZV$68,G$7,FALSE)</f>
        <v>499.00000000000011</v>
      </c>
      <c r="H32" s="51">
        <f>HLOOKUP($B32,Inputs!$B$31:$ZV$68,H$7,FALSE)</f>
        <v>90000</v>
      </c>
      <c r="I32" s="51">
        <f>HLOOKUP($B32,Inputs!$B$31:$ZV$68,I$7,FALSE)</f>
        <v>50</v>
      </c>
      <c r="J32" s="51">
        <f>HLOOKUP($B32,Inputs!$B$31:$ZV$68,J$7,FALSE)</f>
        <v>50</v>
      </c>
      <c r="K32" s="51">
        <f>HLOOKUP($B32,Inputs!$B$31:$ZV$68,K$7,FALSE)</f>
        <v>2999.9999999999973</v>
      </c>
      <c r="L32" s="51">
        <f>HLOOKUP($B32,Inputs!$B$31:$ZV$68,L$7,FALSE)</f>
        <v>2999.9999999999973</v>
      </c>
      <c r="M32" s="51">
        <f>HLOOKUP($B32,Inputs!$B$4:$ZX$29,M$7,FALSE)</f>
        <v>600</v>
      </c>
      <c r="N32" s="100">
        <f>HLOOKUP($B32,Inputs!$B$4:$ZX$29,N$7,FALSE)</f>
        <v>600</v>
      </c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5"/>
    </row>
    <row r="33" spans="1:26" ht="15.75" hidden="1" customHeight="1">
      <c r="A33" s="89">
        <v>26</v>
      </c>
      <c r="B33" s="93" t="s">
        <v>33</v>
      </c>
      <c r="C33" s="47" t="s">
        <v>149</v>
      </c>
      <c r="D33" s="96">
        <f>HLOOKUP($B33,Inputs!$B$31:$ZV$68,D$7,FALSE)</f>
        <v>0.34722222222222221</v>
      </c>
      <c r="E33" s="96">
        <f>HLOOKUP($B33,Inputs!$B$31:$ZV$68,E$7,FALSE)</f>
        <v>4.4444444444444446E-2</v>
      </c>
      <c r="F33" s="51">
        <f>HLOOKUP($B33,Inputs!$B$31:$ZV$68,F$7,FALSE)</f>
        <v>999.00000000000023</v>
      </c>
      <c r="G33" s="51">
        <f>HLOOKUP($B33,Inputs!$B$31:$ZV$68,G$7,FALSE)</f>
        <v>2499.0000000000005</v>
      </c>
      <c r="H33" s="51">
        <f>HLOOKUP($B33,Inputs!$B$31:$ZV$68,H$7,FALSE)</f>
        <v>28800</v>
      </c>
      <c r="I33" s="51">
        <f>HLOOKUP($B33,Inputs!$B$31:$ZV$68,I$7,FALSE)</f>
        <v>100</v>
      </c>
      <c r="J33" s="51">
        <f>HLOOKUP($B33,Inputs!$B$31:$ZV$68,J$7,FALSE)</f>
        <v>250</v>
      </c>
      <c r="K33" s="51">
        <f>HLOOKUP($B33,Inputs!$B$31:$ZV$68,K$7,FALSE)</f>
        <v>5759.9999999999945</v>
      </c>
      <c r="L33" s="51">
        <f>HLOOKUP($B33,Inputs!$B$31:$ZV$68,L$7,FALSE)</f>
        <v>14399.999999999987</v>
      </c>
      <c r="M33" s="51">
        <f>HLOOKUP($B33,Inputs!$B$4:$ZX$29,M$7,FALSE)</f>
        <v>100</v>
      </c>
      <c r="N33" s="100">
        <f>HLOOKUP($B33,Inputs!$B$4:$ZX$29,N$7,FALSE)</f>
        <v>40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5"/>
    </row>
    <row r="34" spans="1:26" ht="15.75" hidden="1" customHeight="1">
      <c r="A34" s="89">
        <v>27</v>
      </c>
      <c r="B34" s="93" t="s">
        <v>34</v>
      </c>
      <c r="C34" s="47" t="s">
        <v>149</v>
      </c>
      <c r="D34" s="96">
        <f>HLOOKUP($B34,Inputs!$B$31:$ZV$68,D$7,FALSE)</f>
        <v>4.375</v>
      </c>
      <c r="E34" s="96">
        <f>HLOOKUP($B34,Inputs!$B$31:$ZV$68,E$7,FALSE)</f>
        <v>0.79531249999999998</v>
      </c>
      <c r="F34" s="51">
        <f>HLOOKUP($B34,Inputs!$B$31:$ZV$68,F$7,FALSE)</f>
        <v>349.00000000000006</v>
      </c>
      <c r="G34" s="51">
        <f>HLOOKUP($B34,Inputs!$B$31:$ZV$68,G$7,FALSE)</f>
        <v>3499.0000000000009</v>
      </c>
      <c r="H34" s="51">
        <f>HLOOKUP($B34,Inputs!$B$31:$ZV$68,H$7,FALSE)</f>
        <v>320000</v>
      </c>
      <c r="I34" s="51">
        <f>HLOOKUP($B34,Inputs!$B$31:$ZV$68,I$7,FALSE)</f>
        <v>35</v>
      </c>
      <c r="J34" s="51">
        <f>HLOOKUP($B34,Inputs!$B$31:$ZV$68,J$7,FALSE)</f>
        <v>350</v>
      </c>
      <c r="K34" s="51">
        <f>HLOOKUP($B34,Inputs!$B$31:$ZV$68,K$7,FALSE)</f>
        <v>159.99999999999986</v>
      </c>
      <c r="L34" s="51">
        <f>HLOOKUP($B34,Inputs!$B$31:$ZV$68,L$7,FALSE)</f>
        <v>1599.9999999999986</v>
      </c>
      <c r="M34" s="51">
        <f>HLOOKUP($B34,Inputs!$B$4:$ZX$29,M$7,FALSE)</f>
        <v>40000</v>
      </c>
      <c r="N34" s="100">
        <f>HLOOKUP($B34,Inputs!$B$4:$ZX$29,N$7,FALSE)</f>
        <v>4000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5"/>
    </row>
    <row r="35" spans="1:26" ht="15.75" hidden="1" customHeight="1">
      <c r="A35" s="89">
        <v>28</v>
      </c>
      <c r="B35" s="93" t="s">
        <v>35</v>
      </c>
      <c r="C35" s="47" t="s">
        <v>149</v>
      </c>
      <c r="D35" s="96">
        <f>HLOOKUP($B35,Inputs!$B$31:$ZV$68,D$7,FALSE)</f>
        <v>8.9791666666666661</v>
      </c>
      <c r="E35" s="96">
        <f>HLOOKUP($B35,Inputs!$B$31:$ZV$68,E$7,FALSE)</f>
        <v>1.9077777777777777E-2</v>
      </c>
      <c r="F35" s="51">
        <f>HLOOKUP($B35,Inputs!$B$31:$ZV$68,F$7,FALSE)</f>
        <v>322.25000000000011</v>
      </c>
      <c r="G35" s="51">
        <f>HLOOKUP($B35,Inputs!$B$31:$ZV$68,G$7,FALSE)</f>
        <v>1292999.0000000002</v>
      </c>
      <c r="H35" s="51">
        <f>HLOOKUP($B35,Inputs!$B$31:$ZV$68,H$7,FALSE)</f>
        <v>36000</v>
      </c>
      <c r="I35" s="51">
        <f>HLOOKUP($B35,Inputs!$B$31:$ZV$68,I$7,FALSE)</f>
        <v>32.325000000000003</v>
      </c>
      <c r="J35" s="51">
        <f>HLOOKUP($B35,Inputs!$B$31:$ZV$68,J$7,FALSE)</f>
        <v>129300</v>
      </c>
      <c r="K35" s="51">
        <f>HLOOKUP($B35,Inputs!$B$31:$ZV$68,K$7,FALSE)</f>
        <v>71.999999999999943</v>
      </c>
      <c r="L35" s="51">
        <f>HLOOKUP($B35,Inputs!$B$31:$ZV$68,L$7,FALSE)</f>
        <v>287999.99999999977</v>
      </c>
      <c r="M35" s="51">
        <f>HLOOKUP($B35,Inputs!$B$4:$ZX$29,M$7,FALSE)</f>
        <v>10000</v>
      </c>
      <c r="N35" s="100">
        <f>HLOOKUP($B35,Inputs!$B$4:$ZX$29,N$7,FALSE)</f>
        <v>2.5</v>
      </c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5"/>
    </row>
    <row r="36" spans="1:26" ht="15.75" hidden="1" customHeight="1">
      <c r="A36" s="89">
        <v>29</v>
      </c>
      <c r="B36" s="93" t="s">
        <v>36</v>
      </c>
      <c r="C36" s="47" t="s">
        <v>149</v>
      </c>
      <c r="D36" s="96">
        <f>HLOOKUP($B36,Inputs!$B$31:$ZV$68,D$7,FALSE)</f>
        <v>4.8309178743961354</v>
      </c>
      <c r="E36" s="96">
        <f>HLOOKUP($B36,Inputs!$B$31:$ZV$68,E$7,FALSE)</f>
        <v>1.3236714975845412</v>
      </c>
      <c r="F36" s="51">
        <f>HLOOKUP($B36,Inputs!$B$31:$ZV$68,F$7,FALSE)</f>
        <v>199999.00000000006</v>
      </c>
      <c r="G36" s="51">
        <f>HLOOKUP($B36,Inputs!$B$31:$ZV$68,G$7,FALSE)</f>
        <v>399999.00000000012</v>
      </c>
      <c r="H36" s="51">
        <f>HLOOKUP($B36,Inputs!$B$31:$ZV$68,H$7,FALSE)</f>
        <v>8280</v>
      </c>
      <c r="I36" s="51">
        <f>HLOOKUP($B36,Inputs!$B$31:$ZV$68,I$7,FALSE)</f>
        <v>20000</v>
      </c>
      <c r="J36" s="51">
        <f>HLOOKUP($B36,Inputs!$B$31:$ZV$68,J$7,FALSE)</f>
        <v>40000</v>
      </c>
      <c r="K36" s="51">
        <f>HLOOKUP($B36,Inputs!$B$31:$ZV$68,K$7,FALSE)</f>
        <v>82799.999999999927</v>
      </c>
      <c r="L36" s="51">
        <f>HLOOKUP($B36,Inputs!$B$31:$ZV$68,L$7,FALSE)</f>
        <v>165599.99999999985</v>
      </c>
      <c r="M36" s="51">
        <f>HLOOKUP($B36,Inputs!$B$4:$ZX$29,M$7,FALSE)</f>
        <v>2</v>
      </c>
      <c r="N36" s="100">
        <f>HLOOKUP($B36,Inputs!$B$4:$ZX$29,N$7,FALSE)</f>
        <v>1</v>
      </c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5"/>
    </row>
    <row r="37" spans="1:26" ht="15.75" hidden="1" customHeight="1">
      <c r="A37" s="89">
        <v>30</v>
      </c>
      <c r="B37" s="93" t="s">
        <v>37</v>
      </c>
      <c r="C37" s="47" t="s">
        <v>149</v>
      </c>
      <c r="D37" s="96">
        <f>HLOOKUP($B37,Inputs!$B$31:$ZV$68,D$7,FALSE)</f>
        <v>16.018999999999998</v>
      </c>
      <c r="E37" s="96">
        <f>HLOOKUP($B37,Inputs!$B$31:$ZV$68,E$7,FALSE)</f>
        <v>1.496</v>
      </c>
      <c r="F37" s="51">
        <f>HLOOKUP($B37,Inputs!$B$31:$ZV$68,F$7,FALSE)</f>
        <v>32037.000000000007</v>
      </c>
      <c r="G37" s="51">
        <f>HLOOKUP($B37,Inputs!$B$31:$ZV$68,G$7,FALSE)</f>
        <v>32037.000000000007</v>
      </c>
      <c r="H37" s="51">
        <f>HLOOKUP($B37,Inputs!$B$31:$ZV$68,H$7,FALSE)</f>
        <v>5000</v>
      </c>
      <c r="I37" s="51">
        <f>HLOOKUP($B37,Inputs!$B$31:$ZV$68,I$7,FALSE)</f>
        <v>6</v>
      </c>
      <c r="J37" s="51">
        <f>HLOOKUP($B37,Inputs!$B$31:$ZV$68,J$7,FALSE)</f>
        <v>6</v>
      </c>
      <c r="K37" s="51">
        <f>HLOOKUP($B37,Inputs!$B$31:$ZV$68,K$7,FALSE)</f>
        <v>3999.9999999999964</v>
      </c>
      <c r="L37" s="51">
        <f>HLOOKUP($B37,Inputs!$B$31:$ZV$68,L$7,FALSE)</f>
        <v>3999.9999999999964</v>
      </c>
      <c r="M37" s="51">
        <f>HLOOKUP($B37,Inputs!$B$4:$ZX$29,M$7,FALSE)</f>
        <v>25</v>
      </c>
      <c r="N37" s="100">
        <f>HLOOKUP($B37,Inputs!$B$4:$ZX$29,N$7,FALSE)</f>
        <v>25</v>
      </c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5"/>
    </row>
    <row r="38" spans="1:26" ht="15.75" hidden="1" customHeight="1">
      <c r="A38" s="89">
        <v>31</v>
      </c>
      <c r="B38" s="93" t="s">
        <v>38</v>
      </c>
      <c r="C38" s="47" t="s">
        <v>149</v>
      </c>
      <c r="D38" s="96">
        <f>HLOOKUP($B38,Inputs!$B$31:$ZV$68,D$7,FALSE)</f>
        <v>17.475000000000001</v>
      </c>
      <c r="E38" s="96">
        <f>HLOOKUP($B38,Inputs!$B$31:$ZV$68,E$7,FALSE)</f>
        <v>2.5508333333333333</v>
      </c>
      <c r="F38" s="51">
        <f>HLOOKUP($B38,Inputs!$B$31:$ZV$68,F$7,FALSE)</f>
        <v>10484.000000000002</v>
      </c>
      <c r="G38" s="51">
        <f>HLOOKUP($B38,Inputs!$B$31:$ZV$68,G$7,FALSE)</f>
        <v>10484.000000000002</v>
      </c>
      <c r="H38" s="51">
        <f>HLOOKUP($B38,Inputs!$B$31:$ZV$68,H$7,FALSE)</f>
        <v>2400000</v>
      </c>
      <c r="I38" s="51">
        <f>HLOOKUP($B38,Inputs!$B$31:$ZV$68,I$7,FALSE)</f>
        <v>300</v>
      </c>
      <c r="J38" s="51">
        <f>HLOOKUP($B38,Inputs!$B$31:$ZV$68,J$7,FALSE)</f>
        <v>300</v>
      </c>
      <c r="K38" s="51">
        <f>HLOOKUP($B38,Inputs!$B$31:$ZV$68,K$7,FALSE)</f>
        <v>1199.9999999999989</v>
      </c>
      <c r="L38" s="51">
        <f>HLOOKUP($B38,Inputs!$B$31:$ZV$68,L$7,FALSE)</f>
        <v>1199.9999999999989</v>
      </c>
      <c r="M38" s="51">
        <f>HLOOKUP($B38,Inputs!$B$4:$ZX$29,M$7,FALSE)</f>
        <v>40000</v>
      </c>
      <c r="N38" s="100">
        <f>HLOOKUP($B38,Inputs!$B$4:$ZX$29,N$7,FALSE)</f>
        <v>40000</v>
      </c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5"/>
    </row>
    <row r="39" spans="1:26" ht="15.75" hidden="1" customHeight="1">
      <c r="A39" s="89">
        <v>32</v>
      </c>
      <c r="B39" s="93" t="s">
        <v>39</v>
      </c>
      <c r="C39" s="47" t="s">
        <v>149</v>
      </c>
      <c r="D39" s="96">
        <f>HLOOKUP($B39,Inputs!$B$31:$ZV$68,D$7,FALSE)</f>
        <v>1.5496759259259258</v>
      </c>
      <c r="E39" s="96">
        <f>HLOOKUP($B39,Inputs!$B$31:$ZV$68,E$7,FALSE)</f>
        <v>0.48148148148148145</v>
      </c>
      <c r="F39" s="51">
        <f>HLOOKUP($B39,Inputs!$B$31:$ZV$68,F$7,FALSE)</f>
        <v>1672.65</v>
      </c>
      <c r="G39" s="51">
        <f>HLOOKUP($B39,Inputs!$B$31:$ZV$68,G$7,FALSE)</f>
        <v>1672.65</v>
      </c>
      <c r="H39" s="51">
        <f>HLOOKUP($B39,Inputs!$B$31:$ZV$68,H$7,FALSE)</f>
        <v>3240</v>
      </c>
      <c r="I39" s="51">
        <f>HLOOKUP($B39,Inputs!$B$31:$ZV$68,I$7,FALSE)</f>
        <v>100</v>
      </c>
      <c r="J39" s="51">
        <f>HLOOKUP($B39,Inputs!$B$31:$ZV$68,J$7,FALSE)</f>
        <v>100</v>
      </c>
      <c r="K39" s="51">
        <f>HLOOKUP($B39,Inputs!$B$31:$ZV$68,K$7,FALSE)</f>
        <v>2159.9999999999982</v>
      </c>
      <c r="L39" s="51">
        <f>HLOOKUP($B39,Inputs!$B$31:$ZV$68,L$7,FALSE)</f>
        <v>2159.9999999999982</v>
      </c>
      <c r="M39" s="51">
        <f>HLOOKUP($B39,Inputs!$B$4:$ZX$29,M$7,FALSE)</f>
        <v>30</v>
      </c>
      <c r="N39" s="100">
        <f>HLOOKUP($B39,Inputs!$B$4:$ZX$29,N$7,FALSE)</f>
        <v>30</v>
      </c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5"/>
    </row>
    <row r="40" spans="1:26" ht="15.75" hidden="1" customHeight="1">
      <c r="A40" s="89">
        <v>33</v>
      </c>
      <c r="B40" s="93" t="s">
        <v>40</v>
      </c>
      <c r="C40" s="47" t="s">
        <v>149</v>
      </c>
      <c r="D40" s="96">
        <f>HLOOKUP($B40,Inputs!$B$31:$ZV$68,D$7,FALSE)</f>
        <v>7.5</v>
      </c>
      <c r="E40" s="96">
        <f>HLOOKUP($B40,Inputs!$B$31:$ZV$68,E$7,FALSE)</f>
        <v>1.9</v>
      </c>
      <c r="F40" s="51">
        <f>HLOOKUP($B40,Inputs!$B$31:$ZV$68,F$7,FALSE)</f>
        <v>2999.0000000000005</v>
      </c>
      <c r="G40" s="51">
        <f>HLOOKUP($B40,Inputs!$B$31:$ZV$68,G$7,FALSE)</f>
        <v>2999.0000000000005</v>
      </c>
      <c r="H40" s="51">
        <f>HLOOKUP($B40,Inputs!$B$31:$ZV$68,H$7,FALSE)</f>
        <v>2000</v>
      </c>
      <c r="I40" s="51">
        <f>HLOOKUP($B40,Inputs!$B$31:$ZV$68,I$7,FALSE)</f>
        <v>300</v>
      </c>
      <c r="J40" s="51">
        <f>HLOOKUP($B40,Inputs!$B$31:$ZV$68,J$7,FALSE)</f>
        <v>300</v>
      </c>
      <c r="K40" s="51">
        <f>HLOOKUP($B40,Inputs!$B$31:$ZV$68,K$7,FALSE)</f>
        <v>799.99999999999932</v>
      </c>
      <c r="L40" s="51">
        <f>HLOOKUP($B40,Inputs!$B$31:$ZV$68,L$7,FALSE)</f>
        <v>799.99999999999932</v>
      </c>
      <c r="M40" s="51">
        <f>HLOOKUP($B40,Inputs!$B$4:$ZX$29,M$7,FALSE)</f>
        <v>50</v>
      </c>
      <c r="N40" s="100">
        <f>HLOOKUP($B40,Inputs!$B$4:$ZX$29,N$7,FALSE)</f>
        <v>50</v>
      </c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5"/>
    </row>
    <row r="41" spans="1:26" ht="15.75" hidden="1" customHeight="1">
      <c r="A41" s="89">
        <v>34</v>
      </c>
      <c r="B41" s="93" t="s">
        <v>41</v>
      </c>
      <c r="C41" s="47" t="s">
        <v>149</v>
      </c>
      <c r="D41" s="96">
        <f>HLOOKUP($B41,Inputs!$B$31:$ZV$68,D$7,FALSE)</f>
        <v>1.2698412698412698</v>
      </c>
      <c r="E41" s="96">
        <f>HLOOKUP($B41,Inputs!$B$31:$ZV$68,E$7,FALSE)</f>
        <v>0.51682539682539685</v>
      </c>
      <c r="F41" s="51">
        <f>HLOOKUP($B41,Inputs!$B$31:$ZV$68,F$7,FALSE)</f>
        <v>443.14834554741293</v>
      </c>
      <c r="G41" s="51">
        <f>HLOOKUP($B41,Inputs!$B$31:$ZV$68,G$7,FALSE)</f>
        <v>1331.4450366422388</v>
      </c>
      <c r="H41" s="51">
        <f>HLOOKUP($B41,Inputs!$B$31:$ZV$68,H$7,FALSE)</f>
        <v>1575000</v>
      </c>
      <c r="I41" s="51">
        <f>HLOOKUP($B41,Inputs!$B$31:$ZV$68,I$7,FALSE)</f>
        <v>44.414834554741283</v>
      </c>
      <c r="J41" s="51">
        <f>HLOOKUP($B41,Inputs!$B$31:$ZV$68,J$7,FALSE)</f>
        <v>133.24450366422386</v>
      </c>
      <c r="K41" s="51">
        <f>HLOOKUP($B41,Inputs!$B$31:$ZV$68,K$7,FALSE)</f>
        <v>699.5336442371746</v>
      </c>
      <c r="L41" s="51">
        <f>HLOOKUP($B41,Inputs!$B$31:$ZV$68,L$7,FALSE)</f>
        <v>2098.6009327115239</v>
      </c>
      <c r="M41" s="51">
        <f>HLOOKUP($B41,Inputs!$B$4:$ZX$29,M$7,FALSE)</f>
        <v>45030</v>
      </c>
      <c r="N41" s="100">
        <f>HLOOKUP($B41,Inputs!$B$4:$ZX$29,N$7,FALSE)</f>
        <v>15010</v>
      </c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5"/>
    </row>
    <row r="42" spans="1:26" ht="15.75" hidden="1" customHeight="1">
      <c r="A42" s="89">
        <v>35</v>
      </c>
      <c r="B42" s="93" t="s">
        <v>42</v>
      </c>
      <c r="C42" s="47" t="s">
        <v>149</v>
      </c>
      <c r="D42" s="96">
        <f>HLOOKUP($B42,Inputs!$B$31:$ZV$68,D$7,FALSE)</f>
        <v>5</v>
      </c>
      <c r="E42" s="96">
        <f>HLOOKUP($B42,Inputs!$B$31:$ZV$68,E$7,FALSE)</f>
        <v>2.2176666666666667</v>
      </c>
      <c r="F42" s="51" t="str">
        <f>HLOOKUP($B42,Inputs!$B$31:$ZV$68,F$7,FALSE)</f>
        <v>Choose Bet</v>
      </c>
      <c r="G42" s="51">
        <f>HLOOKUP($B42,Inputs!$B$31:$ZV$68,G$7,FALSE)</f>
        <v>1999.0000000000005</v>
      </c>
      <c r="H42" s="51">
        <f>HLOOKUP($B42,Inputs!$B$31:$ZV$68,H$7,FALSE)</f>
        <v>400000</v>
      </c>
      <c r="I42" s="51" t="str">
        <f>HLOOKUP($B42,Inputs!$B$31:$ZV$68,I$7,FALSE)</f>
        <v>Choose Bet</v>
      </c>
      <c r="J42" s="51">
        <f>HLOOKUP($B42,Inputs!$B$31:$ZV$68,J$7,FALSE)</f>
        <v>200</v>
      </c>
      <c r="K42" s="51" t="str">
        <f>HLOOKUP($B42,Inputs!$B$31:$ZV$68,K$7,FALSE)</f>
        <v>N/A</v>
      </c>
      <c r="L42" s="51">
        <f>HLOOKUP($B42,Inputs!$B$31:$ZV$68,L$7,FALSE)</f>
        <v>799.99999999999932</v>
      </c>
      <c r="M42" s="51" t="str">
        <f>HLOOKUP($B42,Inputs!$B$4:$ZX$29,M$7,FALSE)</f>
        <v>Choose Bet</v>
      </c>
      <c r="N42" s="100">
        <f>HLOOKUP($B42,Inputs!$B$4:$ZX$29,N$7,FALSE)</f>
        <v>10000</v>
      </c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5"/>
    </row>
    <row r="43" spans="1:26" ht="15.75" hidden="1" customHeight="1">
      <c r="A43" s="89">
        <v>36</v>
      </c>
      <c r="B43" s="93" t="s">
        <v>43</v>
      </c>
      <c r="C43" s="47" t="s">
        <v>149</v>
      </c>
      <c r="D43" s="96">
        <f>HLOOKUP($B43,Inputs!$B$31:$ZV$68,D$7,FALSE)</f>
        <v>0.4</v>
      </c>
      <c r="E43" s="96">
        <f>HLOOKUP($B43,Inputs!$B$31:$ZV$68,E$7,FALSE)</f>
        <v>0.75600000000000001</v>
      </c>
      <c r="F43" s="51">
        <f>HLOOKUP($B43,Inputs!$B$31:$ZV$68,F$7,FALSE)</f>
        <v>6665.6666666666679</v>
      </c>
      <c r="G43" s="51">
        <f>HLOOKUP($B43,Inputs!$B$31:$ZV$68,G$7,FALSE)</f>
        <v>66665.666666666686</v>
      </c>
      <c r="H43" s="51">
        <f>HLOOKUP($B43,Inputs!$B$31:$ZV$68,H$7,FALSE)</f>
        <v>500000</v>
      </c>
      <c r="I43" s="51">
        <f>HLOOKUP($B43,Inputs!$B$31:$ZV$68,I$7,FALSE)</f>
        <v>666.66666666666663</v>
      </c>
      <c r="J43" s="51">
        <f>HLOOKUP($B43,Inputs!$B$31:$ZV$68,J$7,FALSE)</f>
        <v>6666.666666666667</v>
      </c>
      <c r="K43" s="51">
        <f>HLOOKUP($B43,Inputs!$B$31:$ZV$68,K$7,FALSE)</f>
        <v>33333.333333333307</v>
      </c>
      <c r="L43" s="51">
        <f>HLOOKUP($B43,Inputs!$B$31:$ZV$68,L$7,FALSE)</f>
        <v>333333.33333333308</v>
      </c>
      <c r="M43" s="51">
        <f>HLOOKUP($B43,Inputs!$B$4:$ZX$29,M$7,FALSE)</f>
        <v>300</v>
      </c>
      <c r="N43" s="100">
        <f>HLOOKUP($B43,Inputs!$B$4:$ZX$29,N$7,FALSE)</f>
        <v>30</v>
      </c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5"/>
    </row>
    <row r="44" spans="1:26" ht="15.75" customHeight="1">
      <c r="A44" s="89">
        <v>52</v>
      </c>
      <c r="B44" s="93" t="s">
        <v>50</v>
      </c>
      <c r="C44" s="143" t="s">
        <v>332</v>
      </c>
      <c r="D44" s="96">
        <f>HLOOKUP($B44,Inputs!$B$31:$ZV$68,D$7,FALSE)</f>
        <v>16.867000000000001</v>
      </c>
      <c r="E44" s="96">
        <f>HLOOKUP($B44,Inputs!$B$31:$ZV$68,E$7,FALSE)</f>
        <v>3.9386000000000001</v>
      </c>
      <c r="F44" s="51" t="str">
        <f>HLOOKUP($B44,Inputs!$B$31:$ZV$68,F$7,FALSE)</f>
        <v>Choose Bet</v>
      </c>
      <c r="G44" s="51">
        <f>HLOOKUP($B44,Inputs!$B$31:$ZV$68,G$7,FALSE)</f>
        <v>167.67000000000007</v>
      </c>
      <c r="H44" s="51">
        <f>HLOOKUP($B44,Inputs!$B$31:$ZV$68,H$7,FALSE)</f>
        <v>10</v>
      </c>
      <c r="I44" s="51" t="str">
        <f>HLOOKUP($B44,Inputs!$B$31:$ZV$68,I$7,FALSE)</f>
        <v>Choose Bet</v>
      </c>
      <c r="J44" s="51">
        <f>HLOOKUP($B44,Inputs!$B$31:$ZV$68,J$7,FALSE)</f>
        <v>50</v>
      </c>
      <c r="K44" s="51" t="str">
        <f>HLOOKUP($B44,Inputs!$B$31:$ZV$68,K$7,FALSE)</f>
        <v>N/A</v>
      </c>
      <c r="L44" s="51">
        <f>HLOOKUP($B44,Inputs!$B$31:$ZV$68,L$7,FALSE)</f>
        <v>199.99999999999983</v>
      </c>
      <c r="M44" s="51" t="str">
        <f>HLOOKUP($B44,Inputs!$B$4:$ZX$29,M$7,FALSE)</f>
        <v>Choose Bet</v>
      </c>
      <c r="N44" s="100">
        <f>HLOOKUP($B44,Inputs!$B$4:$ZX$29,N$7,FALSE)</f>
        <v>1</v>
      </c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5"/>
    </row>
    <row r="45" spans="1:26" ht="15.75" customHeight="1">
      <c r="A45" s="89">
        <v>38</v>
      </c>
      <c r="B45" s="93" t="s">
        <v>45</v>
      </c>
      <c r="C45" s="143" t="s">
        <v>332</v>
      </c>
      <c r="D45" s="96">
        <f>HLOOKUP($B45,Inputs!$B$31:$ZV$68,D$7,FALSE)</f>
        <v>32.523250000000004</v>
      </c>
      <c r="E45" s="96">
        <f>HLOOKUP($B45,Inputs!$B$31:$ZV$68,E$7,FALSE)</f>
        <v>3.81</v>
      </c>
      <c r="F45" s="51" t="str">
        <f>HLOOKUP($B45,Inputs!$B$31:$ZV$68,F$7,FALSE)</f>
        <v>Choose Bet</v>
      </c>
      <c r="G45" s="51">
        <f>HLOOKUP($B45,Inputs!$B$31:$ZV$68,G$7,FALSE)</f>
        <v>649.46500000000015</v>
      </c>
      <c r="H45" s="51">
        <f>HLOOKUP($B45,Inputs!$B$31:$ZV$68,H$7,FALSE)</f>
        <v>20</v>
      </c>
      <c r="I45" s="51" t="str">
        <f>HLOOKUP($B45,Inputs!$B$31:$ZV$68,I$7,FALSE)</f>
        <v>Choose Bet</v>
      </c>
      <c r="J45" s="51">
        <f>HLOOKUP($B45,Inputs!$B$31:$ZV$68,J$7,FALSE)</f>
        <v>50</v>
      </c>
      <c r="K45" s="51" t="str">
        <f>HLOOKUP($B45,Inputs!$B$31:$ZV$68,K$7,FALSE)</f>
        <v>N/A</v>
      </c>
      <c r="L45" s="51">
        <f>HLOOKUP($B45,Inputs!$B$31:$ZV$68,L$7,FALSE)</f>
        <v>399.99999999999966</v>
      </c>
      <c r="M45" s="51" t="str">
        <f>HLOOKUP($B45,Inputs!$B$4:$ZX$29,M$7,FALSE)</f>
        <v>Choose Bet</v>
      </c>
      <c r="N45" s="100">
        <f>HLOOKUP($B45,Inputs!$B$4:$ZX$29,N$7,FALSE)</f>
        <v>1</v>
      </c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5"/>
    </row>
    <row r="46" spans="1:26" ht="15.75" customHeight="1">
      <c r="A46" s="89">
        <v>40</v>
      </c>
      <c r="B46" s="93" t="s">
        <v>47</v>
      </c>
      <c r="C46" s="143" t="s">
        <v>332</v>
      </c>
      <c r="D46" s="96">
        <f>HLOOKUP($B46,Inputs!$B$31:$ZV$68,D$7,FALSE)</f>
        <v>5.8985423197492164</v>
      </c>
      <c r="E46" s="96">
        <f>HLOOKUP($B46,Inputs!$B$31:$ZV$68,E$7,FALSE)</f>
        <v>3.2382196969696975</v>
      </c>
      <c r="F46" s="51" t="str">
        <f>HLOOKUP($B46,Inputs!$B$31:$ZV$68,F$7,FALSE)</f>
        <v>Choose Bet</v>
      </c>
      <c r="G46" s="51">
        <f>HLOOKUP($B46,Inputs!$B$31:$ZV$68,G$7,FALSE)</f>
        <v>37.93037931034484</v>
      </c>
      <c r="H46" s="51">
        <f>HLOOKUP($B46,Inputs!$B$31:$ZV$68,H$7,FALSE)</f>
        <v>6.6</v>
      </c>
      <c r="I46" s="51" t="str">
        <f>HLOOKUP($B46,Inputs!$B$31:$ZV$68,I$7,FALSE)</f>
        <v>Choose Bet</v>
      </c>
      <c r="J46" s="51">
        <f>HLOOKUP($B46,Inputs!$B$31:$ZV$68,J$7,FALSE)</f>
        <v>30</v>
      </c>
      <c r="K46" s="51" t="str">
        <f>HLOOKUP($B46,Inputs!$B$31:$ZV$68,K$7,FALSE)</f>
        <v>N/A</v>
      </c>
      <c r="L46" s="51">
        <f>HLOOKUP($B46,Inputs!$B$31:$ZV$68,L$7,FALSE)</f>
        <v>131.99999999999989</v>
      </c>
      <c r="M46" s="51" t="str">
        <f>HLOOKUP($B46,Inputs!$B$4:$ZX$29,M$7,FALSE)</f>
        <v>Choose Bet</v>
      </c>
      <c r="N46" s="100">
        <f>HLOOKUP($B46,Inputs!$B$4:$ZX$29,N$7,FALSE)</f>
        <v>1</v>
      </c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5"/>
    </row>
    <row r="47" spans="1:26" ht="15.75" customHeight="1">
      <c r="A47" s="89">
        <v>41</v>
      </c>
      <c r="B47" s="93" t="s">
        <v>48</v>
      </c>
      <c r="C47" s="143" t="s">
        <v>332</v>
      </c>
      <c r="D47" s="96">
        <f>HLOOKUP($B47,Inputs!$B$31:$ZV$68,D$7,FALSE)</f>
        <v>3.8151794871794871</v>
      </c>
      <c r="E47" s="96">
        <f>HLOOKUP($B47,Inputs!$B$31:$ZV$68,E$7,FALSE)</f>
        <v>2.5857641025641023</v>
      </c>
      <c r="F47" s="51" t="str">
        <f>HLOOKUP($B47,Inputs!$B$31:$ZV$68,F$7,FALSE)</f>
        <v>Choose Bet</v>
      </c>
      <c r="G47" s="51">
        <f>HLOOKUP($B47,Inputs!$B$31:$ZV$68,G$7,FALSE)</f>
        <v>38.677866666666681</v>
      </c>
      <c r="H47" s="51">
        <f>HLOOKUP($B47,Inputs!$B$31:$ZV$68,H$7,FALSE)</f>
        <v>10.4</v>
      </c>
      <c r="I47" s="51" t="str">
        <f>HLOOKUP($B47,Inputs!$B$31:$ZV$68,I$7,FALSE)</f>
        <v>Choose Bet</v>
      </c>
      <c r="J47" s="51">
        <f>HLOOKUP($B47,Inputs!$B$31:$ZV$68,J$7,FALSE)</f>
        <v>12</v>
      </c>
      <c r="K47" s="51" t="str">
        <f>HLOOKUP($B47,Inputs!$B$31:$ZV$68,K$7,FALSE)</f>
        <v>N/A</v>
      </c>
      <c r="L47" s="51">
        <f>HLOOKUP($B47,Inputs!$B$31:$ZV$68,L$7,FALSE)</f>
        <v>207.99999999999983</v>
      </c>
      <c r="M47" s="51" t="str">
        <f>HLOOKUP($B47,Inputs!$B$4:$ZX$29,M$7,FALSE)</f>
        <v>Choose Bet</v>
      </c>
      <c r="N47" s="100">
        <f>HLOOKUP($B47,Inputs!$B$4:$ZX$29,N$7,FALSE)</f>
        <v>1</v>
      </c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5"/>
    </row>
    <row r="48" spans="1:26" ht="15.75" customHeight="1">
      <c r="A48" s="89">
        <v>39</v>
      </c>
      <c r="B48" s="93" t="s">
        <v>46</v>
      </c>
      <c r="C48" s="143" t="s">
        <v>332</v>
      </c>
      <c r="D48" s="96">
        <f>HLOOKUP($B48,Inputs!$B$31:$ZV$68,D$7,FALSE)</f>
        <v>16.515384615384615</v>
      </c>
      <c r="E48" s="96">
        <f>HLOOKUP($B48,Inputs!$B$31:$ZV$68,E$7,FALSE)</f>
        <v>2.2676923076923079</v>
      </c>
      <c r="F48" s="51" t="str">
        <f>HLOOKUP($B48,Inputs!$B$31:$ZV$68,F$7,FALSE)</f>
        <v>Choose Bet</v>
      </c>
      <c r="G48" s="51">
        <f>HLOOKUP($B48,Inputs!$B$31:$ZV$68,G$7,FALSE)</f>
        <v>164.15384615384619</v>
      </c>
      <c r="H48" s="51">
        <f>HLOOKUP($B48,Inputs!$B$31:$ZV$68,H$7,FALSE)</f>
        <v>100</v>
      </c>
      <c r="I48" s="51" t="str">
        <f>HLOOKUP($B48,Inputs!$B$31:$ZV$68,I$7,FALSE)</f>
        <v>Choose Bet</v>
      </c>
      <c r="J48" s="51">
        <f>HLOOKUP($B48,Inputs!$B$31:$ZV$68,J$7,FALSE)</f>
        <v>50</v>
      </c>
      <c r="K48" s="51" t="str">
        <f>HLOOKUP($B48,Inputs!$B$31:$ZV$68,K$7,FALSE)</f>
        <v>N/A</v>
      </c>
      <c r="L48" s="51">
        <f>HLOOKUP($B48,Inputs!$B$31:$ZV$68,L$7,FALSE)</f>
        <v>199.99999999999983</v>
      </c>
      <c r="M48" s="51" t="str">
        <f>HLOOKUP($B48,Inputs!$B$4:$ZX$29,M$7,FALSE)</f>
        <v>Choose Bet</v>
      </c>
      <c r="N48" s="100">
        <f>HLOOKUP($B48,Inputs!$B$4:$ZX$29,N$7,FALSE)</f>
        <v>10</v>
      </c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5"/>
    </row>
    <row r="49" spans="1:26" ht="15.75" customHeight="1">
      <c r="A49" s="89">
        <v>42</v>
      </c>
      <c r="B49" s="93" t="s">
        <v>49</v>
      </c>
      <c r="C49" s="143" t="s">
        <v>332</v>
      </c>
      <c r="D49" s="96">
        <f>HLOOKUP($B49,Inputs!$B$31:$ZV$68,D$7,FALSE)</f>
        <v>25.965</v>
      </c>
      <c r="E49" s="96">
        <f>HLOOKUP($B49,Inputs!$B$31:$ZV$68,E$7,FALSE)</f>
        <v>1.75</v>
      </c>
      <c r="F49" s="51" t="str">
        <f>HLOOKUP($B49,Inputs!$B$31:$ZV$68,F$7,FALSE)</f>
        <v>Choose Bet</v>
      </c>
      <c r="G49" s="51">
        <f>HLOOKUP($B49,Inputs!$B$31:$ZV$68,G$7,FALSE)</f>
        <v>206.72000000000003</v>
      </c>
      <c r="H49" s="51">
        <f>HLOOKUP($B49,Inputs!$B$31:$ZV$68,H$7,FALSE)</f>
        <v>8</v>
      </c>
      <c r="I49" s="51" t="str">
        <f>HLOOKUP($B49,Inputs!$B$31:$ZV$68,I$7,FALSE)</f>
        <v>Choose Bet</v>
      </c>
      <c r="J49" s="51">
        <f>HLOOKUP($B49,Inputs!$B$31:$ZV$68,J$7,FALSE)</f>
        <v>68</v>
      </c>
      <c r="K49" s="51" t="str">
        <f>HLOOKUP($B49,Inputs!$B$31:$ZV$68,K$7,FALSE)</f>
        <v>N/A</v>
      </c>
      <c r="L49" s="51">
        <f>HLOOKUP($B49,Inputs!$B$31:$ZV$68,L$7,FALSE)</f>
        <v>159.99999999999986</v>
      </c>
      <c r="M49" s="51" t="str">
        <f>HLOOKUP($B49,Inputs!$B$4:$ZX$29,M$7,FALSE)</f>
        <v>Choose Bet</v>
      </c>
      <c r="N49" s="100">
        <f>HLOOKUP($B49,Inputs!$B$4:$ZX$29,N$7,FALSE)</f>
        <v>1</v>
      </c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5"/>
    </row>
    <row r="50" spans="1:26" ht="15.75" hidden="1" customHeight="1">
      <c r="A50" s="89">
        <v>43</v>
      </c>
      <c r="B50" s="93" t="s">
        <v>51</v>
      </c>
      <c r="C50" s="47" t="s">
        <v>149</v>
      </c>
      <c r="D50" s="96">
        <f>HLOOKUP($B50,Inputs!$B$31:$ZV$68,D$7,FALSE)</f>
        <v>0.2</v>
      </c>
      <c r="E50" s="96">
        <f>HLOOKUP($B50,Inputs!$B$31:$ZV$68,E$7,FALSE)</f>
        <v>0.252</v>
      </c>
      <c r="F50" s="51">
        <f>HLOOKUP($B50,Inputs!$B$31:$ZV$68,F$7,FALSE)</f>
        <v>49.000000000000014</v>
      </c>
      <c r="G50" s="51">
        <f>HLOOKUP($B50,Inputs!$B$31:$ZV$68,G$7,FALSE)</f>
        <v>2499.0000000000005</v>
      </c>
      <c r="H50" s="51">
        <f>HLOOKUP($B50,Inputs!$B$31:$ZV$68,H$7,FALSE)</f>
        <v>1250000</v>
      </c>
      <c r="I50" s="51">
        <f>HLOOKUP($B50,Inputs!$B$31:$ZV$68,I$7,FALSE)</f>
        <v>5</v>
      </c>
      <c r="J50" s="51">
        <f>HLOOKUP($B50,Inputs!$B$31:$ZV$68,J$7,FALSE)</f>
        <v>250</v>
      </c>
      <c r="K50" s="51">
        <f>HLOOKUP($B50,Inputs!$B$31:$ZV$68,K$7,FALSE)</f>
        <v>499.99999999999955</v>
      </c>
      <c r="L50" s="51">
        <f>HLOOKUP($B50,Inputs!$B$31:$ZV$68,L$7,FALSE)</f>
        <v>24999.999999999978</v>
      </c>
      <c r="M50" s="51">
        <f>HLOOKUP($B50,Inputs!$B$4:$ZX$29,M$7,FALSE)</f>
        <v>50000</v>
      </c>
      <c r="N50" s="100">
        <f>HLOOKUP($B50,Inputs!$B$4:$ZX$29,N$7,FALSE)</f>
        <v>1000</v>
      </c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5"/>
    </row>
    <row r="51" spans="1:26" ht="15.75" hidden="1" customHeight="1">
      <c r="A51" s="89">
        <v>44</v>
      </c>
      <c r="B51" s="93" t="s">
        <v>52</v>
      </c>
      <c r="C51" s="47" t="s">
        <v>149</v>
      </c>
      <c r="D51" s="96">
        <f>HLOOKUP($B51,Inputs!$B$31:$ZV$68,D$7,FALSE)</f>
        <v>0.34908725812340269</v>
      </c>
      <c r="E51" s="96">
        <f>HLOOKUP($B51,Inputs!$B$31:$ZV$68,E$7,FALSE)</f>
        <v>0.22184545454545454</v>
      </c>
      <c r="F51" s="51">
        <f>HLOOKUP($B51,Inputs!$B$31:$ZV$68,F$7,FALSE)</f>
        <v>11518.879518072292</v>
      </c>
      <c r="G51" s="51">
        <f>HLOOKUP($B51,Inputs!$B$31:$ZV$68,G$7,FALSE)</f>
        <v>230396.59036144582</v>
      </c>
      <c r="H51" s="51">
        <f>HLOOKUP($B51,Inputs!$B$31:$ZV$68,H$7,FALSE)</f>
        <v>1650000</v>
      </c>
      <c r="I51" s="51">
        <f>HLOOKUP($B51,Inputs!$B$31:$ZV$68,I$7,FALSE)</f>
        <v>160</v>
      </c>
      <c r="J51" s="51">
        <f>HLOOKUP($B51,Inputs!$B$31:$ZV$68,J$7,FALSE)</f>
        <v>3200</v>
      </c>
      <c r="K51" s="51">
        <f>HLOOKUP($B51,Inputs!$B$31:$ZV$68,K$7,FALSE)</f>
        <v>65999.999999999942</v>
      </c>
      <c r="L51" s="51">
        <f>HLOOKUP($B51,Inputs!$B$31:$ZV$68,L$7,FALSE)</f>
        <v>1319999.9999999988</v>
      </c>
      <c r="M51" s="51">
        <f>HLOOKUP($B51,Inputs!$B$4:$ZX$29,M$7,FALSE)</f>
        <v>500</v>
      </c>
      <c r="N51" s="100">
        <f>HLOOKUP($B51,Inputs!$B$4:$ZX$29,N$7,FALSE)</f>
        <v>25</v>
      </c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5"/>
    </row>
    <row r="52" spans="1:26" ht="15.75" hidden="1" customHeight="1">
      <c r="A52" s="89">
        <v>45</v>
      </c>
      <c r="B52" s="93" t="s">
        <v>53</v>
      </c>
      <c r="C52" s="47" t="s">
        <v>149</v>
      </c>
      <c r="D52" s="96">
        <f>HLOOKUP($B52,Inputs!$B$31:$ZV$68,D$7,FALSE)</f>
        <v>0.75</v>
      </c>
      <c r="E52" s="96">
        <f>HLOOKUP($B52,Inputs!$B$31:$ZV$68,E$7,FALSE)</f>
        <v>0.627</v>
      </c>
      <c r="F52" s="51">
        <f>HLOOKUP($B52,Inputs!$B$31:$ZV$68,F$7,FALSE)</f>
        <v>749.00000000000011</v>
      </c>
      <c r="G52" s="51">
        <f>HLOOKUP($B52,Inputs!$B$31:$ZV$68,G$7,FALSE)</f>
        <v>1499.0000000000002</v>
      </c>
      <c r="H52" s="51">
        <f>HLOOKUP($B52,Inputs!$B$31:$ZV$68,H$7,FALSE)</f>
        <v>20000</v>
      </c>
      <c r="I52" s="51">
        <f>HLOOKUP($B52,Inputs!$B$31:$ZV$68,I$7,FALSE)</f>
        <v>75</v>
      </c>
      <c r="J52" s="51">
        <f>HLOOKUP($B52,Inputs!$B$31:$ZV$68,J$7,FALSE)</f>
        <v>150</v>
      </c>
      <c r="K52" s="51">
        <f>HLOOKUP($B52,Inputs!$B$31:$ZV$68,K$7,FALSE)</f>
        <v>1999.9999999999982</v>
      </c>
      <c r="L52" s="51">
        <f>HLOOKUP($B52,Inputs!$B$31:$ZV$68,L$7,FALSE)</f>
        <v>3999.9999999999964</v>
      </c>
      <c r="M52" s="51">
        <f>HLOOKUP($B52,Inputs!$B$4:$ZX$29,M$7,FALSE)</f>
        <v>200</v>
      </c>
      <c r="N52" s="100">
        <f>HLOOKUP($B52,Inputs!$B$4:$ZX$29,N$7,FALSE)</f>
        <v>100</v>
      </c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5"/>
    </row>
    <row r="53" spans="1:26" ht="15.75" hidden="1" customHeight="1">
      <c r="A53" s="89">
        <v>46</v>
      </c>
      <c r="B53" s="93" t="s">
        <v>54</v>
      </c>
      <c r="C53" s="47" t="s">
        <v>149</v>
      </c>
      <c r="D53" s="96">
        <f>HLOOKUP($B53,Inputs!$B$31:$ZV$68,D$7,FALSE)</f>
        <v>5.3233333333333333</v>
      </c>
      <c r="E53" s="96">
        <f>HLOOKUP($B53,Inputs!$B$31:$ZV$68,E$7,FALSE)</f>
        <v>1.5082666666666666</v>
      </c>
      <c r="F53" s="51">
        <f>HLOOKUP($B53,Inputs!$B$31:$ZV$68,F$7,FALSE)</f>
        <v>318.40000000000009</v>
      </c>
      <c r="G53" s="51">
        <f>HLOOKUP($B53,Inputs!$B$31:$ZV$68,G$7,FALSE)</f>
        <v>6387.0000000000009</v>
      </c>
      <c r="H53" s="51">
        <f>HLOOKUP($B53,Inputs!$B$31:$ZV$68,H$7,FALSE)</f>
        <v>3000000</v>
      </c>
      <c r="I53" s="51">
        <f>HLOOKUP($B53,Inputs!$B$31:$ZV$68,I$7,FALSE)</f>
        <v>2</v>
      </c>
      <c r="J53" s="51">
        <f>HLOOKUP($B53,Inputs!$B$31:$ZV$68,J$7,FALSE)</f>
        <v>40</v>
      </c>
      <c r="K53" s="51">
        <f>HLOOKUP($B53,Inputs!$B$31:$ZV$68,K$7,FALSE)</f>
        <v>119.99999999999989</v>
      </c>
      <c r="L53" s="51">
        <f>HLOOKUP($B53,Inputs!$B$31:$ZV$68,L$7,FALSE)</f>
        <v>2399.9999999999977</v>
      </c>
      <c r="M53" s="51">
        <f>HLOOKUP($B53,Inputs!$B$4:$ZX$29,M$7,FALSE)</f>
        <v>500000</v>
      </c>
      <c r="N53" s="100">
        <f>HLOOKUP($B53,Inputs!$B$4:$ZX$29,N$7,FALSE)</f>
        <v>25000</v>
      </c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5"/>
    </row>
    <row r="54" spans="1:26" ht="15.75" hidden="1" customHeight="1">
      <c r="A54" s="89">
        <v>47</v>
      </c>
      <c r="B54" s="93" t="s">
        <v>55</v>
      </c>
      <c r="C54" s="47" t="s">
        <v>149</v>
      </c>
      <c r="D54" s="96">
        <f>HLOOKUP($B54,Inputs!$B$31:$ZV$68,D$7,FALSE)</f>
        <v>0.11156666666666666</v>
      </c>
      <c r="E54" s="96">
        <f>HLOOKUP($B54,Inputs!$B$31:$ZV$68,E$7,FALSE)</f>
        <v>2.5966666666666666E-2</v>
      </c>
      <c r="F54" s="51">
        <f>HLOOKUP($B54,Inputs!$B$31:$ZV$68,F$7,FALSE)</f>
        <v>33469.000000000007</v>
      </c>
      <c r="G54" s="51">
        <f>HLOOKUP($B54,Inputs!$B$31:$ZV$68,G$7,FALSE)</f>
        <v>669399.00000000012</v>
      </c>
      <c r="H54" s="51">
        <f>HLOOKUP($B54,Inputs!$B$31:$ZV$68,H$7,FALSE)</f>
        <v>3000000</v>
      </c>
      <c r="I54" s="51">
        <f>HLOOKUP($B54,Inputs!$B$31:$ZV$68,I$7,FALSE)</f>
        <v>350</v>
      </c>
      <c r="J54" s="51">
        <f>HLOOKUP($B54,Inputs!$B$31:$ZV$68,J$7,FALSE)</f>
        <v>7000</v>
      </c>
      <c r="K54" s="51">
        <f>HLOOKUP($B54,Inputs!$B$31:$ZV$68,K$7,FALSE)</f>
        <v>599999.99999999942</v>
      </c>
      <c r="L54" s="51">
        <f>HLOOKUP($B54,Inputs!$B$31:$ZV$68,L$7,FALSE)</f>
        <v>11999999.999999989</v>
      </c>
      <c r="M54" s="51">
        <f>HLOOKUP($B54,Inputs!$B$4:$ZX$29,M$7,FALSE)</f>
        <v>100</v>
      </c>
      <c r="N54" s="100">
        <f>HLOOKUP($B54,Inputs!$B$4:$ZX$29,N$7,FALSE)</f>
        <v>5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5"/>
    </row>
    <row r="55" spans="1:26" ht="15.75" hidden="1" customHeight="1">
      <c r="A55" s="89">
        <v>48</v>
      </c>
      <c r="B55" s="93" t="s">
        <v>56</v>
      </c>
      <c r="C55" s="47" t="s">
        <v>149</v>
      </c>
      <c r="D55" s="96">
        <f>HLOOKUP($B55,Inputs!$B$31:$ZV$68,D$7,FALSE)</f>
        <v>0.2545</v>
      </c>
      <c r="E55" s="96">
        <f>HLOOKUP($B55,Inputs!$B$31:$ZV$68,E$7,FALSE)</f>
        <v>5.4000000000000003E-3</v>
      </c>
      <c r="F55" s="51">
        <f>HLOOKUP($B55,Inputs!$B$31:$ZV$68,F$7,FALSE)</f>
        <v>2544.0000000000005</v>
      </c>
      <c r="G55" s="51">
        <f>HLOOKUP($B55,Inputs!$B$31:$ZV$68,G$7,FALSE)</f>
        <v>50899.000000000015</v>
      </c>
      <c r="H55" s="51">
        <f>HLOOKUP($B55,Inputs!$B$31:$ZV$68,H$7,FALSE)</f>
        <v>1000000</v>
      </c>
      <c r="I55" s="51">
        <f>HLOOKUP($B55,Inputs!$B$31:$ZV$68,I$7,FALSE)</f>
        <v>5</v>
      </c>
      <c r="J55" s="51">
        <f>HLOOKUP($B55,Inputs!$B$31:$ZV$68,J$7,FALSE)</f>
        <v>100</v>
      </c>
      <c r="K55" s="51">
        <f>HLOOKUP($B55,Inputs!$B$31:$ZV$68,K$7,FALSE)</f>
        <v>19999.999999999982</v>
      </c>
      <c r="L55" s="51">
        <f>HLOOKUP($B55,Inputs!$B$31:$ZV$68,L$7,FALSE)</f>
        <v>399999.99999999965</v>
      </c>
      <c r="M55" s="51">
        <f>HLOOKUP($B55,Inputs!$B$4:$ZX$29,M$7,FALSE)</f>
        <v>1000</v>
      </c>
      <c r="N55" s="100">
        <f>HLOOKUP($B55,Inputs!$B$4:$ZX$29,N$7,FALSE)</f>
        <v>50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5"/>
    </row>
    <row r="56" spans="1:26" ht="15.75" hidden="1" customHeight="1">
      <c r="A56" s="89">
        <v>49</v>
      </c>
      <c r="B56" s="93" t="s">
        <v>57</v>
      </c>
      <c r="C56" s="47" t="s">
        <v>149</v>
      </c>
      <c r="D56" s="96">
        <f>HLOOKUP($B56,Inputs!$B$31:$ZV$68,D$7,FALSE)</f>
        <v>0.02</v>
      </c>
      <c r="E56" s="96">
        <f>HLOOKUP($B56,Inputs!$B$31:$ZV$68,E$7,FALSE)</f>
        <v>1.3050000000000001E-2</v>
      </c>
      <c r="F56" s="51">
        <f>HLOOKUP($B56,Inputs!$B$31:$ZV$68,F$7,FALSE)</f>
        <v>19.000000000000004</v>
      </c>
      <c r="G56" s="51">
        <f>HLOOKUP($B56,Inputs!$B$31:$ZV$68,G$7,FALSE)</f>
        <v>799.00000000000023</v>
      </c>
      <c r="H56" s="51">
        <f>HLOOKUP($B56,Inputs!$B$31:$ZV$68,H$7,FALSE)</f>
        <v>40000</v>
      </c>
      <c r="I56" s="51">
        <f>HLOOKUP($B56,Inputs!$B$31:$ZV$68,I$7,FALSE)</f>
        <v>2</v>
      </c>
      <c r="J56" s="51">
        <f>HLOOKUP($B56,Inputs!$B$31:$ZV$68,J$7,FALSE)</f>
        <v>80</v>
      </c>
      <c r="K56" s="51">
        <f>HLOOKUP($B56,Inputs!$B$31:$ZV$68,K$7,FALSE)</f>
        <v>1999.9999999999982</v>
      </c>
      <c r="L56" s="51">
        <f>HLOOKUP($B56,Inputs!$B$31:$ZV$68,L$7,FALSE)</f>
        <v>79999.999999999927</v>
      </c>
      <c r="M56" s="51">
        <f>HLOOKUP($B56,Inputs!$B$4:$ZX$29,M$7,FALSE)</f>
        <v>400</v>
      </c>
      <c r="N56" s="100">
        <f>HLOOKUP($B56,Inputs!$B$4:$ZX$29,N$7,FALSE)</f>
        <v>10</v>
      </c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5"/>
    </row>
    <row r="57" spans="1:26" ht="15.75" hidden="1" customHeight="1">
      <c r="A57" s="89">
        <v>50</v>
      </c>
      <c r="B57" s="156" t="s">
        <v>58</v>
      </c>
      <c r="C57" s="47" t="s">
        <v>149</v>
      </c>
      <c r="D57" s="96">
        <f>HLOOKUP($B57,Inputs!$B$31:$ZV$68,D$7,FALSE)</f>
        <v>6.658666666666667</v>
      </c>
      <c r="E57" s="96">
        <f>HLOOKUP($B57,Inputs!$B$31:$ZV$68,E$7,FALSE)</f>
        <v>0.97677146666666659</v>
      </c>
      <c r="F57" s="51">
        <f>HLOOKUP($B57,Inputs!$B$31:$ZV$68,F$7,FALSE)</f>
        <v>1663.666666666667</v>
      </c>
      <c r="G57" s="51">
        <f>HLOOKUP($B57,Inputs!$B$31:$ZV$68,G$7,FALSE)</f>
        <v>1663.666666666667</v>
      </c>
      <c r="H57" s="51">
        <f>HLOOKUP($B57,Inputs!$B$31:$ZV$68,H$7,FALSE)</f>
        <v>1500000</v>
      </c>
      <c r="I57" s="51">
        <f>HLOOKUP($B57,Inputs!$B$31:$ZV$68,I$7,FALSE)</f>
        <v>66.666666666666671</v>
      </c>
      <c r="J57" s="51">
        <f>HLOOKUP($B57,Inputs!$B$31:$ZV$68,J$7,FALSE)</f>
        <v>66.666666666666671</v>
      </c>
      <c r="K57" s="51">
        <f>HLOOKUP($B57,Inputs!$B$31:$ZV$68,K$7,FALSE)</f>
        <v>499.99999999999955</v>
      </c>
      <c r="L57" s="51">
        <f>HLOOKUP($B57,Inputs!$B$31:$ZV$68,L$7,FALSE)</f>
        <v>499.99999999999955</v>
      </c>
      <c r="M57" s="51">
        <f>HLOOKUP($B57,Inputs!$B$4:$ZX$29,M$7,FALSE)</f>
        <v>60000</v>
      </c>
      <c r="N57" s="100">
        <f>HLOOKUP($B57,Inputs!$B$4:$ZX$29,N$7,FALSE)</f>
        <v>60000</v>
      </c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5"/>
    </row>
    <row r="58" spans="1:26" ht="15.75" hidden="1" customHeight="1">
      <c r="A58" s="89">
        <v>51</v>
      </c>
      <c r="B58" s="93" t="s">
        <v>59</v>
      </c>
      <c r="C58" s="47" t="s">
        <v>149</v>
      </c>
      <c r="D58" s="96">
        <f>HLOOKUP($B58,Inputs!$B$31:$ZV$68,D$7,FALSE)</f>
        <v>2.2222222222222223</v>
      </c>
      <c r="E58" s="96">
        <f>HLOOKUP($B58,Inputs!$B$31:$ZV$68,E$7,FALSE)</f>
        <v>0.55555555555555558</v>
      </c>
      <c r="F58" s="51">
        <f>HLOOKUP($B58,Inputs!$B$31:$ZV$68,F$7,FALSE)</f>
        <v>399.00000000000011</v>
      </c>
      <c r="G58" s="51">
        <f>HLOOKUP($B58,Inputs!$B$31:$ZV$68,G$7,FALSE)</f>
        <v>3999.0000000000009</v>
      </c>
      <c r="H58" s="51">
        <f>HLOOKUP($B58,Inputs!$B$31:$ZV$68,H$7,FALSE)</f>
        <v>180000</v>
      </c>
      <c r="I58" s="51">
        <f>HLOOKUP($B58,Inputs!$B$31:$ZV$68,I$7,FALSE)</f>
        <v>40</v>
      </c>
      <c r="J58" s="51">
        <f>HLOOKUP($B58,Inputs!$B$31:$ZV$68,J$7,FALSE)</f>
        <v>400</v>
      </c>
      <c r="K58" s="51">
        <f>HLOOKUP($B58,Inputs!$B$31:$ZV$68,K$7,FALSE)</f>
        <v>359.99999999999966</v>
      </c>
      <c r="L58" s="51">
        <f>HLOOKUP($B58,Inputs!$B$31:$ZV$68,L$7,FALSE)</f>
        <v>3599.9999999999968</v>
      </c>
      <c r="M58" s="51">
        <f>HLOOKUP($B58,Inputs!$B$4:$ZX$29,M$7,FALSE)</f>
        <v>10000</v>
      </c>
      <c r="N58" s="100">
        <f>HLOOKUP($B58,Inputs!$B$4:$ZX$29,N$7,FALSE)</f>
        <v>1000</v>
      </c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5"/>
    </row>
    <row r="59" spans="1:26" ht="15.75" customHeight="1">
      <c r="A59" s="89">
        <v>37</v>
      </c>
      <c r="B59" s="93" t="s">
        <v>44</v>
      </c>
      <c r="C59" s="143" t="s">
        <v>332</v>
      </c>
      <c r="D59" s="96">
        <f>HLOOKUP($B59,Inputs!$B$31:$ZV$68,D$7,FALSE)</f>
        <v>5.9776515151515168</v>
      </c>
      <c r="E59" s="96">
        <f>HLOOKUP($B59,Inputs!$B$31:$ZV$68,E$7,FALSE)</f>
        <v>1.5656575757575759</v>
      </c>
      <c r="F59" s="51" t="str">
        <f>HLOOKUP($B59,Inputs!$B$31:$ZV$68,F$7,FALSE)</f>
        <v>Choose Bet</v>
      </c>
      <c r="G59" s="51">
        <f>HLOOKUP($B59,Inputs!$B$31:$ZV$68,G$7,FALSE)</f>
        <v>88.664772727272776</v>
      </c>
      <c r="H59" s="51">
        <f>HLOOKUP($B59,Inputs!$B$31:$ZV$68,H$7,FALSE)</f>
        <v>15</v>
      </c>
      <c r="I59" s="51" t="str">
        <f>HLOOKUP($B59,Inputs!$B$31:$ZV$68,I$7,FALSE)</f>
        <v>Choose Bet</v>
      </c>
      <c r="J59" s="51">
        <f>HLOOKUP($B59,Inputs!$B$31:$ZV$68,J$7,FALSE)</f>
        <v>30</v>
      </c>
      <c r="K59" s="51" t="str">
        <f>HLOOKUP($B59,Inputs!$B$31:$ZV$68,K$7,FALSE)</f>
        <v>N/A</v>
      </c>
      <c r="L59" s="51">
        <f>HLOOKUP($B59,Inputs!$B$31:$ZV$68,L$7,FALSE)</f>
        <v>299.99999999999972</v>
      </c>
      <c r="M59" s="51" t="str">
        <f>HLOOKUP($B59,Inputs!$B$4:$ZX$29,M$7,FALSE)</f>
        <v>Choose Bet</v>
      </c>
      <c r="N59" s="100">
        <f>HLOOKUP($B59,Inputs!$B$4:$ZX$29,N$7,FALSE)</f>
        <v>1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5"/>
    </row>
    <row r="60" spans="1:26" ht="15.75" customHeight="1">
      <c r="A60" s="12"/>
      <c r="B60" s="12"/>
      <c r="C60" s="13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5"/>
    </row>
    <row r="61" spans="1:26" ht="15.75" customHeight="1">
      <c r="A61" s="12"/>
      <c r="B61" s="12"/>
      <c r="C61" s="13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5"/>
    </row>
    <row r="62" spans="1:26" ht="15.75" customHeight="1">
      <c r="A62" s="12"/>
      <c r="B62" s="12"/>
      <c r="C62" s="13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5"/>
    </row>
    <row r="63" spans="1:26" ht="15.75" customHeight="1">
      <c r="A63" s="12"/>
      <c r="B63" s="12"/>
      <c r="C63" s="13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5"/>
    </row>
    <row r="64" spans="1:26" ht="15.75" customHeight="1">
      <c r="A64" s="12"/>
      <c r="B64" s="12"/>
      <c r="C64" s="13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5"/>
    </row>
    <row r="65" spans="1:26" ht="15.75" customHeight="1">
      <c r="A65" s="12"/>
      <c r="B65" s="12"/>
      <c r="C65" s="13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5"/>
    </row>
    <row r="66" spans="1:26" ht="15.75" customHeight="1">
      <c r="A66" s="12"/>
      <c r="B66" s="12"/>
      <c r="C66" s="13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5"/>
    </row>
    <row r="67" spans="1:26" ht="15.75" customHeight="1">
      <c r="A67" s="12"/>
      <c r="B67" s="12"/>
      <c r="C67" s="13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5"/>
    </row>
    <row r="68" spans="1:26" ht="15.75" customHeight="1">
      <c r="A68" s="12"/>
      <c r="B68" s="12"/>
      <c r="C68" s="13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5"/>
    </row>
    <row r="69" spans="1:26" ht="15.75" customHeight="1">
      <c r="A69" s="12"/>
      <c r="B69" s="12"/>
      <c r="C69" s="13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5"/>
    </row>
    <row r="70" spans="1:26" ht="15.75" customHeight="1">
      <c r="A70" s="12"/>
      <c r="B70" s="12"/>
      <c r="C70" s="13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5"/>
    </row>
    <row r="71" spans="1:26" ht="15.75" customHeight="1">
      <c r="A71" s="12"/>
      <c r="B71" s="12"/>
      <c r="C71" s="13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5"/>
    </row>
    <row r="72" spans="1:26" ht="15.75" customHeight="1">
      <c r="A72" s="12"/>
      <c r="B72" s="12"/>
      <c r="C72" s="13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5"/>
    </row>
    <row r="73" spans="1:26" ht="15.75" customHeight="1">
      <c r="A73" s="12"/>
      <c r="B73" s="12"/>
      <c r="C73" s="13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5"/>
    </row>
    <row r="74" spans="1:26" ht="15.75" customHeight="1">
      <c r="A74" s="12"/>
      <c r="B74" s="12"/>
      <c r="C74" s="13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5"/>
    </row>
    <row r="75" spans="1:26" ht="15.75" customHeight="1">
      <c r="A75" s="12"/>
      <c r="B75" s="12"/>
      <c r="C75" s="13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5"/>
    </row>
    <row r="76" spans="1:26" ht="15.75" customHeight="1">
      <c r="A76" s="12"/>
      <c r="B76" s="12"/>
      <c r="C76" s="13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5"/>
    </row>
    <row r="77" spans="1:26" ht="15.75" customHeight="1">
      <c r="A77" s="12"/>
      <c r="B77" s="12"/>
      <c r="C77" s="13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5"/>
    </row>
    <row r="78" spans="1:26" ht="15.75" customHeight="1">
      <c r="A78" s="12"/>
      <c r="B78" s="12"/>
      <c r="C78" s="13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5"/>
    </row>
    <row r="79" spans="1:26" ht="15.75" customHeight="1">
      <c r="A79" s="12"/>
      <c r="B79" s="12"/>
      <c r="C79" s="13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5"/>
    </row>
    <row r="80" spans="1:26" ht="15.75" customHeight="1">
      <c r="A80" s="12"/>
      <c r="B80" s="12"/>
      <c r="C80" s="13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5"/>
    </row>
    <row r="81" spans="1:26" ht="15.75" customHeight="1">
      <c r="A81" s="12"/>
      <c r="B81" s="12"/>
      <c r="C81" s="13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5"/>
    </row>
    <row r="82" spans="1:26" ht="15.75" customHeight="1">
      <c r="A82" s="12"/>
      <c r="B82" s="12"/>
      <c r="C82" s="13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5"/>
    </row>
    <row r="83" spans="1:26" ht="15.75" customHeight="1">
      <c r="A83" s="12"/>
      <c r="B83" s="12"/>
      <c r="C83" s="13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5"/>
    </row>
    <row r="84" spans="1:26" ht="15.75" customHeight="1">
      <c r="A84" s="12"/>
      <c r="B84" s="12"/>
      <c r="C84" s="13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5"/>
    </row>
    <row r="85" spans="1:26" ht="15.75" customHeight="1">
      <c r="A85" s="12"/>
      <c r="B85" s="12"/>
      <c r="C85" s="13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5"/>
    </row>
    <row r="86" spans="1:26" ht="15.75" customHeight="1">
      <c r="A86" s="12"/>
      <c r="B86" s="12"/>
      <c r="C86" s="13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5"/>
    </row>
    <row r="87" spans="1:26" ht="15.75" customHeight="1">
      <c r="A87" s="12"/>
      <c r="B87" s="12"/>
      <c r="C87" s="13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5"/>
    </row>
    <row r="88" spans="1:26" ht="15.75" customHeight="1">
      <c r="A88" s="12"/>
      <c r="B88" s="12"/>
      <c r="C88" s="13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5"/>
    </row>
    <row r="89" spans="1:26" ht="15.75" customHeight="1">
      <c r="A89" s="12"/>
      <c r="B89" s="12"/>
      <c r="C89" s="13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5"/>
    </row>
    <row r="90" spans="1:26" ht="15.75" customHeight="1">
      <c r="A90" s="12"/>
      <c r="B90" s="12"/>
      <c r="C90" s="13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5"/>
    </row>
    <row r="91" spans="1:26" ht="15.75" customHeight="1">
      <c r="A91" s="12"/>
      <c r="B91" s="12"/>
      <c r="C91" s="13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5"/>
    </row>
    <row r="92" spans="1:26" ht="15.75" customHeight="1">
      <c r="A92" s="12"/>
      <c r="B92" s="12"/>
      <c r="C92" s="13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5"/>
    </row>
    <row r="93" spans="1:26" ht="15.75" customHeight="1">
      <c r="A93" s="12"/>
      <c r="B93" s="12"/>
      <c r="C93" s="13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5"/>
    </row>
    <row r="94" spans="1:26" ht="15.75" customHeight="1">
      <c r="A94" s="12"/>
      <c r="B94" s="12"/>
      <c r="C94" s="13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5"/>
    </row>
    <row r="95" spans="1:26" ht="15.75" customHeight="1">
      <c r="A95" s="12"/>
      <c r="B95" s="12"/>
      <c r="C95" s="13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5"/>
    </row>
    <row r="96" spans="1:26" ht="15.75" customHeight="1">
      <c r="A96" s="12"/>
      <c r="B96" s="12"/>
      <c r="C96" s="13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5"/>
    </row>
    <row r="97" spans="1:26" ht="15.75" customHeight="1">
      <c r="A97" s="12"/>
      <c r="B97" s="12"/>
      <c r="C97" s="13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5"/>
    </row>
    <row r="98" spans="1:26" ht="15.75" customHeight="1">
      <c r="A98" s="12"/>
      <c r="B98" s="12"/>
      <c r="C98" s="13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5"/>
    </row>
    <row r="99" spans="1:26" ht="15.75" customHeight="1">
      <c r="A99" s="12"/>
      <c r="B99" s="12"/>
      <c r="C99" s="13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5"/>
    </row>
    <row r="100" spans="1:26" ht="15.75" customHeight="1">
      <c r="A100" s="12"/>
      <c r="B100" s="12"/>
      <c r="C100" s="13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5"/>
    </row>
    <row r="101" spans="1:26" ht="15.75" customHeight="1">
      <c r="A101" s="12"/>
      <c r="B101" s="12"/>
      <c r="C101" s="13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5"/>
    </row>
    <row r="102" spans="1:26" ht="15.75" customHeight="1">
      <c r="A102" s="12"/>
      <c r="B102" s="12"/>
      <c r="C102" s="13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5"/>
    </row>
    <row r="103" spans="1:26" ht="15.75" customHeight="1">
      <c r="A103" s="12"/>
      <c r="B103" s="12"/>
      <c r="C103" s="13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5"/>
    </row>
    <row r="104" spans="1:26" ht="15.75" customHeight="1">
      <c r="A104" s="12"/>
      <c r="B104" s="12" t="s">
        <v>382</v>
      </c>
      <c r="C104" s="13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5"/>
    </row>
    <row r="105" spans="1:26" ht="15.75" customHeight="1">
      <c r="A105" s="12"/>
      <c r="B105" s="12"/>
      <c r="C105" s="13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5"/>
    </row>
    <row r="106" spans="1:26" ht="15.75" customHeight="1">
      <c r="A106" s="12"/>
      <c r="B106" s="12"/>
      <c r="C106" s="13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5"/>
    </row>
    <row r="107" spans="1:26" ht="15.75" customHeight="1">
      <c r="A107" s="12"/>
      <c r="B107" s="12"/>
      <c r="C107" s="13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5"/>
    </row>
    <row r="108" spans="1:26" ht="15.75" customHeight="1">
      <c r="A108" s="12"/>
      <c r="B108" s="12"/>
      <c r="C108" s="13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5"/>
    </row>
    <row r="109" spans="1:26" ht="15.75" customHeight="1">
      <c r="A109" s="12"/>
      <c r="B109" s="12"/>
      <c r="C109" s="13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5"/>
    </row>
    <row r="110" spans="1:26" ht="15.75" customHeight="1">
      <c r="A110" s="12"/>
      <c r="B110" s="12"/>
      <c r="C110" s="13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5"/>
    </row>
    <row r="111" spans="1:26" ht="15.75" customHeight="1">
      <c r="A111" s="12"/>
      <c r="B111" s="12"/>
      <c r="C111" s="13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5"/>
    </row>
    <row r="112" spans="1:26" ht="15.75" customHeight="1">
      <c r="A112" s="12"/>
      <c r="B112" s="12"/>
      <c r="C112" s="13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5"/>
    </row>
    <row r="113" spans="1:26" ht="15.75" customHeight="1">
      <c r="A113" s="12"/>
      <c r="B113" s="12"/>
      <c r="C113" s="13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5"/>
    </row>
    <row r="114" spans="1:26" ht="15.75" customHeight="1">
      <c r="A114" s="12"/>
      <c r="B114" s="12"/>
      <c r="C114" s="13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5"/>
    </row>
    <row r="115" spans="1:26" ht="15.75" customHeight="1">
      <c r="A115" s="12"/>
      <c r="B115" s="12"/>
      <c r="C115" s="13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5"/>
    </row>
    <row r="116" spans="1:26" ht="15.75" customHeight="1">
      <c r="A116" s="12"/>
      <c r="B116" s="12"/>
      <c r="C116" s="13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5"/>
    </row>
    <row r="117" spans="1:26" ht="15.75" customHeight="1">
      <c r="A117" s="12"/>
      <c r="B117" s="12"/>
      <c r="C117" s="13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5"/>
    </row>
    <row r="118" spans="1:26" ht="15.75" customHeight="1">
      <c r="A118" s="12"/>
      <c r="B118" s="12"/>
      <c r="C118" s="13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5"/>
    </row>
    <row r="119" spans="1:26" ht="15.75" customHeight="1">
      <c r="A119" s="12"/>
      <c r="B119" s="12"/>
      <c r="C119" s="13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5"/>
    </row>
    <row r="120" spans="1:26" ht="15.75" customHeight="1">
      <c r="A120" s="12"/>
      <c r="B120" s="12"/>
      <c r="C120" s="13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5"/>
    </row>
    <row r="121" spans="1:26" ht="15.75" customHeight="1">
      <c r="A121" s="12"/>
      <c r="B121" s="12"/>
      <c r="C121" s="13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5"/>
    </row>
    <row r="122" spans="1:26" ht="15.75" customHeight="1">
      <c r="A122" s="12"/>
      <c r="B122" s="12"/>
      <c r="C122" s="13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5"/>
    </row>
    <row r="123" spans="1:26" ht="15.75" customHeight="1">
      <c r="A123" s="12"/>
      <c r="B123" s="12"/>
      <c r="C123" s="13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5"/>
    </row>
    <row r="124" spans="1:26" ht="15.75" customHeight="1">
      <c r="A124" s="12"/>
      <c r="B124" s="12"/>
      <c r="C124" s="13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5"/>
    </row>
    <row r="125" spans="1:26" ht="15.75" customHeight="1">
      <c r="A125" s="12"/>
      <c r="B125" s="12"/>
      <c r="C125" s="13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5"/>
    </row>
    <row r="126" spans="1:26" ht="15.75" customHeight="1">
      <c r="A126" s="12"/>
      <c r="B126" s="12"/>
      <c r="C126" s="13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5"/>
    </row>
    <row r="127" spans="1:26" ht="15.75" customHeight="1">
      <c r="A127" s="12"/>
      <c r="B127" s="12"/>
      <c r="C127" s="13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5"/>
    </row>
    <row r="128" spans="1:26" ht="15.75" customHeight="1">
      <c r="A128" s="12"/>
      <c r="B128" s="12"/>
      <c r="C128" s="13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5"/>
    </row>
    <row r="129" spans="1:26" ht="15.75" customHeight="1">
      <c r="A129" s="12"/>
      <c r="B129" s="12"/>
      <c r="C129" s="13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5"/>
    </row>
    <row r="130" spans="1:26" ht="15.75" customHeight="1">
      <c r="A130" s="12"/>
      <c r="B130" s="12"/>
      <c r="C130" s="13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5"/>
    </row>
    <row r="131" spans="1:26" ht="15.75" customHeight="1">
      <c r="A131" s="12"/>
      <c r="B131" s="12"/>
      <c r="C131" s="13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5"/>
    </row>
    <row r="132" spans="1:26" ht="15.75" customHeight="1">
      <c r="A132" s="12"/>
      <c r="B132" s="12"/>
      <c r="C132" s="13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5"/>
    </row>
    <row r="133" spans="1:26" ht="15.75" customHeight="1">
      <c r="A133" s="12"/>
      <c r="B133" s="12"/>
      <c r="C133" s="13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5"/>
    </row>
    <row r="134" spans="1:26" ht="15.75" customHeight="1">
      <c r="A134" s="12"/>
      <c r="B134" s="12"/>
      <c r="C134" s="13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5"/>
    </row>
    <row r="135" spans="1:26" ht="15.75" customHeight="1">
      <c r="A135" s="12"/>
      <c r="B135" s="12"/>
      <c r="C135" s="13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5"/>
    </row>
    <row r="136" spans="1:26" ht="15.75" customHeight="1">
      <c r="A136" s="12"/>
      <c r="B136" s="12"/>
      <c r="C136" s="13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5"/>
    </row>
    <row r="137" spans="1:26" ht="15.75" customHeight="1">
      <c r="A137" s="12"/>
      <c r="B137" s="12"/>
      <c r="C137" s="13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5"/>
    </row>
    <row r="138" spans="1:26" ht="15.75" customHeight="1">
      <c r="A138" s="12"/>
      <c r="B138" s="12"/>
      <c r="C138" s="13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5"/>
    </row>
    <row r="139" spans="1:26" ht="15.75" customHeight="1">
      <c r="A139" s="12"/>
      <c r="B139" s="12"/>
      <c r="C139" s="13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5"/>
    </row>
    <row r="140" spans="1:26" ht="15.75" customHeight="1">
      <c r="A140" s="12"/>
      <c r="B140" s="12"/>
      <c r="C140" s="13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5"/>
    </row>
    <row r="141" spans="1:26" ht="15.75" customHeight="1">
      <c r="A141" s="12"/>
      <c r="B141" s="12"/>
      <c r="C141" s="13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5"/>
    </row>
    <row r="142" spans="1:26" ht="15.75" customHeight="1">
      <c r="A142" s="12"/>
      <c r="B142" s="12"/>
      <c r="C142" s="13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5"/>
    </row>
    <row r="143" spans="1:26" ht="15.75" customHeight="1">
      <c r="A143" s="12"/>
      <c r="B143" s="12"/>
      <c r="C143" s="13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5"/>
    </row>
    <row r="144" spans="1:26" ht="15.75" customHeight="1">
      <c r="A144" s="12"/>
      <c r="B144" s="12"/>
      <c r="C144" s="13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5"/>
    </row>
    <row r="145" spans="1:26" ht="15.75" customHeight="1">
      <c r="A145" s="12"/>
      <c r="B145" s="12"/>
      <c r="C145" s="13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5"/>
    </row>
    <row r="146" spans="1:26" ht="15.75" customHeight="1">
      <c r="A146" s="12"/>
      <c r="B146" s="12"/>
      <c r="C146" s="13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5"/>
    </row>
    <row r="147" spans="1:26" ht="15.75" customHeight="1">
      <c r="A147" s="12"/>
      <c r="B147" s="12"/>
      <c r="C147" s="13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5"/>
    </row>
    <row r="148" spans="1:26" ht="15.75" customHeight="1">
      <c r="A148" s="12"/>
      <c r="B148" s="12"/>
      <c r="C148" s="13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5"/>
    </row>
    <row r="149" spans="1:26" ht="15.75" customHeight="1">
      <c r="A149" s="12"/>
      <c r="B149" s="12"/>
      <c r="C149" s="13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5"/>
    </row>
    <row r="150" spans="1:26" ht="15.75" customHeight="1">
      <c r="A150" s="15"/>
      <c r="B150" s="15"/>
      <c r="C150" s="157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15"/>
      <c r="B151" s="15"/>
      <c r="C151" s="157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15"/>
      <c r="B152" s="15"/>
      <c r="C152" s="157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15"/>
      <c r="B153" s="15"/>
      <c r="C153" s="157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15"/>
      <c r="B154" s="15"/>
      <c r="C154" s="157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15"/>
      <c r="B155" s="15"/>
      <c r="C155" s="157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15"/>
      <c r="B156" s="15"/>
      <c r="C156" s="157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15"/>
      <c r="B157" s="15"/>
      <c r="C157" s="157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15"/>
      <c r="B158" s="15"/>
      <c r="C158" s="157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15.75" customHeight="1">
      <c r="A159" s="15"/>
      <c r="B159" s="15"/>
      <c r="C159" s="157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15"/>
      <c r="B160" s="15"/>
      <c r="C160" s="157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15"/>
      <c r="B161" s="15"/>
      <c r="C161" s="157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15"/>
      <c r="B162" s="15"/>
      <c r="C162" s="157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15"/>
      <c r="B163" s="15"/>
      <c r="C163" s="157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15"/>
      <c r="B164" s="15"/>
      <c r="C164" s="157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5.75" customHeight="1">
      <c r="A165" s="15"/>
      <c r="B165" s="15"/>
      <c r="C165" s="157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15"/>
      <c r="B166" s="15"/>
      <c r="C166" s="157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15"/>
      <c r="B167" s="15"/>
      <c r="C167" s="157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15"/>
      <c r="B168" s="15"/>
      <c r="C168" s="157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15"/>
      <c r="B169" s="15"/>
      <c r="C169" s="157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15"/>
      <c r="B170" s="15"/>
      <c r="C170" s="157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15"/>
      <c r="B171" s="15"/>
      <c r="C171" s="157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15"/>
      <c r="B172" s="15"/>
      <c r="C172" s="157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15"/>
      <c r="B173" s="15"/>
      <c r="C173" s="157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15"/>
      <c r="B174" s="15"/>
      <c r="C174" s="157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15"/>
      <c r="B175" s="15"/>
      <c r="C175" s="157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15"/>
      <c r="B176" s="15"/>
      <c r="C176" s="157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15"/>
      <c r="B177" s="15"/>
      <c r="C177" s="157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15"/>
      <c r="B178" s="15"/>
      <c r="C178" s="157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15"/>
      <c r="B179" s="15"/>
      <c r="C179" s="157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15"/>
      <c r="B180" s="15"/>
      <c r="C180" s="157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15"/>
      <c r="B181" s="15"/>
      <c r="C181" s="157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15"/>
      <c r="B182" s="15"/>
      <c r="C182" s="157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15"/>
      <c r="B183" s="15"/>
      <c r="C183" s="157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15.75" customHeight="1">
      <c r="A184" s="15"/>
      <c r="B184" s="15"/>
      <c r="C184" s="157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15"/>
      <c r="B185" s="15"/>
      <c r="C185" s="157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15"/>
      <c r="B186" s="15"/>
      <c r="C186" s="157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15"/>
      <c r="B187" s="15"/>
      <c r="C187" s="157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15"/>
      <c r="B188" s="15"/>
      <c r="C188" s="157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15"/>
      <c r="B189" s="15"/>
      <c r="C189" s="157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15"/>
      <c r="B190" s="15"/>
      <c r="C190" s="157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15"/>
      <c r="B191" s="15"/>
      <c r="C191" s="157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15"/>
      <c r="B192" s="15"/>
      <c r="C192" s="157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15"/>
      <c r="B193" s="15"/>
      <c r="C193" s="157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15"/>
      <c r="B194" s="15"/>
      <c r="C194" s="157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15"/>
      <c r="B195" s="15"/>
      <c r="C195" s="157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15"/>
      <c r="B196" s="15"/>
      <c r="C196" s="157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15"/>
      <c r="B197" s="15"/>
      <c r="C197" s="157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15"/>
      <c r="B198" s="15"/>
      <c r="C198" s="157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15"/>
      <c r="B199" s="15"/>
      <c r="C199" s="157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15"/>
      <c r="B200" s="15"/>
      <c r="C200" s="157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15"/>
      <c r="B201" s="15"/>
      <c r="C201" s="157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15"/>
      <c r="B202" s="15"/>
      <c r="C202" s="157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15"/>
      <c r="B203" s="15"/>
      <c r="C203" s="157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15"/>
      <c r="B204" s="15"/>
      <c r="C204" s="157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15"/>
      <c r="B205" s="15"/>
      <c r="C205" s="157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15"/>
      <c r="B206" s="15"/>
      <c r="C206" s="157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15"/>
      <c r="B207" s="15"/>
      <c r="C207" s="157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15"/>
      <c r="B208" s="15"/>
      <c r="C208" s="157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15"/>
      <c r="B209" s="15"/>
      <c r="C209" s="157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15"/>
      <c r="B210" s="15"/>
      <c r="C210" s="157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15"/>
      <c r="B211" s="15"/>
      <c r="C211" s="157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15"/>
      <c r="B212" s="15"/>
      <c r="C212" s="157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15"/>
      <c r="B213" s="15"/>
      <c r="C213" s="157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15"/>
      <c r="B214" s="15"/>
      <c r="C214" s="157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15"/>
      <c r="B215" s="15"/>
      <c r="C215" s="157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15"/>
      <c r="B216" s="15"/>
      <c r="C216" s="157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15"/>
      <c r="B217" s="15"/>
      <c r="C217" s="157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15"/>
      <c r="B218" s="15"/>
      <c r="C218" s="157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15"/>
      <c r="B219" s="15"/>
      <c r="C219" s="157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15"/>
      <c r="B220" s="15"/>
      <c r="C220" s="157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15"/>
      <c r="B221" s="15"/>
      <c r="C221" s="157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15"/>
      <c r="B222" s="15"/>
      <c r="C222" s="157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15"/>
      <c r="B223" s="15"/>
      <c r="C223" s="157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15"/>
      <c r="B224" s="15"/>
      <c r="C224" s="157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15"/>
      <c r="B225" s="15"/>
      <c r="C225" s="157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15"/>
      <c r="B226" s="15"/>
      <c r="C226" s="157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15"/>
      <c r="B227" s="15"/>
      <c r="C227" s="157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15"/>
      <c r="B228" s="15"/>
      <c r="C228" s="157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15"/>
      <c r="B229" s="15"/>
      <c r="C229" s="157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15"/>
      <c r="B230" s="15"/>
      <c r="C230" s="157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15"/>
      <c r="B231" s="15"/>
      <c r="C231" s="157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15"/>
      <c r="B232" s="15"/>
      <c r="C232" s="157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15"/>
      <c r="B233" s="15"/>
      <c r="C233" s="157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15"/>
      <c r="B234" s="15"/>
      <c r="C234" s="157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15"/>
      <c r="B235" s="15"/>
      <c r="C235" s="157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15"/>
      <c r="B236" s="15"/>
      <c r="C236" s="157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15"/>
      <c r="B237" s="15"/>
      <c r="C237" s="157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15"/>
      <c r="B238" s="15"/>
      <c r="C238" s="157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15"/>
      <c r="B239" s="15"/>
      <c r="C239" s="157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15"/>
      <c r="B240" s="15"/>
      <c r="C240" s="157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15"/>
      <c r="B241" s="15"/>
      <c r="C241" s="157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15"/>
      <c r="B242" s="15"/>
      <c r="C242" s="157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15"/>
      <c r="B243" s="15"/>
      <c r="C243" s="157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15"/>
      <c r="B244" s="15"/>
      <c r="C244" s="157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15"/>
      <c r="B245" s="15"/>
      <c r="C245" s="157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15"/>
      <c r="B246" s="15"/>
      <c r="C246" s="157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15"/>
      <c r="B247" s="15"/>
      <c r="C247" s="157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15"/>
      <c r="B248" s="15"/>
      <c r="C248" s="157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15"/>
      <c r="B249" s="15"/>
      <c r="C249" s="157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15"/>
      <c r="B250" s="15"/>
      <c r="C250" s="157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15"/>
      <c r="B251" s="15"/>
      <c r="C251" s="157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15"/>
      <c r="B252" s="15"/>
      <c r="C252" s="157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15"/>
      <c r="B253" s="15"/>
      <c r="C253" s="157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15"/>
      <c r="B254" s="15"/>
      <c r="C254" s="157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15"/>
      <c r="B255" s="15"/>
      <c r="C255" s="157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15"/>
      <c r="B256" s="15"/>
      <c r="C256" s="157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15"/>
      <c r="B257" s="15"/>
      <c r="C257" s="157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15"/>
      <c r="B258" s="15"/>
      <c r="C258" s="157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/>
    <row r="260" spans="1:26" ht="15.75" customHeight="1"/>
    <row r="261" spans="1:26" ht="15.75" customHeight="1"/>
    <row r="262" spans="1:26" ht="15.75" customHeight="1"/>
    <row r="263" spans="1:26" ht="15.75" customHeight="1"/>
    <row r="264" spans="1:26" ht="15.75" customHeight="1"/>
    <row r="265" spans="1:26" ht="15.75" customHeight="1"/>
    <row r="266" spans="1:26" ht="15.75" customHeight="1"/>
    <row r="267" spans="1:26" ht="15.75" customHeight="1"/>
    <row r="268" spans="1:26" ht="15.75" customHeight="1"/>
    <row r="269" spans="1:26" ht="15.75" customHeight="1"/>
    <row r="270" spans="1:26" ht="15.75" customHeight="1"/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8:N59" xr:uid="{00000000-0009-0000-0000-000000000000}">
    <filterColumn colId="1">
      <filters>
        <filter val="Bingo Bash"/>
        <filter val="Bingo Blitz"/>
        <filter val="Bingo Drive"/>
        <filter val="Bingo Party"/>
        <filter val="Bingo Pop"/>
        <filter val="Bingo Showdown"/>
        <filter val="Monopoly Bingo"/>
      </filters>
    </filterColumn>
  </autoFilter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J100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baseColWidth="10" defaultColWidth="11.1640625" defaultRowHeight="15" customHeight="1"/>
  <cols>
    <col min="1" max="1" width="22" hidden="1" customWidth="1"/>
    <col min="2" max="2" width="40.83203125" customWidth="1"/>
    <col min="3" max="53" width="12.5" customWidth="1"/>
    <col min="54" max="60" width="13.5" customWidth="1"/>
  </cols>
  <sheetData>
    <row r="1" spans="1:62" ht="34.5" customHeight="1">
      <c r="A1" s="3"/>
      <c r="B1" s="4"/>
      <c r="C1" s="8" t="s">
        <v>2</v>
      </c>
      <c r="D1" s="22"/>
      <c r="E1" s="22"/>
      <c r="F1" s="22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7"/>
      <c r="BC1" s="27"/>
      <c r="BD1" s="27"/>
      <c r="BE1" s="27"/>
      <c r="BF1" s="27"/>
      <c r="BG1" s="27"/>
      <c r="BH1" s="27"/>
      <c r="BI1" s="29"/>
      <c r="BJ1" s="29"/>
    </row>
    <row r="2" spans="1:62" ht="15.75" customHeight="1">
      <c r="A2" s="12"/>
      <c r="B2" s="31"/>
      <c r="C2" s="9" t="s">
        <v>3</v>
      </c>
      <c r="D2" s="10"/>
      <c r="E2" s="10"/>
      <c r="F2" s="10"/>
      <c r="G2" s="10"/>
      <c r="H2" s="10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29"/>
      <c r="BJ2" s="29"/>
    </row>
    <row r="3" spans="1:62" ht="15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29"/>
      <c r="BJ3" s="29"/>
    </row>
    <row r="4" spans="1:62" ht="42">
      <c r="A4" s="33"/>
      <c r="B4" s="34"/>
      <c r="C4" s="35" t="s">
        <v>9</v>
      </c>
      <c r="D4" s="35" t="s">
        <v>10</v>
      </c>
      <c r="E4" s="35" t="s">
        <v>11</v>
      </c>
      <c r="F4" s="35" t="s">
        <v>12</v>
      </c>
      <c r="G4" s="35" t="s">
        <v>13</v>
      </c>
      <c r="H4" s="35" t="s">
        <v>14</v>
      </c>
      <c r="I4" s="35" t="s">
        <v>15</v>
      </c>
      <c r="J4" s="35" t="s">
        <v>16</v>
      </c>
      <c r="K4" s="35" t="s">
        <v>17</v>
      </c>
      <c r="L4" s="35" t="s">
        <v>18</v>
      </c>
      <c r="M4" s="35" t="s">
        <v>19</v>
      </c>
      <c r="N4" s="35" t="s">
        <v>20</v>
      </c>
      <c r="O4" s="35" t="s">
        <v>21</v>
      </c>
      <c r="P4" s="35" t="s">
        <v>22</v>
      </c>
      <c r="Q4" s="35" t="s">
        <v>23</v>
      </c>
      <c r="R4" s="35" t="s">
        <v>24</v>
      </c>
      <c r="S4" s="35" t="s">
        <v>25</v>
      </c>
      <c r="T4" s="35" t="s">
        <v>26</v>
      </c>
      <c r="U4" s="35" t="s">
        <v>27</v>
      </c>
      <c r="V4" s="35" t="s">
        <v>28</v>
      </c>
      <c r="W4" s="35" t="s">
        <v>29</v>
      </c>
      <c r="X4" s="35" t="s">
        <v>30</v>
      </c>
      <c r="Y4" s="35" t="s">
        <v>31</v>
      </c>
      <c r="Z4" s="35" t="s">
        <v>32</v>
      </c>
      <c r="AA4" s="35" t="s">
        <v>33</v>
      </c>
      <c r="AB4" s="35" t="s">
        <v>34</v>
      </c>
      <c r="AC4" s="35" t="s">
        <v>35</v>
      </c>
      <c r="AD4" s="35" t="s">
        <v>36</v>
      </c>
      <c r="AE4" s="35" t="s">
        <v>37</v>
      </c>
      <c r="AF4" s="35" t="s">
        <v>38</v>
      </c>
      <c r="AG4" s="35" t="s">
        <v>39</v>
      </c>
      <c r="AH4" s="35" t="s">
        <v>40</v>
      </c>
      <c r="AI4" s="35" t="s">
        <v>41</v>
      </c>
      <c r="AJ4" s="35" t="s">
        <v>42</v>
      </c>
      <c r="AK4" s="35" t="s">
        <v>43</v>
      </c>
      <c r="AL4" s="35" t="s">
        <v>44</v>
      </c>
      <c r="AM4" s="35" t="s">
        <v>45</v>
      </c>
      <c r="AN4" s="35" t="s">
        <v>46</v>
      </c>
      <c r="AO4" s="35" t="s">
        <v>47</v>
      </c>
      <c r="AP4" s="35" t="s">
        <v>48</v>
      </c>
      <c r="AQ4" s="35" t="s">
        <v>49</v>
      </c>
      <c r="AR4" s="38" t="s">
        <v>50</v>
      </c>
      <c r="AS4" s="35" t="s">
        <v>51</v>
      </c>
      <c r="AT4" s="35" t="s">
        <v>52</v>
      </c>
      <c r="AU4" s="35" t="s">
        <v>53</v>
      </c>
      <c r="AV4" s="35" t="s">
        <v>54</v>
      </c>
      <c r="AW4" s="35" t="s">
        <v>55</v>
      </c>
      <c r="AX4" s="35" t="s">
        <v>56</v>
      </c>
      <c r="AY4" s="35" t="s">
        <v>57</v>
      </c>
      <c r="AZ4" s="35" t="s">
        <v>58</v>
      </c>
      <c r="BA4" s="35" t="s">
        <v>59</v>
      </c>
      <c r="BB4" s="40"/>
      <c r="BC4" s="40"/>
      <c r="BD4" s="40"/>
      <c r="BE4" s="40"/>
      <c r="BF4" s="40"/>
      <c r="BG4" s="40"/>
      <c r="BH4" s="40"/>
      <c r="BI4" s="42"/>
      <c r="BJ4" s="42"/>
    </row>
    <row r="5" spans="1:62" s="206" customFormat="1" ht="64">
      <c r="A5" s="202"/>
      <c r="B5" s="209" t="s">
        <v>87</v>
      </c>
      <c r="C5" s="203" t="s">
        <v>88</v>
      </c>
      <c r="D5" s="204" t="s">
        <v>89</v>
      </c>
      <c r="E5" s="204" t="s">
        <v>90</v>
      </c>
      <c r="F5" s="204" t="s">
        <v>91</v>
      </c>
      <c r="G5" s="204" t="s">
        <v>92</v>
      </c>
      <c r="H5" s="204" t="s">
        <v>93</v>
      </c>
      <c r="I5" s="204" t="s">
        <v>94</v>
      </c>
      <c r="J5" s="204" t="s">
        <v>95</v>
      </c>
      <c r="K5" s="204" t="s">
        <v>96</v>
      </c>
      <c r="L5" s="204" t="s">
        <v>97</v>
      </c>
      <c r="M5" s="204" t="s">
        <v>98</v>
      </c>
      <c r="N5" s="204" t="s">
        <v>95</v>
      </c>
      <c r="O5" s="204" t="s">
        <v>99</v>
      </c>
      <c r="P5" s="204" t="s">
        <v>100</v>
      </c>
      <c r="Q5" s="204" t="s">
        <v>101</v>
      </c>
      <c r="R5" s="204" t="s">
        <v>102</v>
      </c>
      <c r="S5" s="204" t="s">
        <v>94</v>
      </c>
      <c r="T5" s="204" t="s">
        <v>103</v>
      </c>
      <c r="U5" s="204" t="s">
        <v>89</v>
      </c>
      <c r="V5" s="204" t="s">
        <v>104</v>
      </c>
      <c r="W5" s="204" t="s">
        <v>105</v>
      </c>
      <c r="X5" s="204" t="s">
        <v>106</v>
      </c>
      <c r="Y5" s="204" t="s">
        <v>107</v>
      </c>
      <c r="Z5" s="204" t="s">
        <v>108</v>
      </c>
      <c r="AA5" s="204" t="s">
        <v>98</v>
      </c>
      <c r="AB5" s="204" t="s">
        <v>109</v>
      </c>
      <c r="AC5" s="204" t="s">
        <v>110</v>
      </c>
      <c r="AD5" s="204" t="s">
        <v>100</v>
      </c>
      <c r="AE5" s="204" t="s">
        <v>111</v>
      </c>
      <c r="AF5" s="204" t="s">
        <v>105</v>
      </c>
      <c r="AG5" s="204" t="s">
        <v>112</v>
      </c>
      <c r="AH5" s="204" t="s">
        <v>113</v>
      </c>
      <c r="AI5" s="204" t="s">
        <v>92</v>
      </c>
      <c r="AJ5" s="204" t="s">
        <v>92</v>
      </c>
      <c r="AK5" s="204" t="s">
        <v>114</v>
      </c>
      <c r="AL5" s="204" t="s">
        <v>115</v>
      </c>
      <c r="AM5" s="204" t="s">
        <v>116</v>
      </c>
      <c r="AN5" s="204" t="s">
        <v>117</v>
      </c>
      <c r="AO5" s="204" t="s">
        <v>118</v>
      </c>
      <c r="AP5" s="204" t="s">
        <v>119</v>
      </c>
      <c r="AQ5" s="204" t="s">
        <v>120</v>
      </c>
      <c r="AR5" s="204" t="s">
        <v>121</v>
      </c>
      <c r="AS5" s="204" t="s">
        <v>123</v>
      </c>
      <c r="AT5" s="204" t="s">
        <v>124</v>
      </c>
      <c r="AU5" s="204" t="s">
        <v>125</v>
      </c>
      <c r="AV5" s="204" t="s">
        <v>126</v>
      </c>
      <c r="AW5" s="204" t="s">
        <v>127</v>
      </c>
      <c r="AX5" s="204" t="s">
        <v>128</v>
      </c>
      <c r="AY5" s="204" t="s">
        <v>129</v>
      </c>
      <c r="AZ5" s="204" t="s">
        <v>130</v>
      </c>
      <c r="BA5" s="205" t="s">
        <v>131</v>
      </c>
      <c r="BB5" s="202"/>
      <c r="BC5" s="202"/>
      <c r="BD5" s="202"/>
      <c r="BE5" s="202"/>
      <c r="BF5" s="202"/>
      <c r="BG5" s="202"/>
      <c r="BH5" s="202"/>
    </row>
    <row r="6" spans="1:62" ht="15.75" customHeight="1">
      <c r="A6" s="12"/>
      <c r="B6" s="50" t="s">
        <v>132</v>
      </c>
      <c r="C6" s="53">
        <f>10000000+(1*'Raw Data'!B44*C49)</f>
        <v>10270000</v>
      </c>
      <c r="D6" s="51">
        <v>1000000</v>
      </c>
      <c r="E6" s="51">
        <v>100000</v>
      </c>
      <c r="F6" s="51">
        <v>12500</v>
      </c>
      <c r="G6" s="51">
        <v>2000000</v>
      </c>
      <c r="H6" s="51">
        <v>1000</v>
      </c>
      <c r="I6" s="51">
        <v>6000000</v>
      </c>
      <c r="J6" s="51">
        <v>1000000</v>
      </c>
      <c r="K6" s="51">
        <v>4500000</v>
      </c>
      <c r="L6" s="51">
        <v>1520000</v>
      </c>
      <c r="M6" s="51">
        <v>10000</v>
      </c>
      <c r="N6" s="51">
        <v>1000000</v>
      </c>
      <c r="O6" s="51">
        <v>1250000</v>
      </c>
      <c r="P6" s="51">
        <v>40000</v>
      </c>
      <c r="Q6" s="51">
        <v>1800000</v>
      </c>
      <c r="R6" s="51" t="e">
        <f>100000+(6*'Raw Data'!Q20)</f>
        <v>#REF!</v>
      </c>
      <c r="S6" s="51">
        <v>6000000</v>
      </c>
      <c r="T6" s="51">
        <v>5000000</v>
      </c>
      <c r="U6" s="51">
        <v>1000000</v>
      </c>
      <c r="V6" s="51">
        <v>50000</v>
      </c>
      <c r="W6" s="51">
        <f>12000000+(50*'Raw Data'!V44*W49)</f>
        <v>41940000</v>
      </c>
      <c r="X6" s="51">
        <v>2000</v>
      </c>
      <c r="Y6" s="51">
        <v>3000000</v>
      </c>
      <c r="Z6" s="51">
        <v>30000</v>
      </c>
      <c r="AA6" s="51">
        <v>10000</v>
      </c>
      <c r="AB6" s="51">
        <v>1400000</v>
      </c>
      <c r="AC6" s="51">
        <v>323250</v>
      </c>
      <c r="AD6" s="51">
        <v>40000</v>
      </c>
      <c r="AE6" s="51">
        <f>150+(10*'Raw Data'!AD44*AE49)+(1000*'Raw Data'!AD49*AE49)</f>
        <v>80095</v>
      </c>
      <c r="AF6" s="51">
        <f>12000000+(50*'Raw Data'!AE44*AF49)</f>
        <v>41940000</v>
      </c>
      <c r="AG6" s="51">
        <f>3000+(3*'Raw Data'!AF44*AG49)</f>
        <v>5020.95</v>
      </c>
      <c r="AH6" s="51">
        <v>15000</v>
      </c>
      <c r="AI6" s="51">
        <v>2000000</v>
      </c>
      <c r="AJ6" s="51">
        <v>2000000</v>
      </c>
      <c r="AK6" s="51">
        <v>200000</v>
      </c>
      <c r="AL6" s="51">
        <f>24+(2500*'Raw Data'!AK44*AL49)+(25*'Raw Data'!AK49*AL49)</f>
        <v>89.664772727272748</v>
      </c>
      <c r="AM6" s="51">
        <f>50+(5000*'Raw Data'!AL44)+(30*'Raw Data'!AL49*AM49)</f>
        <v>650.46500000000003</v>
      </c>
      <c r="AN6" s="51">
        <f>500+(30*'Raw Data'!AM44*AN49)</f>
        <v>1651.5384615384614</v>
      </c>
      <c r="AO6" s="51">
        <f>(2000*'Raw Data'!AN49)+(20*'Raw Data'!AN44*AO49)+30</f>
        <v>38.930379310344826</v>
      </c>
      <c r="AP6" s="51">
        <f>12+(16*'Raw Data'!AO44*AP49)</f>
        <v>39.677866666666667</v>
      </c>
      <c r="AQ6" s="51">
        <f>68+(17500*'Raw Data'!AP44*AQ49)</f>
        <v>207.72</v>
      </c>
      <c r="AR6" s="51">
        <f>50+(5000*'Raw Data'!AQ44*AR49)+(23*'Raw Data'!AQ49*AR49)</f>
        <v>168.67000000000002</v>
      </c>
      <c r="AS6" s="51">
        <v>250000</v>
      </c>
      <c r="AT6" s="51">
        <f>80000+(5*'Raw Data'!AS44*AT49)</f>
        <v>575993.97590361442</v>
      </c>
      <c r="AU6" s="51">
        <v>15000</v>
      </c>
      <c r="AV6" s="51">
        <f>1000000+(20*'Raw Data'!AU44*AV49)</f>
        <v>15970000</v>
      </c>
      <c r="AW6" s="51">
        <f>35000+(1*'Raw Data'!AV44*AW49)</f>
        <v>334700</v>
      </c>
      <c r="AX6" s="51">
        <f>5000+(10*'Raw Data'!AW44*AX49)</f>
        <v>254500</v>
      </c>
      <c r="AY6" s="51">
        <v>800</v>
      </c>
      <c r="AZ6" s="51">
        <f>4000000+(200*'Raw Data'!AY44*AZ49)</f>
        <v>9988000</v>
      </c>
      <c r="BA6" s="64">
        <v>400000</v>
      </c>
      <c r="BB6" s="12"/>
      <c r="BC6" s="12"/>
      <c r="BD6" s="12"/>
      <c r="BE6" s="12"/>
      <c r="BF6" s="12"/>
      <c r="BG6" s="12"/>
      <c r="BH6" s="12"/>
    </row>
    <row r="7" spans="1:62" ht="15.75" customHeight="1">
      <c r="A7" s="12"/>
      <c r="B7" s="50" t="s">
        <v>137</v>
      </c>
      <c r="C7" s="53">
        <f>10000000</f>
        <v>10000000</v>
      </c>
      <c r="D7" s="51">
        <v>1000000</v>
      </c>
      <c r="E7" s="51">
        <v>100000</v>
      </c>
      <c r="F7" s="51">
        <v>12500</v>
      </c>
      <c r="G7" s="51">
        <v>2000000</v>
      </c>
      <c r="H7" s="51">
        <v>1000</v>
      </c>
      <c r="I7" s="51">
        <v>6000000</v>
      </c>
      <c r="J7" s="51">
        <v>1000000</v>
      </c>
      <c r="K7" s="51">
        <v>4500000</v>
      </c>
      <c r="L7" s="51">
        <v>1520000</v>
      </c>
      <c r="M7" s="51">
        <v>10000</v>
      </c>
      <c r="N7" s="51">
        <v>1000000</v>
      </c>
      <c r="O7" s="51">
        <v>1250000</v>
      </c>
      <c r="P7" s="51">
        <v>40000</v>
      </c>
      <c r="Q7" s="51">
        <v>1800000</v>
      </c>
      <c r="R7" s="51">
        <v>100000</v>
      </c>
      <c r="S7" s="51">
        <v>6000000</v>
      </c>
      <c r="T7" s="51">
        <v>5000000</v>
      </c>
      <c r="U7" s="51">
        <v>1000000</v>
      </c>
      <c r="V7" s="51">
        <v>50000</v>
      </c>
      <c r="W7" s="51">
        <f>12000000</f>
        <v>12000000</v>
      </c>
      <c r="X7" s="51">
        <v>2000</v>
      </c>
      <c r="Y7" s="51">
        <v>3000000</v>
      </c>
      <c r="Z7" s="51">
        <v>30000</v>
      </c>
      <c r="AA7" s="51">
        <v>10000</v>
      </c>
      <c r="AB7" s="51">
        <v>1400000</v>
      </c>
      <c r="AC7" s="51">
        <v>323250</v>
      </c>
      <c r="AD7" s="51">
        <v>40000</v>
      </c>
      <c r="AE7" s="51">
        <f>150</f>
        <v>150</v>
      </c>
      <c r="AF7" s="51">
        <f>12000000</f>
        <v>12000000</v>
      </c>
      <c r="AG7" s="51">
        <f>3000</f>
        <v>3000</v>
      </c>
      <c r="AH7" s="51">
        <v>15000</v>
      </c>
      <c r="AI7" s="51">
        <v>2000000</v>
      </c>
      <c r="AJ7" s="51">
        <v>2000000</v>
      </c>
      <c r="AK7" s="51">
        <v>200000</v>
      </c>
      <c r="AL7" s="51">
        <f>30</f>
        <v>30</v>
      </c>
      <c r="AM7" s="51">
        <f>50</f>
        <v>50</v>
      </c>
      <c r="AN7" s="51">
        <f>500</f>
        <v>500</v>
      </c>
      <c r="AO7" s="51">
        <v>30</v>
      </c>
      <c r="AP7" s="51">
        <v>12</v>
      </c>
      <c r="AQ7" s="51">
        <v>68</v>
      </c>
      <c r="AR7" s="69">
        <v>50</v>
      </c>
      <c r="AS7" s="51">
        <v>250000</v>
      </c>
      <c r="AT7" s="51">
        <v>80000</v>
      </c>
      <c r="AU7" s="51">
        <v>15000</v>
      </c>
      <c r="AV7" s="51">
        <v>1000000</v>
      </c>
      <c r="AW7" s="51">
        <v>35000</v>
      </c>
      <c r="AX7" s="51">
        <v>5000</v>
      </c>
      <c r="AY7" s="51">
        <v>800</v>
      </c>
      <c r="AZ7" s="51">
        <v>4000000</v>
      </c>
      <c r="BA7" s="64">
        <v>400000</v>
      </c>
      <c r="BB7" s="12"/>
      <c r="BC7" s="12"/>
      <c r="BD7" s="12"/>
      <c r="BE7" s="12"/>
      <c r="BF7" s="12"/>
      <c r="BG7" s="12"/>
      <c r="BH7" s="12"/>
    </row>
    <row r="8" spans="1:62" ht="15.75" customHeight="1">
      <c r="A8" s="12"/>
      <c r="B8" s="50"/>
      <c r="C8" s="71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80"/>
      <c r="BB8" s="12"/>
      <c r="BC8" s="12"/>
      <c r="BD8" s="12"/>
      <c r="BE8" s="12"/>
      <c r="BF8" s="12"/>
      <c r="BG8" s="12"/>
      <c r="BH8" s="12"/>
    </row>
    <row r="9" spans="1:62" ht="15.75" customHeight="1">
      <c r="A9" s="12"/>
      <c r="B9" s="82" t="s">
        <v>151</v>
      </c>
      <c r="C9" s="47">
        <v>1</v>
      </c>
      <c r="D9" s="56">
        <v>1</v>
      </c>
      <c r="E9" s="56">
        <v>1</v>
      </c>
      <c r="F9" s="56">
        <v>1</v>
      </c>
      <c r="G9" s="56">
        <v>1</v>
      </c>
      <c r="H9" s="56">
        <v>1.6</v>
      </c>
      <c r="I9" s="56">
        <v>1</v>
      </c>
      <c r="J9" s="56">
        <v>1</v>
      </c>
      <c r="K9" s="56">
        <v>1</v>
      </c>
      <c r="L9" s="56">
        <v>1</v>
      </c>
      <c r="M9" s="56">
        <v>0.3</v>
      </c>
      <c r="N9" s="56">
        <v>1</v>
      </c>
      <c r="O9" s="56">
        <v>1</v>
      </c>
      <c r="P9" s="56">
        <v>1</v>
      </c>
      <c r="Q9" s="56">
        <v>1</v>
      </c>
      <c r="R9" s="56">
        <v>1</v>
      </c>
      <c r="S9" s="56">
        <v>0.1</v>
      </c>
      <c r="T9" s="56">
        <v>12</v>
      </c>
      <c r="U9" s="56">
        <v>1</v>
      </c>
      <c r="V9" s="56">
        <v>1</v>
      </c>
      <c r="W9" s="56">
        <v>1</v>
      </c>
      <c r="X9" s="56">
        <v>1</v>
      </c>
      <c r="Y9" s="56">
        <v>1</v>
      </c>
      <c r="Z9" s="56">
        <v>1</v>
      </c>
      <c r="AA9" s="56">
        <v>1</v>
      </c>
      <c r="AB9" s="56">
        <v>1</v>
      </c>
      <c r="AC9" s="56">
        <v>1</v>
      </c>
      <c r="AD9" s="56">
        <v>1</v>
      </c>
      <c r="AE9" s="56">
        <v>1</v>
      </c>
      <c r="AF9" s="56">
        <v>1</v>
      </c>
      <c r="AG9" s="56">
        <f>24/(10*2)</f>
        <v>1.2</v>
      </c>
      <c r="AH9" s="56">
        <v>1</v>
      </c>
      <c r="AI9" s="56">
        <v>1</v>
      </c>
      <c r="AJ9" s="56">
        <f>24/24</f>
        <v>1</v>
      </c>
      <c r="AK9" s="56">
        <v>1</v>
      </c>
      <c r="AL9" s="56">
        <v>1</v>
      </c>
      <c r="AM9" s="56">
        <v>1</v>
      </c>
      <c r="AN9" s="85">
        <f>24/22</f>
        <v>1.0909090909090908</v>
      </c>
      <c r="AO9" s="85">
        <f>24/21</f>
        <v>1.1428571428571428</v>
      </c>
      <c r="AP9" s="56">
        <v>1</v>
      </c>
      <c r="AQ9" s="56">
        <v>1</v>
      </c>
      <c r="AR9" s="60">
        <f>24/23</f>
        <v>1.0434782608695652</v>
      </c>
      <c r="AS9" s="56">
        <f>24/(5*4)</f>
        <v>1.2</v>
      </c>
      <c r="AT9" s="56">
        <f>24/24</f>
        <v>1</v>
      </c>
      <c r="AU9" s="56">
        <v>1</v>
      </c>
      <c r="AV9" s="56">
        <v>1</v>
      </c>
      <c r="AW9" s="56">
        <v>1</v>
      </c>
      <c r="AX9" s="56">
        <v>1</v>
      </c>
      <c r="AY9" s="56">
        <v>1</v>
      </c>
      <c r="AZ9" s="56">
        <v>1</v>
      </c>
      <c r="BA9" s="91">
        <v>1</v>
      </c>
      <c r="BB9" s="13"/>
      <c r="BC9" s="12"/>
      <c r="BD9" s="12"/>
      <c r="BE9" s="12"/>
      <c r="BF9" s="12"/>
      <c r="BG9" s="12"/>
      <c r="BH9" s="12"/>
    </row>
    <row r="10" spans="1:62" ht="15.75" customHeight="1">
      <c r="A10" s="12"/>
      <c r="B10" s="50" t="s">
        <v>154</v>
      </c>
      <c r="C10" s="47">
        <f>IFERROR(IF(C9&lt;(24/Outputs!$C$5),1,C9/24*Outputs!$C$5),"N/A")</f>
        <v>1</v>
      </c>
      <c r="D10" s="56">
        <f>IFERROR(IF(D9&lt;(24/Outputs!$C$5),1,D9/24*Outputs!$C$5),"N/A")</f>
        <v>1</v>
      </c>
      <c r="E10" s="56">
        <f>IFERROR(IF(E9&lt;(24/Outputs!$C$5),1,E9/24*Outputs!$C$5),"N/A")</f>
        <v>1</v>
      </c>
      <c r="F10" s="56">
        <f>IFERROR(IF(F9&lt;(24/Outputs!$C$5),1,F9/24*Outputs!$C$5),"N/A")</f>
        <v>1</v>
      </c>
      <c r="G10" s="56">
        <f>IFERROR(IF(G9&lt;(24/Outputs!$C$5),1,G9/24*Outputs!$C$5),"N/A")</f>
        <v>1</v>
      </c>
      <c r="H10" s="56">
        <f>IFERROR(IF(H9&lt;(24/Outputs!$C$5),1,H9/24*Outputs!$C$5),"N/A")</f>
        <v>1</v>
      </c>
      <c r="I10" s="56">
        <f>IFERROR(IF(I9&lt;(24/Outputs!$C$5),1,I9/24*Outputs!$C$5),"N/A")</f>
        <v>1</v>
      </c>
      <c r="J10" s="56">
        <f>IFERROR(IF(J9&lt;(24/Outputs!$C$5),1,J9/24*Outputs!$C$5),"N/A")</f>
        <v>1</v>
      </c>
      <c r="K10" s="56">
        <f>IFERROR(IF(K9&lt;(24/Outputs!$C$5),1,K9/24*Outputs!$C$5),"N/A")</f>
        <v>1</v>
      </c>
      <c r="L10" s="56">
        <f>IFERROR(IF(L9&lt;(24/Outputs!$C$5),1,L9/24*Outputs!$C$5),"N/A")</f>
        <v>1</v>
      </c>
      <c r="M10" s="56">
        <f>IFERROR(IF(M9&lt;(24/Outputs!$C$5),1,M9/24*Outputs!$C$5),"N/A")</f>
        <v>1</v>
      </c>
      <c r="N10" s="56">
        <f>IFERROR(IF(N9&lt;(24/Outputs!$C$5),1,N9/24*Outputs!$C$5),"N/A")</f>
        <v>1</v>
      </c>
      <c r="O10" s="56">
        <f>IFERROR(IF(O9&lt;(24/Outputs!$C$5),1,O9/24*Outputs!$C$5),"N/A")</f>
        <v>1</v>
      </c>
      <c r="P10" s="56">
        <f>IFERROR(IF(P9&lt;(24/Outputs!$C$5),1,P9/24*Outputs!$C$5),"N/A")</f>
        <v>1</v>
      </c>
      <c r="Q10" s="56">
        <f>IFERROR(IF(Q9&lt;(24/Outputs!$C$5),1,Q9/24*Outputs!$C$5),"N/A")</f>
        <v>1</v>
      </c>
      <c r="R10" s="56">
        <f>IFERROR(IF(R9&lt;(24/Outputs!$C$5),1,R9/24*Outputs!$C$5),"N/A")</f>
        <v>1</v>
      </c>
      <c r="S10" s="56">
        <f>IFERROR(IF(S9&lt;(24/Outputs!$C$5),1,S9/24*Outputs!$C$5),"N/A")</f>
        <v>1</v>
      </c>
      <c r="T10" s="56">
        <f>IFERROR(IF(T9&lt;(24/Outputs!$C$5),1,T9/24*Outputs!$C$5),"N/A")</f>
        <v>2</v>
      </c>
      <c r="U10" s="56">
        <f>IFERROR(IF(U9&lt;(24/Outputs!$C$5),1,U9/24*Outputs!$C$5),"N/A")</f>
        <v>1</v>
      </c>
      <c r="V10" s="56">
        <f>IFERROR(IF(V9&lt;(24/Outputs!$C$5),1,V9/24*Outputs!$C$5),"N/A")</f>
        <v>1</v>
      </c>
      <c r="W10" s="56">
        <f>IFERROR(IF(W9&lt;(24/Outputs!$C$5),1,W9/24*Outputs!$C$5),"N/A")</f>
        <v>1</v>
      </c>
      <c r="X10" s="56">
        <f>IFERROR(IF(X9&lt;(24/Outputs!$C$5),1,X9/24*Outputs!$C$5),"N/A")</f>
        <v>1</v>
      </c>
      <c r="Y10" s="56">
        <f>IFERROR(IF(Y9&lt;(24/Outputs!$C$5),1,Y9/24*Outputs!$C$5),"N/A")</f>
        <v>1</v>
      </c>
      <c r="Z10" s="56">
        <f>IFERROR(IF(Z9&lt;(24/Outputs!$C$5),1,Z9/24*Outputs!$C$5),"N/A")</f>
        <v>1</v>
      </c>
      <c r="AA10" s="56">
        <f>IFERROR(IF(AA9&lt;(24/Outputs!$C$5),1,AA9/24*Outputs!$C$5),"N/A")</f>
        <v>1</v>
      </c>
      <c r="AB10" s="56">
        <f>IFERROR(IF(AB9&lt;(24/Outputs!$C$5),1,AB9/24*Outputs!$C$5),"N/A")</f>
        <v>1</v>
      </c>
      <c r="AC10" s="56">
        <f>IFERROR(IF(AC9&lt;(24/Outputs!$C$5),1,AC9/24*Outputs!$C$5),"N/A")</f>
        <v>1</v>
      </c>
      <c r="AD10" s="56">
        <f>IFERROR(IF(AD9&lt;(24/Outputs!$C$5),1,AD9/24*Outputs!$C$5),"N/A")</f>
        <v>1</v>
      </c>
      <c r="AE10" s="56">
        <f>IFERROR(IF(AE9&lt;(24/Outputs!$C$5),1,AE9/24*Outputs!$C$5),"N/A")</f>
        <v>1</v>
      </c>
      <c r="AF10" s="56">
        <f>IFERROR(IF(AF9&lt;(24/Outputs!$C$5),1,AF9/24*Outputs!$C$5),"N/A")</f>
        <v>1</v>
      </c>
      <c r="AG10" s="56">
        <f>IFERROR(IF(AG9&lt;(24/Outputs!$C$5),1,AG9/24*Outputs!$C$5),"N/A")</f>
        <v>1</v>
      </c>
      <c r="AH10" s="56">
        <f>IFERROR(IF(AH9&lt;(24/Outputs!$C$5),1,AH9/24*Outputs!$C$5),"N/A")</f>
        <v>1</v>
      </c>
      <c r="AI10" s="56">
        <f>IFERROR(IF(AI9&lt;(24/Outputs!$C$5),1,AI9/24*Outputs!$C$5),"N/A")</f>
        <v>1</v>
      </c>
      <c r="AJ10" s="56">
        <f>IFERROR(IF(AJ9&lt;(24/Outputs!$C$5),1,AJ9/24*Outputs!$C$5),"N/A")</f>
        <v>1</v>
      </c>
      <c r="AK10" s="56">
        <f>IFERROR(IF(AK9&lt;(24/Outputs!$C$5),1,AK9/24*Outputs!$C$5),"N/A")</f>
        <v>1</v>
      </c>
      <c r="AL10" s="56">
        <f>IFERROR(IF(AL9&lt;(24/Outputs!$C$5),1,AL9/24*Outputs!$C$5),"N/A")</f>
        <v>1</v>
      </c>
      <c r="AM10" s="56">
        <f>IFERROR(IF(AM9&lt;(24/Outputs!$C$5),1,AM9/24*Outputs!$C$5),"N/A")</f>
        <v>1</v>
      </c>
      <c r="AN10" s="56">
        <f>IFERROR(IF(AN9&lt;(24/Outputs!$C$5),1,AN9/24*Outputs!$C$5),"N/A")</f>
        <v>1</v>
      </c>
      <c r="AO10" s="56">
        <f>IFERROR(IF(AO9&lt;(24/Outputs!$C$5),1,AO9/24*Outputs!$C$5),"N/A")</f>
        <v>1</v>
      </c>
      <c r="AP10" s="56">
        <f>IFERROR(IF(AP9&lt;(24/Outputs!$C$5),1,AP9/24*Outputs!$C$5),"N/A")</f>
        <v>1</v>
      </c>
      <c r="AQ10" s="56">
        <f>IFERROR(IF(AQ9&lt;(24/Outputs!$C$5),1,AQ9/24*Outputs!$C$5),"N/A")</f>
        <v>1</v>
      </c>
      <c r="AR10" s="56">
        <f>IFERROR(IF(AR9&lt;(24/Outputs!$C$5),1,AR9/24*Outputs!$C$5),"N/A")</f>
        <v>1</v>
      </c>
      <c r="AS10" s="56">
        <f>IFERROR(IF(AS9&lt;(24/Outputs!$C$5),1,AS9/24*Outputs!$C$5),"N/A")</f>
        <v>1</v>
      </c>
      <c r="AT10" s="56">
        <f>IFERROR(IF(AT9&lt;(24/Outputs!$C$5),1,AT9/24*Outputs!$C$5),"N/A")</f>
        <v>1</v>
      </c>
      <c r="AU10" s="56">
        <f>IFERROR(IF(AU9&lt;(24/Outputs!$C$5),1,AU9/24*Outputs!$C$5),"N/A")</f>
        <v>1</v>
      </c>
      <c r="AV10" s="56">
        <f>IFERROR(IF(AV9&lt;(24/Outputs!$C$5),1,AV9/24*Outputs!$C$5),"N/A")</f>
        <v>1</v>
      </c>
      <c r="AW10" s="56">
        <f>IFERROR(IF(AW9&lt;(24/Outputs!$C$5),1,AW9/24*Outputs!$C$5),"N/A")</f>
        <v>1</v>
      </c>
      <c r="AX10" s="56">
        <f>IFERROR(IF(AX9&lt;(24/Outputs!$C$5),1,AX9/24*Outputs!$C$5),"N/A")</f>
        <v>1</v>
      </c>
      <c r="AY10" s="56">
        <f>IFERROR(IF(AY9&lt;(24/Outputs!$C$5),1,AY9/24*Outputs!$C$5),"N/A")</f>
        <v>1</v>
      </c>
      <c r="AZ10" s="56">
        <f>IFERROR(IF(AZ9&lt;(24/Outputs!$C$5),1,AZ9/24*Outputs!$C$5),"N/A")</f>
        <v>1</v>
      </c>
      <c r="BA10" s="92">
        <f>IFERROR(IF(BA9&lt;(24/Outputs!$C$5),1,BA9/24*Outputs!$C$5),"N/A")</f>
        <v>1</v>
      </c>
      <c r="BB10" s="13"/>
      <c r="BC10" s="12"/>
      <c r="BD10" s="12"/>
      <c r="BE10" s="12"/>
      <c r="BF10" s="12"/>
      <c r="BG10" s="12"/>
      <c r="BH10" s="12"/>
    </row>
    <row r="11" spans="1:62" ht="15.75" customHeight="1">
      <c r="A11" s="12"/>
      <c r="B11" s="50" t="s">
        <v>208</v>
      </c>
      <c r="C11" s="53">
        <f>IFERROR(AVERAGE('Raw Data'!B6:B10),0)</f>
        <v>808000</v>
      </c>
      <c r="D11" s="51">
        <f>IFERROR(AVERAGE('Raw Data'!C6:C10),0)</f>
        <v>178000</v>
      </c>
      <c r="E11" s="51">
        <f>IFERROR(AVERAGE('Raw Data'!D6:D10),0)</f>
        <v>42600</v>
      </c>
      <c r="F11" s="51">
        <f>IFERROR(AVERAGE('Raw Data'!E6:E10),0)</f>
        <v>10890</v>
      </c>
      <c r="G11" s="51">
        <f>IFERROR(AVERAGE('Raw Data'!F6:F10),0)</f>
        <v>41800</v>
      </c>
      <c r="H11" s="51">
        <f>IFERROR(AVERAGE('Raw Data'!G6:G10),0)</f>
        <v>420</v>
      </c>
      <c r="I11" s="51">
        <f>IFERROR(AVERAGE('Raw Data'!H6:H10),0)</f>
        <v>1002400</v>
      </c>
      <c r="J11" s="51">
        <f>IFERROR(AVERAGE('Raw Data'!I6:I10),0)</f>
        <v>172400</v>
      </c>
      <c r="K11" s="51">
        <f>IFERROR(AVERAGE('Raw Data'!J6:J10),0)</f>
        <v>361000</v>
      </c>
      <c r="L11" s="51">
        <f>IFERROR(AVERAGE('Raw Data'!K6:K10),0)</f>
        <v>130000</v>
      </c>
      <c r="M11" s="51">
        <f>IFERROR(AVERAGE('Raw Data'!L6:L10),0)</f>
        <v>780</v>
      </c>
      <c r="N11" s="51">
        <f>IFERROR(AVERAGE('Raw Data'!M6:M10),0)</f>
        <v>1252500</v>
      </c>
      <c r="O11" s="51">
        <f>IFERROR(AVERAGE('Raw Data'!N6:N10),0)</f>
        <v>188260</v>
      </c>
      <c r="P11" s="51">
        <f>IFERROR(AVERAGE('Raw Data'!O6:O10),0)</f>
        <v>7500</v>
      </c>
      <c r="Q11" s="51">
        <f>IFERROR(AVERAGE('Raw Data'!P6:P10),0)</f>
        <v>314000</v>
      </c>
      <c r="R11" s="51">
        <f>IFERROR(AVERAGE('Raw Data'!Q6:Q10),0)</f>
        <v>40208.6</v>
      </c>
      <c r="S11" s="51">
        <f>IFERROR(AVERAGE('Raw Data'!R6:R10),0)</f>
        <v>1200000</v>
      </c>
      <c r="T11" s="51">
        <f>IFERROR(AVERAGE('Raw Data'!S6:S10),0)</f>
        <v>640000</v>
      </c>
      <c r="U11" s="51">
        <f>IFERROR(AVERAGE('Raw Data'!T6:T10),0)</f>
        <v>390000</v>
      </c>
      <c r="V11" s="51">
        <f>IFERROR(AVERAGE('Raw Data'!U6:U10),0)</f>
        <v>0</v>
      </c>
      <c r="W11" s="51">
        <f>IFERROR(AVERAGE('Raw Data'!V6:V10),0)</f>
        <v>360000</v>
      </c>
      <c r="X11" s="51">
        <f>IFERROR(AVERAGE('Raw Data'!W6:W10),0)</f>
        <v>1500</v>
      </c>
      <c r="Y11" s="51">
        <f>IFERROR(AVERAGE('Raw Data'!X6:X10),0)</f>
        <v>1700000</v>
      </c>
      <c r="Z11" s="51">
        <f>IFERROR(AVERAGE('Raw Data'!Y6:Y10),0)</f>
        <v>30000</v>
      </c>
      <c r="AA11" s="51">
        <f>IFERROR(AVERAGE('Raw Data'!Z6:Z10),0)</f>
        <v>1220</v>
      </c>
      <c r="AB11" s="51">
        <f>IFERROR(AVERAGE('Raw Data'!AA6:AA10),0)</f>
        <v>94500</v>
      </c>
      <c r="AC11" s="51">
        <f>IFERROR(AVERAGE('Raw Data'!AB6:AB10),0)</f>
        <v>486.8</v>
      </c>
      <c r="AD11" s="51">
        <f>IFERROR(AVERAGE('Raw Data'!AC6:AC10),0)</f>
        <v>6820</v>
      </c>
      <c r="AE11" s="51">
        <f>IFERROR(AVERAGE('Raw Data'!AD6:AD10),0)</f>
        <v>1000</v>
      </c>
      <c r="AF11" s="51">
        <f>IFERROR(AVERAGE('Raw Data'!AE6:AE10),0)</f>
        <v>462000</v>
      </c>
      <c r="AG11" s="51">
        <f>IFERROR(AVERAGE('Raw Data'!AF6:AF10),0)</f>
        <v>560</v>
      </c>
      <c r="AH11" s="51">
        <f>IFERROR(AVERAGE('Raw Data'!AG6:AG10),0)</f>
        <v>3400</v>
      </c>
      <c r="AI11" s="51">
        <f>IFERROR(AVERAGE('Raw Data'!AH6:AH10),0)</f>
        <v>514000</v>
      </c>
      <c r="AJ11" s="51">
        <f>IFERROR(AVERAGE('Raw Data'!AI6:AI10),0)</f>
        <v>222000</v>
      </c>
      <c r="AK11" s="51">
        <f>IFERROR(AVERAGE('Raw Data'!AJ6:AJ10),0)</f>
        <v>30000</v>
      </c>
      <c r="AL11" s="51">
        <f>IFERROR(AVERAGE('Raw Data'!AK6:AK10),0)</f>
        <v>7.4848636363636372</v>
      </c>
      <c r="AM11" s="51">
        <f>IFERROR(AVERAGE('Raw Data'!AL6:AL10),0)</f>
        <v>55.204000000000008</v>
      </c>
      <c r="AN11" s="51">
        <f>IFERROR(AVERAGE('Raw Data'!AM6:AM10),0)</f>
        <v>226.76923076923077</v>
      </c>
      <c r="AO11" s="51">
        <f>IFERROR(AVERAGE('Raw Data'!AN6:AN10),0)</f>
        <v>20</v>
      </c>
      <c r="AP11" s="51">
        <f>IFERROR(AVERAGE('Raw Data'!AO6:AO10),0)</f>
        <v>3.8919466666666667</v>
      </c>
      <c r="AQ11" s="51">
        <f>IFERROR(AVERAGE('Raw Data'!AP6:AP10),0)</f>
        <v>14</v>
      </c>
      <c r="AR11" s="51">
        <f>IFERROR(AVERAGE('Raw Data'!AQ6:AQ10),0)</f>
        <v>16.396000000000001</v>
      </c>
      <c r="AS11" s="51">
        <f>IFERROR(AVERAGE('Raw Data'!AR6:AR10),0)</f>
        <v>265000</v>
      </c>
      <c r="AT11" s="51">
        <f>IFERROR(AVERAGE('Raw Data'!AS6:AS10),0)</f>
        <v>366045</v>
      </c>
      <c r="AU11" s="51">
        <f>IFERROR(AVERAGE('Raw Data'!AT6:AT10),0)</f>
        <v>1000</v>
      </c>
      <c r="AV11" s="51">
        <f>IFERROR(AVERAGE('Raw Data'!AU6:AU10),0)</f>
        <v>66000</v>
      </c>
      <c r="AW11" s="51">
        <f>IFERROR(AVERAGE('Raw Data'!AV6:AV10),0)</f>
        <v>35500</v>
      </c>
      <c r="AX11" s="51">
        <f>IFERROR(AVERAGE('Raw Data'!AW6:AW10),0)</f>
        <v>5400</v>
      </c>
      <c r="AY11" s="51">
        <f>IFERROR(AVERAGE('Raw Data'!AX6:AX10),0)</f>
        <v>522</v>
      </c>
      <c r="AZ11" s="51">
        <f>IFERROR(AVERAGE('Raw Data'!AY6:AY10),0)</f>
        <v>1135157.2</v>
      </c>
      <c r="BA11" s="64">
        <f>IFERROR(AVERAGE('Raw Data'!AZ6:AZ10),0)</f>
        <v>50000</v>
      </c>
      <c r="BB11" s="106"/>
      <c r="BC11" s="12"/>
      <c r="BD11" s="12"/>
      <c r="BE11" s="12"/>
      <c r="BF11" s="12"/>
      <c r="BG11" s="12"/>
      <c r="BH11" s="12"/>
    </row>
    <row r="12" spans="1:62" ht="15.75" customHeight="1">
      <c r="A12" s="12"/>
      <c r="B12" s="50"/>
      <c r="C12" s="71"/>
      <c r="D12" s="72"/>
      <c r="E12" s="72"/>
      <c r="F12" s="72"/>
      <c r="G12" s="107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80"/>
      <c r="BB12" s="12"/>
      <c r="BC12" s="12"/>
      <c r="BD12" s="12"/>
      <c r="BE12" s="12"/>
      <c r="BF12" s="12"/>
      <c r="BG12" s="12"/>
      <c r="BH12" s="12"/>
    </row>
    <row r="13" spans="1:62" ht="15.75" customHeight="1">
      <c r="A13" s="108"/>
      <c r="B13" s="82" t="s">
        <v>211</v>
      </c>
      <c r="C13" s="109">
        <v>3</v>
      </c>
      <c r="D13" s="60">
        <v>0</v>
      </c>
      <c r="E13" s="60">
        <v>1.2</v>
      </c>
      <c r="F13" s="60">
        <v>24</v>
      </c>
      <c r="G13" s="85">
        <f>24/3</f>
        <v>8</v>
      </c>
      <c r="H13" s="60">
        <v>1</v>
      </c>
      <c r="I13" s="60">
        <v>6</v>
      </c>
      <c r="J13" s="60">
        <v>2</v>
      </c>
      <c r="K13" s="60">
        <v>1</v>
      </c>
      <c r="L13" s="60">
        <f>24/2</f>
        <v>12</v>
      </c>
      <c r="M13" s="60">
        <v>1</v>
      </c>
      <c r="N13" s="60">
        <v>2.4</v>
      </c>
      <c r="O13" s="60">
        <v>12</v>
      </c>
      <c r="P13" s="60">
        <v>1</v>
      </c>
      <c r="Q13" s="60">
        <v>12</v>
      </c>
      <c r="R13" s="60">
        <v>1</v>
      </c>
      <c r="S13" s="60">
        <v>1</v>
      </c>
      <c r="T13" s="60">
        <v>0</v>
      </c>
      <c r="U13" s="60">
        <v>2.2000000000000002</v>
      </c>
      <c r="V13" s="60">
        <v>1</v>
      </c>
      <c r="W13" s="60">
        <v>24</v>
      </c>
      <c r="X13" s="60">
        <v>24</v>
      </c>
      <c r="Y13" s="60">
        <v>2.4</v>
      </c>
      <c r="Z13" s="60">
        <f>24/2</f>
        <v>12</v>
      </c>
      <c r="AA13" s="60">
        <v>6</v>
      </c>
      <c r="AB13" s="60">
        <v>8</v>
      </c>
      <c r="AC13" s="60">
        <f t="shared" ref="AC13:AD13" si="0">24/4</f>
        <v>6</v>
      </c>
      <c r="AD13" s="60">
        <f t="shared" si="0"/>
        <v>6</v>
      </c>
      <c r="AE13" s="60">
        <v>1</v>
      </c>
      <c r="AF13" s="60">
        <v>24</v>
      </c>
      <c r="AG13" s="60">
        <f>24/2</f>
        <v>12</v>
      </c>
      <c r="AH13" s="60">
        <v>24</v>
      </c>
      <c r="AI13" s="60">
        <f>24/2</f>
        <v>12</v>
      </c>
      <c r="AJ13" s="60">
        <f>24/3</f>
        <v>8</v>
      </c>
      <c r="AK13" s="60">
        <v>1</v>
      </c>
      <c r="AL13" s="60">
        <v>1.2</v>
      </c>
      <c r="AM13" s="60">
        <v>1.04</v>
      </c>
      <c r="AN13" s="60">
        <v>0</v>
      </c>
      <c r="AO13" s="60">
        <v>1.1399999999999999</v>
      </c>
      <c r="AP13" s="60">
        <v>1</v>
      </c>
      <c r="AQ13" s="60">
        <v>0</v>
      </c>
      <c r="AR13" s="60">
        <v>0</v>
      </c>
      <c r="AS13" s="60">
        <f>24/4</f>
        <v>6</v>
      </c>
      <c r="AT13" s="60">
        <v>0</v>
      </c>
      <c r="AU13" s="85">
        <f>24/20</f>
        <v>1.2</v>
      </c>
      <c r="AV13" s="60">
        <v>1</v>
      </c>
      <c r="AW13" s="60">
        <v>1</v>
      </c>
      <c r="AX13" s="60">
        <v>0</v>
      </c>
      <c r="AY13" s="60">
        <v>0</v>
      </c>
      <c r="AZ13" s="60">
        <v>0</v>
      </c>
      <c r="BA13" s="111">
        <f>24/2</f>
        <v>12</v>
      </c>
      <c r="BB13" s="112"/>
      <c r="BC13" s="108"/>
      <c r="BD13" s="108"/>
      <c r="BE13" s="108"/>
      <c r="BF13" s="108"/>
      <c r="BG13" s="108"/>
      <c r="BH13" s="108"/>
    </row>
    <row r="14" spans="1:62" ht="15.75" customHeight="1">
      <c r="A14" s="12"/>
      <c r="B14" s="50" t="s">
        <v>154</v>
      </c>
      <c r="C14" s="114">
        <f>IFERROR(IF(C13&lt;(24/Outputs!$C$5),1,C13/24*Outputs!$C$5),"N/A")</f>
        <v>1</v>
      </c>
      <c r="D14" s="85">
        <f>IFERROR(IF(D13&lt;(24/Outputs!$C$5),1,D13/24*Outputs!$C$5),"N/A")</f>
        <v>1</v>
      </c>
      <c r="E14" s="85">
        <f>IFERROR(IF(E13&lt;(24/Outputs!$C$5),1,E13/24*Outputs!$C$5),"N/A")</f>
        <v>1</v>
      </c>
      <c r="F14" s="85">
        <f>IFERROR(IF(F13&lt;(24/Outputs!$C$5),1,F13/24*Outputs!$C$5),"N/A")</f>
        <v>4</v>
      </c>
      <c r="G14" s="85">
        <f>IFERROR(IF(G13&lt;(24/Outputs!$C$5),1,G13/24*Outputs!$C$5),"N/A")</f>
        <v>1.3333333333333333</v>
      </c>
      <c r="H14" s="85">
        <f>IFERROR(IF(H13&lt;(24/Outputs!$C$5),1,H13/24*Outputs!$C$5),"N/A")</f>
        <v>1</v>
      </c>
      <c r="I14" s="85">
        <f>IFERROR(IF(I13&lt;(24/Outputs!$C$5),1,I13/24*Outputs!$C$5),"N/A")</f>
        <v>1</v>
      </c>
      <c r="J14" s="85">
        <f>IFERROR(IF(J13&lt;(24/Outputs!$C$5),1,J13/24*Outputs!$C$5),"N/A")</f>
        <v>1</v>
      </c>
      <c r="K14" s="85">
        <f>IFERROR(IF(K13&lt;(24/Outputs!$C$5),1,K13/24*Outputs!$C$5),"N/A")</f>
        <v>1</v>
      </c>
      <c r="L14" s="85">
        <f>IFERROR(IF(L13&lt;(24/Outputs!$C$5),1,L13/24*Outputs!$C$5),"N/A")</f>
        <v>2</v>
      </c>
      <c r="M14" s="85">
        <f>IFERROR(IF(M13&lt;(24/Outputs!$C$5),1,M13/24*Outputs!$C$5),"N/A")</f>
        <v>1</v>
      </c>
      <c r="N14" s="85">
        <f>IFERROR(IF(N13&lt;(24/Outputs!$C$5),1,N13/24*Outputs!$C$5),"N/A")</f>
        <v>1</v>
      </c>
      <c r="O14" s="85">
        <f>IFERROR(IF(O13&lt;(24/Outputs!$C$5),1,O13/24*Outputs!$C$5),"N/A")</f>
        <v>2</v>
      </c>
      <c r="P14" s="85">
        <f>IFERROR(IF(P13&lt;(24/Outputs!$C$5),1,P13/24*Outputs!$C$5),"N/A")</f>
        <v>1</v>
      </c>
      <c r="Q14" s="85">
        <f>IFERROR(IF(Q13&lt;(24/Outputs!$C$5),1,Q13/24*Outputs!$C$5),"N/A")</f>
        <v>2</v>
      </c>
      <c r="R14" s="85">
        <f>IFERROR(IF(R13&lt;(24/Outputs!$C$5),1,R13/24*Outputs!$C$5),"N/A")</f>
        <v>1</v>
      </c>
      <c r="S14" s="85">
        <f>IFERROR(IF(S13&lt;(24/Outputs!$C$5),1,S13/24*Outputs!$C$5),"N/A")</f>
        <v>1</v>
      </c>
      <c r="T14" s="85">
        <f>IFERROR(IF(T13&lt;(24/Outputs!$C$5),1,T13/24*Outputs!$C$5),"N/A")</f>
        <v>1</v>
      </c>
      <c r="U14" s="85">
        <f>IFERROR(IF(U13&lt;(24/Outputs!$C$5),1,U13/24*Outputs!$C$5),"N/A")</f>
        <v>1</v>
      </c>
      <c r="V14" s="85">
        <f>IFERROR(IF(V13&lt;(24/Outputs!$C$5),1,V13/24*Outputs!$C$5),"N/A")</f>
        <v>1</v>
      </c>
      <c r="W14" s="85">
        <f>IFERROR(IF(W13&lt;(24/Outputs!$C$5),1,W13/24*Outputs!$C$5),"N/A")</f>
        <v>4</v>
      </c>
      <c r="X14" s="85">
        <f>IFERROR(IF(X13&lt;(24/Outputs!$C$5),1,X13/24*Outputs!$C$5),"N/A")</f>
        <v>4</v>
      </c>
      <c r="Y14" s="85">
        <f>IFERROR(IF(Y13&lt;(24/Outputs!$C$5),1,Y13/24*Outputs!$C$5),"N/A")</f>
        <v>1</v>
      </c>
      <c r="Z14" s="85">
        <f>IFERROR(IF(Z13&lt;(24/Outputs!$C$5),1,Z13/24*Outputs!$C$5),"N/A")</f>
        <v>2</v>
      </c>
      <c r="AA14" s="85">
        <f>IFERROR(IF(AA13&lt;(24/Outputs!$C$5),1,AA13/24*Outputs!$C$5),"N/A")</f>
        <v>1</v>
      </c>
      <c r="AB14" s="85">
        <f>IFERROR(IF(AB13&lt;(24/Outputs!$C$5),1,AB13/24*Outputs!$C$5),"N/A")</f>
        <v>1.3333333333333333</v>
      </c>
      <c r="AC14" s="85">
        <f>IFERROR(IF(AC13&lt;(24/Outputs!$C$5),1,AC13/24*Outputs!$C$5),"N/A")</f>
        <v>1</v>
      </c>
      <c r="AD14" s="85">
        <f>IFERROR(IF(AD13&lt;(24/Outputs!$C$5),1,AD13/24*Outputs!$C$5),"N/A")</f>
        <v>1</v>
      </c>
      <c r="AE14" s="85">
        <f>IFERROR(IF(AE13&lt;(24/Outputs!$C$5),1,AE13/24*Outputs!$C$5),"N/A")</f>
        <v>1</v>
      </c>
      <c r="AF14" s="85">
        <f>IFERROR(IF(AF13&lt;(24/Outputs!$C$5),1,AF13/24*Outputs!$C$5),"N/A")</f>
        <v>4</v>
      </c>
      <c r="AG14" s="85">
        <f>IFERROR(IF(AG13&lt;(24/Outputs!$C$5),1,AG13/24*Outputs!$C$5),"N/A")</f>
        <v>2</v>
      </c>
      <c r="AH14" s="85">
        <f>IFERROR(IF(AH13&lt;(24/Outputs!$C$5),1,AH13/24*Outputs!$C$5),"N/A")</f>
        <v>4</v>
      </c>
      <c r="AI14" s="85">
        <f>IFERROR(IF(AI13&lt;(24/Outputs!$C$5),1,AI13/24*Outputs!$C$5),"N/A")</f>
        <v>2</v>
      </c>
      <c r="AJ14" s="85">
        <f>IFERROR(IF(AJ13&lt;(24/Outputs!$C$5),1,AJ13/24*Outputs!$C$5),"N/A")</f>
        <v>1.3333333333333333</v>
      </c>
      <c r="AK14" s="85">
        <f>IFERROR(IF(AK13&lt;(24/Outputs!$C$5),1,AK13/24*Outputs!$C$5),"N/A")</f>
        <v>1</v>
      </c>
      <c r="AL14" s="85">
        <f>IFERROR(IF(AL13&lt;(24/Outputs!$C$5),1,AL13/24*Outputs!$C$5),"N/A")</f>
        <v>1</v>
      </c>
      <c r="AM14" s="85">
        <f>IFERROR(IF(AM13&lt;(24/Outputs!$C$5),1,AM13/24*Outputs!$C$5),"N/A")</f>
        <v>1</v>
      </c>
      <c r="AN14" s="85">
        <f>IFERROR(IF(AN13&lt;(24/Outputs!$C$5),1,AN13/24*Outputs!$C$5),"N/A")</f>
        <v>1</v>
      </c>
      <c r="AO14" s="85">
        <f>IFERROR(IF(AO13&lt;(24/Outputs!$C$5),1,AO13/24*Outputs!$C$5),"N/A")</f>
        <v>1</v>
      </c>
      <c r="AP14" s="85">
        <f>IFERROR(IF(AP13&lt;(24/Outputs!$C$5),1,AP13/24*Outputs!$C$5),"N/A")</f>
        <v>1</v>
      </c>
      <c r="AQ14" s="85">
        <f>IFERROR(IF(AQ13&lt;(24/Outputs!$C$5),1,AQ13/24*Outputs!$C$5),"N/A")</f>
        <v>1</v>
      </c>
      <c r="AR14" s="85">
        <f>IFERROR(IF(AR13&lt;(24/Outputs!$C$5),1,AR13/24*Outputs!$C$5),"N/A")</f>
        <v>1</v>
      </c>
      <c r="AS14" s="85">
        <f>IFERROR(IF(AS13&lt;(24/Outputs!$C$5),1,AS13/24*Outputs!$C$5),"N/A")</f>
        <v>1</v>
      </c>
      <c r="AT14" s="85">
        <f>IFERROR(IF(AT13&lt;(24/Outputs!$C$5),1,AT13/24*Outputs!$C$5),"N/A")</f>
        <v>1</v>
      </c>
      <c r="AU14" s="85">
        <f>IFERROR(IF(AU13&lt;(24/Outputs!$C$5),1,AU13/24*Outputs!$C$5),"N/A")</f>
        <v>1</v>
      </c>
      <c r="AV14" s="85">
        <f>IFERROR(IF(AV13&lt;(24/Outputs!$C$5),1,AV13/24*Outputs!$C$5),"N/A")</f>
        <v>1</v>
      </c>
      <c r="AW14" s="85">
        <f>IFERROR(IF(AW13&lt;(24/Outputs!$C$5),1,AW13/24*Outputs!$C$5),"N/A")</f>
        <v>1</v>
      </c>
      <c r="AX14" s="85">
        <f>IFERROR(IF(AX13&lt;(24/Outputs!$C$5),1,AX13/24*Outputs!$C$5),"N/A")</f>
        <v>1</v>
      </c>
      <c r="AY14" s="85">
        <f>IFERROR(IF(AY13&lt;(24/Outputs!$C$5),1,AY13/24*Outputs!$C$5),"N/A")</f>
        <v>1</v>
      </c>
      <c r="AZ14" s="85">
        <f>IFERROR(IF(AZ13&lt;(24/Outputs!$C$5),1,AZ13/24*Outputs!$C$5),"N/A")</f>
        <v>1</v>
      </c>
      <c r="BA14" s="134">
        <f>IFERROR(IF(BA13&lt;(24/Outputs!$C$5),1,BA13/24*Outputs!$C$5),"N/A")</f>
        <v>2</v>
      </c>
      <c r="BB14" s="135"/>
      <c r="BC14" s="12"/>
      <c r="BD14" s="12"/>
      <c r="BE14" s="12"/>
      <c r="BF14" s="12"/>
      <c r="BG14" s="12"/>
      <c r="BH14" s="12"/>
    </row>
    <row r="15" spans="1:62" ht="15.75" customHeight="1">
      <c r="A15" s="12"/>
      <c r="B15" s="50" t="s">
        <v>260</v>
      </c>
      <c r="C15" s="53">
        <f>IFERROR(AVERAGE('Raw Data'!B13:B17),0)</f>
        <v>100000</v>
      </c>
      <c r="D15" s="51">
        <f>IFERROR(AVERAGE('Raw Data'!C13:C17),0)</f>
        <v>0</v>
      </c>
      <c r="E15" s="51">
        <f>IFERROR(AVERAGE('Raw Data'!D13:D17),0)</f>
        <v>7350</v>
      </c>
      <c r="F15" s="51">
        <f>IFERROR(AVERAGE('Raw Data'!E13:E17),0)</f>
        <v>5820</v>
      </c>
      <c r="G15" s="51">
        <f>IFERROR(AVERAGE('Raw Data'!F13:F17),0)</f>
        <v>30000</v>
      </c>
      <c r="H15" s="51">
        <f>IFERROR(AVERAGE('Raw Data'!G13:G17),0)</f>
        <v>500</v>
      </c>
      <c r="I15" s="51">
        <f>IFERROR(AVERAGE('Raw Data'!H13:H17),0)</f>
        <v>200000</v>
      </c>
      <c r="J15" s="51">
        <f>IFERROR(AVERAGE('Raw Data'!I13:I17),0)</f>
        <v>82000</v>
      </c>
      <c r="K15" s="51">
        <f>IFERROR(AVERAGE('Raw Data'!J13:J17),0)</f>
        <v>600000</v>
      </c>
      <c r="L15" s="51">
        <f>IFERROR(AVERAGE('Raw Data'!K13:K17),0)</f>
        <v>486000</v>
      </c>
      <c r="M15" s="51">
        <f>IFERROR(AVERAGE('Raw Data'!L13:L17),0)</f>
        <v>1000</v>
      </c>
      <c r="N15" s="51">
        <f>IFERROR(AVERAGE('Raw Data'!M13:M17),0)</f>
        <v>550000</v>
      </c>
      <c r="O15" s="51">
        <f>IFERROR(AVERAGE('Raw Data'!N13:N17),0)</f>
        <v>68000</v>
      </c>
      <c r="P15" s="51">
        <f>IFERROR(AVERAGE('Raw Data'!O13:O17),0)</f>
        <v>18940</v>
      </c>
      <c r="Q15" s="51">
        <f>IFERROR(AVERAGE('Raw Data'!P13:P17),0)</f>
        <v>1676000</v>
      </c>
      <c r="R15" s="51">
        <f>IFERROR(AVERAGE('Raw Data'!Q13:Q17),0)</f>
        <v>8000</v>
      </c>
      <c r="S15" s="51">
        <f>IFERROR(AVERAGE('Raw Data'!R13:R17),0)</f>
        <v>300000</v>
      </c>
      <c r="T15" s="51">
        <f>IFERROR(AVERAGE('Raw Data'!S13:S17),0)</f>
        <v>0</v>
      </c>
      <c r="U15" s="51">
        <f>IFERROR(AVERAGE('Raw Data'!T13:T17),0)</f>
        <v>188750</v>
      </c>
      <c r="V15" s="51">
        <f>IFERROR(AVERAGE('Raw Data'!U13:U17),0)</f>
        <v>2000</v>
      </c>
      <c r="W15" s="51">
        <f>IFERROR(AVERAGE('Raw Data'!V13:V17),0)</f>
        <v>982400</v>
      </c>
      <c r="X15" s="51">
        <f>IFERROR(AVERAGE('Raw Data'!W13:W17),0)</f>
        <v>500</v>
      </c>
      <c r="Y15" s="51">
        <f>IFERROR(AVERAGE('Raw Data'!X13:X17),0)</f>
        <v>1618750</v>
      </c>
      <c r="Z15" s="51">
        <f>IFERROR(AVERAGE('Raw Data'!Y13:Y17),0)</f>
        <v>7500</v>
      </c>
      <c r="AA15" s="51">
        <f>IFERROR(AVERAGE('Raw Data'!Z13:Z17),0)</f>
        <v>60</v>
      </c>
      <c r="AB15" s="51">
        <f>IFERROR(AVERAGE('Raw Data'!AA13:AA17),0)</f>
        <v>120000</v>
      </c>
      <c r="AC15" s="51">
        <f>IFERROR(AVERAGE('Raw Data'!AB13:AB17),0)</f>
        <v>200</v>
      </c>
      <c r="AD15" s="51">
        <f>IFERROR(AVERAGE('Raw Data'!AC13:AC17),0)</f>
        <v>4140</v>
      </c>
      <c r="AE15" s="51">
        <f>IFERROR(AVERAGE('Raw Data'!AD13:AD17),0)</f>
        <v>2000</v>
      </c>
      <c r="AF15" s="51">
        <f>IFERROR(AVERAGE('Raw Data'!AE13:AE17),0)</f>
        <v>1415000</v>
      </c>
      <c r="AG15" s="51">
        <f>IFERROR(AVERAGE('Raw Data'!AF13:AF17),0)</f>
        <v>500</v>
      </c>
      <c r="AH15" s="51">
        <f>IFERROR(AVERAGE('Raw Data'!AG13:AG17),0)</f>
        <v>100</v>
      </c>
      <c r="AI15" s="51">
        <f>IFERROR(AVERAGE('Raw Data'!AH13:AH17),0)</f>
        <v>150000</v>
      </c>
      <c r="AJ15" s="51">
        <f>IFERROR(AVERAGE('Raw Data'!AI13:AI17),0)</f>
        <v>38000</v>
      </c>
      <c r="AK15" s="51">
        <f>IFERROR(AVERAGE('Raw Data'!AJ13:AJ17),0)</f>
        <v>268000</v>
      </c>
      <c r="AL15" s="51">
        <f>IFERROR(AVERAGE('Raw Data'!AK13:AK17),0)</f>
        <v>16</v>
      </c>
      <c r="AM15" s="51">
        <f>IFERROR(AVERAGE('Raw Data'!AL13:AL17),0)</f>
        <v>20.995999999999999</v>
      </c>
      <c r="AN15" s="51">
        <f>IFERROR(AVERAGE('Raw Data'!AM13:AM17),0)</f>
        <v>0</v>
      </c>
      <c r="AO15" s="51">
        <f>IFERROR(AVERAGE('Raw Data'!AN13:AN17),0)</f>
        <v>1.37225</v>
      </c>
      <c r="AP15" s="51">
        <f>IFERROR(AVERAGE('Raw Data'!AO13:AO17),0)</f>
        <v>7</v>
      </c>
      <c r="AQ15" s="51">
        <f>IFERROR(AVERAGE('Raw Data'!AP13:AP17),0)</f>
        <v>0</v>
      </c>
      <c r="AR15" s="51">
        <f>IFERROR(AVERAGE('Raw Data'!AQ13:AQ17),0)</f>
        <v>22.990000000000002</v>
      </c>
      <c r="AS15" s="51">
        <f>IFERROR(AVERAGE('Raw Data'!AR13:AR17),0)</f>
        <v>50000</v>
      </c>
      <c r="AT15" s="51">
        <v>0</v>
      </c>
      <c r="AU15" s="51">
        <f>IFERROR(AVERAGE('Raw Data'!AT13:AT17),0)</f>
        <v>7440</v>
      </c>
      <c r="AV15" s="51">
        <f>IFERROR(AVERAGE('Raw Data'!AU13:AU17),0)</f>
        <v>4090000</v>
      </c>
      <c r="AW15" s="51">
        <f>IFERROR(AVERAGE('Raw Data'!AV13:AV17),0)</f>
        <v>22400</v>
      </c>
      <c r="AX15" s="51">
        <f>IFERROR(AVERAGE('Raw Data'!AW13:AW17),0)</f>
        <v>0</v>
      </c>
      <c r="AY15" s="51">
        <f>IFERROR(AVERAGE('Raw Data'!AX13:AX17),0)</f>
        <v>0</v>
      </c>
      <c r="AZ15" s="51">
        <f>IFERROR(AVERAGE('Raw Data'!AY13:AY17),0)</f>
        <v>330000</v>
      </c>
      <c r="BA15" s="64">
        <f>IFERROR(AVERAGE('Raw Data'!AZ13:AZ17),0)</f>
        <v>25000</v>
      </c>
      <c r="BB15" s="106"/>
      <c r="BC15" s="12"/>
      <c r="BD15" s="12"/>
      <c r="BE15" s="12"/>
      <c r="BF15" s="12"/>
      <c r="BG15" s="12"/>
      <c r="BH15" s="12"/>
    </row>
    <row r="16" spans="1:62" ht="15.75" customHeight="1">
      <c r="A16" s="12"/>
      <c r="B16" s="50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80"/>
      <c r="BB16" s="12"/>
      <c r="BC16" s="12"/>
      <c r="BD16" s="12"/>
      <c r="BE16" s="12"/>
      <c r="BF16" s="12"/>
      <c r="BG16" s="12"/>
      <c r="BH16" s="12"/>
    </row>
    <row r="17" spans="1:60" ht="15.75" customHeight="1">
      <c r="A17" s="108"/>
      <c r="B17" s="82" t="s">
        <v>329</v>
      </c>
      <c r="C17" s="109">
        <v>4</v>
      </c>
      <c r="D17" s="60">
        <v>0</v>
      </c>
      <c r="E17" s="60">
        <v>6</v>
      </c>
      <c r="F17" s="60">
        <v>0</v>
      </c>
      <c r="G17" s="60">
        <v>0</v>
      </c>
      <c r="H17" s="60">
        <v>8</v>
      </c>
      <c r="I17" s="60">
        <v>0</v>
      </c>
      <c r="J17" s="60">
        <v>2</v>
      </c>
      <c r="K17" s="60">
        <v>24</v>
      </c>
      <c r="L17" s="60">
        <v>0</v>
      </c>
      <c r="M17" s="60">
        <v>1.6</v>
      </c>
      <c r="N17" s="60">
        <v>12</v>
      </c>
      <c r="O17" s="60">
        <v>0</v>
      </c>
      <c r="P17" s="60">
        <v>1.6</v>
      </c>
      <c r="Q17" s="60">
        <v>0</v>
      </c>
      <c r="R17" s="60">
        <f>24/4</f>
        <v>6</v>
      </c>
      <c r="S17" s="60">
        <v>2</v>
      </c>
      <c r="T17" s="60">
        <v>0</v>
      </c>
      <c r="U17" s="60">
        <v>6</v>
      </c>
      <c r="V17" s="60">
        <f>24/4</f>
        <v>6</v>
      </c>
      <c r="W17" s="60">
        <v>0</v>
      </c>
      <c r="X17" s="60">
        <v>0</v>
      </c>
      <c r="Y17" s="60">
        <f>24/2</f>
        <v>12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85">
        <f>24/(2*5)</f>
        <v>2.4</v>
      </c>
      <c r="AF17" s="60">
        <v>0</v>
      </c>
      <c r="AG17" s="60">
        <v>0</v>
      </c>
      <c r="AH17" s="60">
        <v>0</v>
      </c>
      <c r="AI17" s="60">
        <v>0</v>
      </c>
      <c r="AJ17" s="60">
        <f>(24*60)/15</f>
        <v>96</v>
      </c>
      <c r="AK17" s="60">
        <v>24</v>
      </c>
      <c r="AL17" s="60">
        <v>0</v>
      </c>
      <c r="AM17" s="60">
        <v>0</v>
      </c>
      <c r="AN17" s="60">
        <v>0</v>
      </c>
      <c r="AO17" s="60">
        <v>0</v>
      </c>
      <c r="AP17" s="60">
        <v>24</v>
      </c>
      <c r="AQ17" s="60">
        <v>0</v>
      </c>
      <c r="AR17" s="60">
        <v>0</v>
      </c>
      <c r="AS17" s="60">
        <v>0</v>
      </c>
      <c r="AT17" s="60">
        <v>0</v>
      </c>
      <c r="AU17" s="60">
        <f>24/4</f>
        <v>6</v>
      </c>
      <c r="AV17" s="60">
        <v>24</v>
      </c>
      <c r="AW17" s="60">
        <v>24</v>
      </c>
      <c r="AX17" s="60">
        <v>0</v>
      </c>
      <c r="AY17" s="60">
        <v>0</v>
      </c>
      <c r="AZ17" s="60">
        <v>0</v>
      </c>
      <c r="BA17" s="111">
        <v>0</v>
      </c>
      <c r="BB17" s="141"/>
      <c r="BC17" s="108"/>
      <c r="BD17" s="108"/>
      <c r="BE17" s="108"/>
      <c r="BF17" s="108"/>
      <c r="BG17" s="108"/>
      <c r="BH17" s="108"/>
    </row>
    <row r="18" spans="1:60" ht="15.75" customHeight="1">
      <c r="A18" s="12"/>
      <c r="B18" s="50" t="s">
        <v>154</v>
      </c>
      <c r="C18" s="114">
        <f>IFERROR(IF(C17&lt;(24/Outputs!$C$5),1,C17/24*Outputs!$C$5),"N/A")</f>
        <v>1</v>
      </c>
      <c r="D18" s="85">
        <f>IFERROR(IF(D17&lt;(24/Outputs!$C$5),1,D17/24*Outputs!$C$5),"N/A")</f>
        <v>1</v>
      </c>
      <c r="E18" s="85">
        <f>IFERROR(IF(E17&lt;(24/Outputs!$C$5),1,E17/24*Outputs!$C$5),"N/A")</f>
        <v>1</v>
      </c>
      <c r="F18" s="85">
        <f>IFERROR(IF(F17&lt;(24/Outputs!$C$5),1,F17/24*Outputs!$C$5),"N/A")</f>
        <v>1</v>
      </c>
      <c r="G18" s="85">
        <f>IFERROR(IF(G17&lt;(24/Outputs!$C$5),1,G17/24*Outputs!$C$5),"N/A")</f>
        <v>1</v>
      </c>
      <c r="H18" s="85">
        <f>IFERROR(IF(H17&lt;(24/Outputs!$C$5),1,H17/24*Outputs!$C$5),"N/A")</f>
        <v>1.3333333333333333</v>
      </c>
      <c r="I18" s="85">
        <f>IFERROR(IF(I17&lt;(24/Outputs!$C$5),1,I17/24*Outputs!$C$5),"N/A")</f>
        <v>1</v>
      </c>
      <c r="J18" s="85">
        <f>IFERROR(IF(J17&lt;(24/Outputs!$C$5),1,J17/24*Outputs!$C$5),"N/A")</f>
        <v>1</v>
      </c>
      <c r="K18" s="85">
        <f>IFERROR(IF(K17&lt;(24/Outputs!$C$5),1,K17/24*Outputs!$C$5),"N/A")</f>
        <v>4</v>
      </c>
      <c r="L18" s="85">
        <f>IFERROR(IF(L17&lt;(24/Outputs!$C$5),1,L17/24*Outputs!$C$5),"N/A")</f>
        <v>1</v>
      </c>
      <c r="M18" s="85">
        <f>IFERROR(IF(M17&lt;(24/Outputs!$C$5),1,M17/24*Outputs!$C$5),"N/A")</f>
        <v>1</v>
      </c>
      <c r="N18" s="85">
        <f>IFERROR(IF(N17&lt;(24/Outputs!$C$5),1,N17/24*Outputs!$C$5),"N/A")</f>
        <v>2</v>
      </c>
      <c r="O18" s="85">
        <f>IFERROR(IF(O17&lt;(24/Outputs!$C$5),1,O17/24*Outputs!$C$5),"N/A")</f>
        <v>1</v>
      </c>
      <c r="P18" s="85">
        <f>IFERROR(IF(P17&lt;(24/Outputs!$C$5),1,P17/24*Outputs!$C$5),"N/A")</f>
        <v>1</v>
      </c>
      <c r="Q18" s="85">
        <f>IFERROR(IF(Q17&lt;(24/Outputs!$C$5),1,Q17/24*Outputs!$C$5),"N/A")</f>
        <v>1</v>
      </c>
      <c r="R18" s="85">
        <f>IFERROR(IF(R17&lt;(24/Outputs!$C$5),1,R17/24*Outputs!$C$5),"N/A")</f>
        <v>1</v>
      </c>
      <c r="S18" s="85">
        <f>IFERROR(IF(S17&lt;(24/Outputs!$C$5),1,S17/24*Outputs!$C$5),"N/A")</f>
        <v>1</v>
      </c>
      <c r="T18" s="85">
        <f>IFERROR(IF(T17&lt;(24/Outputs!$C$5),1,T17/24*Outputs!$C$5),"N/A")</f>
        <v>1</v>
      </c>
      <c r="U18" s="85">
        <f>IFERROR(IF(U17&lt;(24/Outputs!$C$5),1,U17/24*Outputs!$C$5),"N/A")</f>
        <v>1</v>
      </c>
      <c r="V18" s="85">
        <f>IFERROR(IF(V17&lt;(24/Outputs!$C$5),1,V17/24*Outputs!$C$5),"N/A")</f>
        <v>1</v>
      </c>
      <c r="W18" s="85">
        <f>IFERROR(IF(W17&lt;(24/Outputs!$C$5),1,W17/24*Outputs!$C$5),"N/A")</f>
        <v>1</v>
      </c>
      <c r="X18" s="85">
        <f>IFERROR(IF(X17&lt;(24/Outputs!$C$5),1,X17/24*Outputs!$C$5),"N/A")</f>
        <v>1</v>
      </c>
      <c r="Y18" s="85">
        <f>IFERROR(IF(Y17&lt;(24/Outputs!$C$5),1,Y17/24*Outputs!$C$5),"N/A")</f>
        <v>2</v>
      </c>
      <c r="Z18" s="85">
        <f>IFERROR(IF(Z17&lt;(24/Outputs!$C$5),1,Z17/24*Outputs!$C$5),"N/A")</f>
        <v>1</v>
      </c>
      <c r="AA18" s="85">
        <f>IFERROR(IF(AA17&lt;(24/Outputs!$C$5),1,AA17/24*Outputs!$C$5),"N/A")</f>
        <v>1</v>
      </c>
      <c r="AB18" s="85">
        <f>IFERROR(IF(AB17&lt;(24/Outputs!$C$5),1,AB17/24*Outputs!$C$5),"N/A")</f>
        <v>1</v>
      </c>
      <c r="AC18" s="85">
        <f>IFERROR(IF(AC17&lt;(24/Outputs!$C$5),1,AC17/24*Outputs!$C$5),"N/A")</f>
        <v>1</v>
      </c>
      <c r="AD18" s="85">
        <f>IFERROR(IF(AD17&lt;(24/Outputs!$C$5),1,AD17/24*Outputs!$C$5),"N/A")</f>
        <v>1</v>
      </c>
      <c r="AE18" s="85">
        <f>IFERROR(IF(AE17&lt;(24/Outputs!$C$5),1,AE17/24*Outputs!$C$5),"N/A")</f>
        <v>1</v>
      </c>
      <c r="AF18" s="85">
        <f>IFERROR(IF(AF17&lt;(24/Outputs!$C$5),1,AF17/24*Outputs!$C$5),"N/A")</f>
        <v>1</v>
      </c>
      <c r="AG18" s="85">
        <f>IFERROR(IF(AG17&lt;(24/Outputs!$C$5),1,AG17/24*Outputs!$C$5),"N/A")</f>
        <v>1</v>
      </c>
      <c r="AH18" s="85">
        <f>IFERROR(IF(AH17&lt;(24/Outputs!$C$5),1,AH17/24*Outputs!$C$5),"N/A")</f>
        <v>1</v>
      </c>
      <c r="AI18" s="85">
        <f>IFERROR(IF(AI17&lt;(24/Outputs!$C$5),1,AI17/24*Outputs!$C$5),"N/A")</f>
        <v>1</v>
      </c>
      <c r="AJ18" s="85">
        <f>IFERROR(IF(AJ17&lt;(24/Outputs!$C$5),1,AJ17/24*Outputs!$C$5),"N/A")</f>
        <v>16</v>
      </c>
      <c r="AK18" s="85">
        <f>IFERROR(IF(AK17&lt;(24/Outputs!$C$5),1,AK17/24*Outputs!$C$5),"N/A")</f>
        <v>4</v>
      </c>
      <c r="AL18" s="85">
        <f>IFERROR(IF(AL17&lt;(24/Outputs!$C$5),1,AL17/24*Outputs!$C$5),"N/A")</f>
        <v>1</v>
      </c>
      <c r="AM18" s="85">
        <f>IFERROR(IF(AM17&lt;(24/Outputs!$C$5),1,AM17/24*Outputs!$C$5),"N/A")</f>
        <v>1</v>
      </c>
      <c r="AN18" s="85">
        <f>IFERROR(IF(AN17&lt;(24/Outputs!$C$5),1,AN17/24*Outputs!$C$5),"N/A")</f>
        <v>1</v>
      </c>
      <c r="AO18" s="85">
        <f>IFERROR(IF(AO17&lt;(24/Outputs!$C$5),1,AO17/24*Outputs!$C$5),"N/A")</f>
        <v>1</v>
      </c>
      <c r="AP18" s="85">
        <f>IFERROR(IF(AP17&lt;(24/Outputs!$C$5),1,AP17/24*Outputs!$C$5),"N/A")</f>
        <v>4</v>
      </c>
      <c r="AQ18" s="85">
        <f>IFERROR(IF(AQ17&lt;(24/Outputs!$C$5),1,AQ17/24*Outputs!$C$5),"N/A")</f>
        <v>1</v>
      </c>
      <c r="AR18" s="85">
        <f>IFERROR(IF(AR17&lt;(24/Outputs!$C$5),1,AR17/24*Outputs!$C$5),"N/A")</f>
        <v>1</v>
      </c>
      <c r="AS18" s="85">
        <f>IFERROR(IF(AS17&lt;(24/Outputs!$C$5),1,AS17/24*Outputs!$C$5),"N/A")</f>
        <v>1</v>
      </c>
      <c r="AT18" s="85">
        <f>IFERROR(IF(AT17&lt;(24/Outputs!$C$5),1,AT17/24*Outputs!$C$5),"N/A")</f>
        <v>1</v>
      </c>
      <c r="AU18" s="85">
        <f>IFERROR(IF(AU17&lt;(24/Outputs!$C$5),1,AU17/24*Outputs!$C$5),"N/A")</f>
        <v>1</v>
      </c>
      <c r="AV18" s="85">
        <f>IFERROR(IF(AV17&lt;(24/Outputs!$C$5),1,AV17/24*Outputs!$C$5),"N/A")</f>
        <v>4</v>
      </c>
      <c r="AW18" s="85">
        <f>IFERROR(IF(AW17&lt;(24/Outputs!$C$5),1,AW17/24*Outputs!$C$5),"N/A")</f>
        <v>4</v>
      </c>
      <c r="AX18" s="85">
        <f>IFERROR(IF(AX17&lt;(24/Outputs!$C$5),1,AX17/24*Outputs!$C$5),"N/A")</f>
        <v>1</v>
      </c>
      <c r="AY18" s="85">
        <f>IFERROR(IF(AY17&lt;(24/Outputs!$C$5),1,AY17/24*Outputs!$C$5),"N/A")</f>
        <v>1</v>
      </c>
      <c r="AZ18" s="85">
        <f>IFERROR(IF(AZ17&lt;(24/Outputs!$C$5),1,AZ17/24*Outputs!$C$5),"N/A")</f>
        <v>1</v>
      </c>
      <c r="BA18" s="134">
        <f>IFERROR(IF(BA17&lt;(24/Outputs!$C$5),1,BA17/24*Outputs!$C$5),"N/A")</f>
        <v>1</v>
      </c>
      <c r="BB18" s="135"/>
      <c r="BC18" s="142"/>
      <c r="BD18" s="142"/>
      <c r="BE18" s="142"/>
      <c r="BF18" s="142"/>
      <c r="BG18" s="142"/>
      <c r="BH18" s="142"/>
    </row>
    <row r="19" spans="1:60" ht="15.75" customHeight="1">
      <c r="A19" s="12"/>
      <c r="B19" s="50" t="s">
        <v>330</v>
      </c>
      <c r="C19" s="53">
        <f>IFERROR(AVERAGE('Raw Data'!B20:B24),0)</f>
        <v>270000</v>
      </c>
      <c r="D19" s="51">
        <f>IFERROR(AVERAGE('Raw Data'!C20:C24),0)</f>
        <v>0</v>
      </c>
      <c r="E19" s="51">
        <f>IFERROR(AVERAGE('Raw Data'!D20:D24),0)</f>
        <v>2500</v>
      </c>
      <c r="F19" s="51">
        <f>IFERROR(AVERAGE('Raw Data'!E20:E24),0)</f>
        <v>0</v>
      </c>
      <c r="G19" s="51">
        <f>IFERROR(AVERAGE('Raw Data'!F20:F24),0)</f>
        <v>0</v>
      </c>
      <c r="H19" s="51">
        <f>IFERROR(AVERAGE('Raw Data'!G20:G24),0)</f>
        <v>140</v>
      </c>
      <c r="I19" s="51">
        <f>IFERROR(AVERAGE('Raw Data'!H20:H24),0)</f>
        <v>0</v>
      </c>
      <c r="J19" s="51">
        <f>IFERROR(AVERAGE('Raw Data'!I20:I24),0)</f>
        <v>484000</v>
      </c>
      <c r="K19" s="51">
        <f>IFERROR(AVERAGE('Raw Data'!J20:J24),0)</f>
        <v>1200000</v>
      </c>
      <c r="L19" s="51">
        <f>IFERROR(AVERAGE('Raw Data'!K20:K24),0)</f>
        <v>0</v>
      </c>
      <c r="M19" s="51">
        <f>IFERROR(AVERAGE('Raw Data'!L20:L24),0)</f>
        <v>638</v>
      </c>
      <c r="N19" s="51">
        <f>IFERROR(AVERAGE('Raw Data'!M20:M24),0)</f>
        <v>250000</v>
      </c>
      <c r="O19" s="51">
        <f>IFERROR(AVERAGE('Raw Data'!N20:N24),0)</f>
        <v>0</v>
      </c>
      <c r="P19" s="51">
        <f>IFERROR(AVERAGE('Raw Data'!O20:O24),0)</f>
        <v>6290</v>
      </c>
      <c r="Q19" s="51">
        <f>IFERROR(AVERAGE('Raw Data'!P20:P24),0)</f>
        <v>2500000</v>
      </c>
      <c r="R19" s="51">
        <f>IFERROR(AVERAGE('Raw Data'!Q20:Q24),0)</f>
        <v>0</v>
      </c>
      <c r="S19" s="51">
        <f>IFERROR(AVERAGE('Raw Data'!R20:R24),0)</f>
        <v>712857</v>
      </c>
      <c r="T19" s="51">
        <f>IFERROR(AVERAGE('Raw Data'!S20:S24),0)</f>
        <v>0</v>
      </c>
      <c r="U19" s="51">
        <f>IFERROR(AVERAGE('Raw Data'!T20:T24),0)</f>
        <v>87750</v>
      </c>
      <c r="V19" s="51">
        <f>IFERROR(AVERAGE('Raw Data'!U20:U24),0)</f>
        <v>33000</v>
      </c>
      <c r="W19" s="51">
        <f>IFERROR(AVERAGE('Raw Data'!V20:V24),0)</f>
        <v>0</v>
      </c>
      <c r="X19" s="51">
        <f>IFERROR(AVERAGE('Raw Data'!W20:W24),0)</f>
        <v>0</v>
      </c>
      <c r="Y19" s="51">
        <f>IFERROR(AVERAGE('Raw Data'!X20:X24),0)</f>
        <v>400000</v>
      </c>
      <c r="Z19" s="51">
        <f>IFERROR(AVERAGE('Raw Data'!Y20:Y24),0)</f>
        <v>0</v>
      </c>
      <c r="AA19" s="51">
        <f>IFERROR(AVERAGE('Raw Data'!Z20:Z24),0)</f>
        <v>0</v>
      </c>
      <c r="AB19" s="51">
        <f>IFERROR(AVERAGE('Raw Data'!AA20:AA24),0)</f>
        <v>0</v>
      </c>
      <c r="AC19" s="51">
        <f>IFERROR(AVERAGE('Raw Data'!AB20:AB24),0)</f>
        <v>0</v>
      </c>
      <c r="AD19" s="51">
        <f>IFERROR(AVERAGE('Raw Data'!AC20:AC24),0)</f>
        <v>0</v>
      </c>
      <c r="AE19" s="51">
        <f>IFERROR(AVERAGE('Raw Data'!AD20:AD24),0)</f>
        <v>3480</v>
      </c>
      <c r="AF19" s="51">
        <f>IFERROR(AVERAGE('Raw Data'!AE20:AE24),0)</f>
        <v>0</v>
      </c>
      <c r="AG19" s="51">
        <f>IFERROR(AVERAGE('Raw Data'!AF20:AF24),0)</f>
        <v>0</v>
      </c>
      <c r="AH19" s="51">
        <f>IFERROR(AVERAGE('Raw Data'!AG20:AG24),0)</f>
        <v>0</v>
      </c>
      <c r="AI19" s="51">
        <f>IFERROR(AVERAGE('Raw Data'!AH20:AH24),0)</f>
        <v>0</v>
      </c>
      <c r="AJ19" s="51">
        <f>IFERROR(AVERAGE('Raw Data'!AI20:AI24),0)</f>
        <v>38400</v>
      </c>
      <c r="AK19" s="51">
        <f>IFERROR(AVERAGE('Raw Data'!AJ20:AJ24),0)</f>
        <v>20000</v>
      </c>
      <c r="AL19" s="51">
        <f>IFERROR(AVERAGE('Raw Data'!AK20:AK24),0)</f>
        <v>0</v>
      </c>
      <c r="AM19" s="51">
        <f>IFERROR(AVERAGE('Raw Data'!AL20:AL24),0)</f>
        <v>0</v>
      </c>
      <c r="AN19" s="51">
        <f>IFERROR(AVERAGE('Raw Data'!AM20:AM24),0)</f>
        <v>0</v>
      </c>
      <c r="AO19" s="51">
        <f>IFERROR(AVERAGE('Raw Data'!AN20:AN24),0)</f>
        <v>0</v>
      </c>
      <c r="AP19" s="51">
        <f>IFERROR(AVERAGE('Raw Data'!AO20:AO24),0)</f>
        <v>4</v>
      </c>
      <c r="AQ19" s="51">
        <f>IFERROR(AVERAGE('Raw Data'!AP20:AP24),0)</f>
        <v>0</v>
      </c>
      <c r="AR19" s="51">
        <f>IFERROR(AVERAGE('Raw Data'!AQ20:AQ24),0)</f>
        <v>0</v>
      </c>
      <c r="AS19" s="51">
        <f>IFERROR(AVERAGE('Raw Data'!AR20:AR24),0)</f>
        <v>0</v>
      </c>
      <c r="AT19" s="51">
        <f>IFERROR(AVERAGE('Raw Data'!AS20:AS24),0)</f>
        <v>0</v>
      </c>
      <c r="AU19" s="51">
        <f>IFERROR(AVERAGE('Raw Data'!AT20:AT24),0)</f>
        <v>4100</v>
      </c>
      <c r="AV19" s="51">
        <f>IFERROR(AVERAGE('Raw Data'!AU20:AU24),0)</f>
        <v>92200</v>
      </c>
      <c r="AW19" s="51">
        <f>IFERROR(AVERAGE('Raw Data'!AV20:AV24),0)</f>
        <v>5000</v>
      </c>
      <c r="AX19" s="51">
        <f>IFERROR(AVERAGE('Raw Data'!AW20:AW24),0)</f>
        <v>0</v>
      </c>
      <c r="AY19" s="51">
        <f>IFERROR(AVERAGE('Raw Data'!AX20:AX24),0)</f>
        <v>0</v>
      </c>
      <c r="AZ19" s="51">
        <f>IFERROR(AVERAGE('Raw Data'!AY20:AY24),0)</f>
        <v>0</v>
      </c>
      <c r="BA19" s="64">
        <f>IFERROR(AVERAGE('Raw Data'!AZ20:AZ24),0)</f>
        <v>0</v>
      </c>
      <c r="BB19" s="106"/>
      <c r="BC19" s="12"/>
      <c r="BD19" s="12"/>
      <c r="BE19" s="12"/>
      <c r="BF19" s="12"/>
      <c r="BG19" s="12"/>
      <c r="BH19" s="12"/>
    </row>
    <row r="20" spans="1:60" ht="15.75" customHeight="1">
      <c r="A20" s="12"/>
      <c r="B20" s="50"/>
      <c r="C20" s="71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80"/>
      <c r="BB20" s="12"/>
      <c r="BC20" s="12"/>
      <c r="BD20" s="12"/>
      <c r="BE20" s="12"/>
      <c r="BF20" s="12"/>
      <c r="BG20" s="12"/>
      <c r="BH20" s="12"/>
    </row>
    <row r="21" spans="1:60" ht="15.75" customHeight="1">
      <c r="A21" s="108"/>
      <c r="B21" s="82" t="s">
        <v>331</v>
      </c>
      <c r="C21" s="109">
        <v>96</v>
      </c>
      <c r="D21" s="60">
        <v>0</v>
      </c>
      <c r="E21" s="60">
        <v>48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6</v>
      </c>
      <c r="N21" s="60">
        <v>0</v>
      </c>
      <c r="O21" s="60">
        <v>0</v>
      </c>
      <c r="P21" s="60">
        <v>8</v>
      </c>
      <c r="Q21" s="60">
        <v>0</v>
      </c>
      <c r="R21" s="60">
        <v>0</v>
      </c>
      <c r="S21" s="60">
        <v>12</v>
      </c>
      <c r="T21" s="60">
        <v>0</v>
      </c>
      <c r="U21" s="60">
        <v>48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12</v>
      </c>
      <c r="AF21" s="60">
        <v>0</v>
      </c>
      <c r="AG21" s="60">
        <v>0</v>
      </c>
      <c r="AH21" s="60">
        <v>0</v>
      </c>
      <c r="AI21" s="60">
        <v>0</v>
      </c>
      <c r="AJ21" s="60">
        <v>0</v>
      </c>
      <c r="AK21" s="60">
        <v>0</v>
      </c>
      <c r="AL21" s="60">
        <v>0</v>
      </c>
      <c r="AM21" s="60">
        <v>0</v>
      </c>
      <c r="AN21" s="60">
        <v>0</v>
      </c>
      <c r="AO21" s="60">
        <v>0</v>
      </c>
      <c r="AP21" s="60">
        <v>0</v>
      </c>
      <c r="AQ21" s="60">
        <v>0</v>
      </c>
      <c r="AR21" s="60">
        <v>0</v>
      </c>
      <c r="AS21" s="60">
        <v>0</v>
      </c>
      <c r="AT21" s="60">
        <v>0</v>
      </c>
      <c r="AU21" s="60">
        <v>0</v>
      </c>
      <c r="AV21" s="60">
        <v>0</v>
      </c>
      <c r="AW21" s="60">
        <v>0</v>
      </c>
      <c r="AX21" s="60">
        <v>0</v>
      </c>
      <c r="AY21" s="60">
        <v>0</v>
      </c>
      <c r="AZ21" s="60">
        <v>0</v>
      </c>
      <c r="BA21" s="111">
        <v>0</v>
      </c>
      <c r="BB21" s="141"/>
      <c r="BC21" s="108"/>
      <c r="BD21" s="108"/>
      <c r="BE21" s="108"/>
      <c r="BF21" s="108"/>
      <c r="BG21" s="108"/>
      <c r="BH21" s="108"/>
    </row>
    <row r="22" spans="1:60" ht="15.75" customHeight="1">
      <c r="A22" s="12"/>
      <c r="B22" s="50" t="s">
        <v>154</v>
      </c>
      <c r="C22" s="114">
        <f>IFERROR(IF(C21&lt;(24/Outputs!$C$5),1,C21/24*Outputs!$C$5),"N/A")</f>
        <v>16</v>
      </c>
      <c r="D22" s="85">
        <f>IFERROR(IF(D21&lt;(24/Outputs!$C$5),1,D21/24*Outputs!$C$5),"N/A")</f>
        <v>1</v>
      </c>
      <c r="E22" s="85">
        <f>IFERROR(IF(E21&lt;(24/Outputs!$C$5),1,E21/24*Outputs!$C$5),"N/A")</f>
        <v>8</v>
      </c>
      <c r="F22" s="85">
        <f>IFERROR(IF(F21&lt;(24/Outputs!$C$5),1,F21/24*Outputs!$C$5),"N/A")</f>
        <v>1</v>
      </c>
      <c r="G22" s="85">
        <f>IFERROR(IF(G21&lt;(24/Outputs!$C$5),1,G21/24*Outputs!$C$5),"N/A")</f>
        <v>1</v>
      </c>
      <c r="H22" s="85">
        <f>IFERROR(IF(H21&lt;(24/Outputs!$C$5),1,H21/24*Outputs!$C$5),"N/A")</f>
        <v>1</v>
      </c>
      <c r="I22" s="85">
        <f>IFERROR(IF(I21&lt;(24/Outputs!$C$5),1,I21/24*Outputs!$C$5),"N/A")</f>
        <v>1</v>
      </c>
      <c r="J22" s="85">
        <f>IFERROR(IF(J21&lt;(24/Outputs!$C$5),1,J21/24*Outputs!$C$5),"N/A")</f>
        <v>1</v>
      </c>
      <c r="K22" s="85">
        <f>IFERROR(IF(K21&lt;(24/Outputs!$C$5),1,K21/24*Outputs!$C$5),"N/A")</f>
        <v>1</v>
      </c>
      <c r="L22" s="85">
        <f>IFERROR(IF(L21&lt;(24/Outputs!$C$5),1,L21/24*Outputs!$C$5),"N/A")</f>
        <v>1</v>
      </c>
      <c r="M22" s="85">
        <f>IFERROR(IF(M21&lt;(24/Outputs!$C$5),1,M21/24*Outputs!$C$5),"N/A")</f>
        <v>1</v>
      </c>
      <c r="N22" s="85">
        <f>IFERROR(IF(N21&lt;(24/Outputs!$C$5),1,N21/24*Outputs!$C$5),"N/A")</f>
        <v>1</v>
      </c>
      <c r="O22" s="85">
        <f>IFERROR(IF(O21&lt;(24/Outputs!$C$5),1,O21/24*Outputs!$C$5),"N/A")</f>
        <v>1</v>
      </c>
      <c r="P22" s="85">
        <f>IFERROR(IF(P21&lt;(24/Outputs!$C$5),1,P21/24*Outputs!$C$5),"N/A")</f>
        <v>1.3333333333333333</v>
      </c>
      <c r="Q22" s="85">
        <f>IFERROR(IF(Q21&lt;(24/Outputs!$C$5),1,Q21/24*Outputs!$C$5),"N/A")</f>
        <v>1</v>
      </c>
      <c r="R22" s="85">
        <f>IFERROR(IF(R21&lt;(24/Outputs!$C$5),1,R21/24*Outputs!$C$5),"N/A")</f>
        <v>1</v>
      </c>
      <c r="S22" s="85">
        <f>IFERROR(IF(S21&lt;(24/Outputs!$C$5),1,S21/24*Outputs!$C$5),"N/A")</f>
        <v>2</v>
      </c>
      <c r="T22" s="85">
        <f>IFERROR(IF(T21&lt;(24/Outputs!$C$5),1,T21/24*Outputs!$C$5),"N/A")</f>
        <v>1</v>
      </c>
      <c r="U22" s="85">
        <f>IFERROR(IF(U21&lt;(24/Outputs!$C$5),1,U21/24*Outputs!$C$5),"N/A")</f>
        <v>8</v>
      </c>
      <c r="V22" s="85">
        <f>IFERROR(IF(V21&lt;(24/Outputs!$C$5),1,V21/24*Outputs!$C$5),"N/A")</f>
        <v>1</v>
      </c>
      <c r="W22" s="85">
        <f>IFERROR(IF(W21&lt;(24/Outputs!$C$5),1,W21/24*Outputs!$C$5),"N/A")</f>
        <v>1</v>
      </c>
      <c r="X22" s="85">
        <f>IFERROR(IF(X21&lt;(24/Outputs!$C$5),1,X21/24*Outputs!$C$5),"N/A")</f>
        <v>1</v>
      </c>
      <c r="Y22" s="85">
        <f>IFERROR(IF(Y21&lt;(24/Outputs!$C$5),1,Y21/24*Outputs!$C$5),"N/A")</f>
        <v>1</v>
      </c>
      <c r="Z22" s="85">
        <f>IFERROR(IF(Z21&lt;(24/Outputs!$C$5),1,Z21/24*Outputs!$C$5),"N/A")</f>
        <v>1</v>
      </c>
      <c r="AA22" s="85">
        <f>IFERROR(IF(AA21&lt;(24/Outputs!$C$5),1,AA21/24*Outputs!$C$5),"N/A")</f>
        <v>1</v>
      </c>
      <c r="AB22" s="85">
        <f>IFERROR(IF(AB21&lt;(24/Outputs!$C$5),1,AB21/24*Outputs!$C$5),"N/A")</f>
        <v>1</v>
      </c>
      <c r="AC22" s="85">
        <f>IFERROR(IF(AC21&lt;(24/Outputs!$C$5),1,AC21/24*Outputs!$C$5),"N/A")</f>
        <v>1</v>
      </c>
      <c r="AD22" s="85">
        <f>IFERROR(IF(AD21&lt;(24/Outputs!$C$5),1,AD21/24*Outputs!$C$5),"N/A")</f>
        <v>1</v>
      </c>
      <c r="AE22" s="85">
        <f>IFERROR(IF(AE21&lt;(24/Outputs!$C$5),1,AE21/24*Outputs!$C$5),"N/A")</f>
        <v>2</v>
      </c>
      <c r="AF22" s="85">
        <f>IFERROR(IF(AF21&lt;(24/Outputs!$C$5),1,AF21/24*Outputs!$C$5),"N/A")</f>
        <v>1</v>
      </c>
      <c r="AG22" s="85">
        <f>IFERROR(IF(AG21&lt;(24/Outputs!$C$5),1,AG21/24*Outputs!$C$5),"N/A")</f>
        <v>1</v>
      </c>
      <c r="AH22" s="85">
        <f>IFERROR(IF(AH21&lt;(24/Outputs!$C$5),1,AH21/24*Outputs!$C$5),"N/A")</f>
        <v>1</v>
      </c>
      <c r="AI22" s="85">
        <f>IFERROR(IF(AI21&lt;(24/Outputs!$C$5),1,AI21/24*Outputs!$C$5),"N/A")</f>
        <v>1</v>
      </c>
      <c r="AJ22" s="85">
        <f>IFERROR(IF(AJ21&lt;(24/Outputs!$C$5),1,AJ21/24*Outputs!$C$5),"N/A")</f>
        <v>1</v>
      </c>
      <c r="AK22" s="85">
        <f>IFERROR(IF(AK21&lt;(24/Outputs!$C$5),1,AK21/24*Outputs!$C$5),"N/A")</f>
        <v>1</v>
      </c>
      <c r="AL22" s="85">
        <f>IFERROR(IF(AL21&lt;(24/Outputs!$C$5),1,AL21/24*Outputs!$C$5),"N/A")</f>
        <v>1</v>
      </c>
      <c r="AM22" s="85">
        <f>IFERROR(IF(AM21&lt;(24/Outputs!$C$5),1,AM21/24*Outputs!$C$5),"N/A")</f>
        <v>1</v>
      </c>
      <c r="AN22" s="85">
        <f>IFERROR(IF(AN21&lt;(24/Outputs!$C$5),1,AN21/24*Outputs!$C$5),"N/A")</f>
        <v>1</v>
      </c>
      <c r="AO22" s="85">
        <f>IFERROR(IF(AO21&lt;(24/Outputs!$C$5),1,AO21/24*Outputs!$C$5),"N/A")</f>
        <v>1</v>
      </c>
      <c r="AP22" s="85">
        <f>IFERROR(IF(AP21&lt;(24/Outputs!$C$5),1,AP21/24*Outputs!$C$5),"N/A")</f>
        <v>1</v>
      </c>
      <c r="AQ22" s="85">
        <f>IFERROR(IF(AQ21&lt;(24/Outputs!$C$5),1,AQ21/24*Outputs!$C$5),"N/A")</f>
        <v>1</v>
      </c>
      <c r="AR22" s="85">
        <f>IFERROR(IF(AR21&lt;(24/Outputs!$C$5),1,AR21/24*Outputs!$C$5),"N/A")</f>
        <v>1</v>
      </c>
      <c r="AS22" s="85">
        <f>IFERROR(IF(AS21&lt;(24/Outputs!$C$5),1,AS21/24*Outputs!$C$5),"N/A")</f>
        <v>1</v>
      </c>
      <c r="AT22" s="85">
        <f>IFERROR(IF(AT21&lt;(24/Outputs!$C$5),1,AT21/24*Outputs!$C$5),"N/A")</f>
        <v>1</v>
      </c>
      <c r="AU22" s="85">
        <f>IFERROR(IF(AU21&lt;(24/Outputs!$C$5),1,AU21/24*Outputs!$C$5),"N/A")</f>
        <v>1</v>
      </c>
      <c r="AV22" s="85">
        <f>IFERROR(IF(AV21&lt;(24/Outputs!$C$5),1,AV21/24*Outputs!$C$5),"N/A")</f>
        <v>1</v>
      </c>
      <c r="AW22" s="85">
        <f>IFERROR(IF(AW21&lt;(24/Outputs!$C$5),1,AW21/24*Outputs!$C$5),"N/A")</f>
        <v>1</v>
      </c>
      <c r="AX22" s="85">
        <f>IFERROR(IF(AX21&lt;(24/Outputs!$C$5),1,AX21/24*Outputs!$C$5),"N/A")</f>
        <v>1</v>
      </c>
      <c r="AY22" s="85">
        <f>IFERROR(IF(AY21&lt;(24/Outputs!$C$5),1,AY21/24*Outputs!$C$5),"N/A")</f>
        <v>1</v>
      </c>
      <c r="AZ22" s="85">
        <f>IFERROR(IF(AZ21&lt;(24/Outputs!$C$5),1,AZ21/24*Outputs!$C$5),"N/A")</f>
        <v>1</v>
      </c>
      <c r="BA22" s="134">
        <f>IFERROR(IF(BA21&lt;(24/Outputs!$C$5),1,BA21/24*Outputs!$C$5),"N/A")</f>
        <v>1</v>
      </c>
      <c r="BB22" s="142"/>
      <c r="BC22" s="142"/>
      <c r="BD22" s="142"/>
      <c r="BE22" s="142"/>
      <c r="BF22" s="142"/>
      <c r="BG22" s="142"/>
      <c r="BH22" s="142"/>
    </row>
    <row r="23" spans="1:60" ht="15.75" customHeight="1">
      <c r="A23" s="13"/>
      <c r="B23" s="207" t="s">
        <v>333</v>
      </c>
      <c r="C23" s="53">
        <f>IFERROR(AVERAGE('Raw Data'!B27:B31),0)</f>
        <v>100000</v>
      </c>
      <c r="D23" s="51">
        <f>IFERROR(AVERAGE('Raw Data'!C27:C31),0)</f>
        <v>0</v>
      </c>
      <c r="E23" s="51">
        <f>IFERROR(AVERAGE('Raw Data'!D27:D31),0)</f>
        <v>2070</v>
      </c>
      <c r="F23" s="51">
        <f>IFERROR(AVERAGE('Raw Data'!E27:E31),0)</f>
        <v>0</v>
      </c>
      <c r="G23" s="51">
        <f>IFERROR(AVERAGE('Raw Data'!F27:F31),0)</f>
        <v>0</v>
      </c>
      <c r="H23" s="51">
        <f>IFERROR(AVERAGE('Raw Data'!G27:G31),0)</f>
        <v>0</v>
      </c>
      <c r="I23" s="51">
        <f>IFERROR(AVERAGE('Raw Data'!H27:H31),0)</f>
        <v>0</v>
      </c>
      <c r="J23" s="51">
        <f>IFERROR(AVERAGE('Raw Data'!I27:I31),0)</f>
        <v>0</v>
      </c>
      <c r="K23" s="51">
        <f>IFERROR(AVERAGE('Raw Data'!J27:J31),0)</f>
        <v>0</v>
      </c>
      <c r="L23" s="51">
        <f>IFERROR(AVERAGE('Raw Data'!K27:K31),0)</f>
        <v>0</v>
      </c>
      <c r="M23" s="51">
        <f>IFERROR(AVERAGE('Raw Data'!L27:L31),0)</f>
        <v>100</v>
      </c>
      <c r="N23" s="51">
        <f>IFERROR(AVERAGE('Raw Data'!M27:M31),0)</f>
        <v>0</v>
      </c>
      <c r="O23" s="51">
        <f>IFERROR(AVERAGE('Raw Data'!N27:N31),0)</f>
        <v>0</v>
      </c>
      <c r="P23" s="51">
        <f>IFERROR(AVERAGE('Raw Data'!O27:O31),0)</f>
        <v>1000</v>
      </c>
      <c r="Q23" s="51">
        <f>IFERROR(AVERAGE('Raw Data'!P27:P31),0)</f>
        <v>0</v>
      </c>
      <c r="R23" s="51">
        <f>IFERROR(AVERAGE('Raw Data'!Q27:Q31),0)</f>
        <v>0</v>
      </c>
      <c r="S23" s="51">
        <f>IFERROR(AVERAGE('Raw Data'!R27:R31),0)</f>
        <v>600000</v>
      </c>
      <c r="T23" s="51">
        <f>IFERROR(AVERAGE('Raw Data'!S27:S31),0)</f>
        <v>0</v>
      </c>
      <c r="U23" s="51">
        <f>IFERROR(AVERAGE('Raw Data'!T27:T31),0)</f>
        <v>49500</v>
      </c>
      <c r="V23" s="51">
        <f>IFERROR(AVERAGE('Raw Data'!U27:U31),0)</f>
        <v>0</v>
      </c>
      <c r="W23" s="51">
        <f>IFERROR(AVERAGE('Raw Data'!V27:V31),0)</f>
        <v>0</v>
      </c>
      <c r="X23" s="51">
        <f>IFERROR(AVERAGE('Raw Data'!W27:W31),0)</f>
        <v>0</v>
      </c>
      <c r="Y23" s="51">
        <f>IFERROR(AVERAGE('Raw Data'!X27:X31),0)</f>
        <v>0</v>
      </c>
      <c r="Z23" s="51">
        <f>IFERROR(AVERAGE('Raw Data'!Y27:Y31),0)</f>
        <v>0</v>
      </c>
      <c r="AA23" s="51">
        <f>IFERROR(AVERAGE('Raw Data'!Z27:Z31),0)</f>
        <v>0</v>
      </c>
      <c r="AB23" s="51">
        <f>IFERROR(AVERAGE('Raw Data'!AA27:AA31),0)</f>
        <v>0</v>
      </c>
      <c r="AC23" s="51">
        <f>IFERROR(AVERAGE('Raw Data'!AB27:AB31),0)</f>
        <v>0</v>
      </c>
      <c r="AD23" s="51">
        <f>IFERROR(AVERAGE('Raw Data'!AC27:AC31),0)</f>
        <v>0</v>
      </c>
      <c r="AE23" s="51">
        <f>IFERROR(AVERAGE('Raw Data'!AD27:AD31),0)</f>
        <v>500</v>
      </c>
      <c r="AF23" s="51">
        <f>IFERROR(AVERAGE('Raw Data'!AE27:AE31),0)</f>
        <v>0</v>
      </c>
      <c r="AG23" s="51">
        <f>IFERROR(AVERAGE('Raw Data'!AF27:AF31),0)</f>
        <v>0</v>
      </c>
      <c r="AH23" s="51">
        <f>IFERROR(AVERAGE('Raw Data'!AG27:AG31),0)</f>
        <v>0</v>
      </c>
      <c r="AI23" s="51">
        <f>IFERROR(AVERAGE('Raw Data'!AH27:AH31),0)</f>
        <v>0</v>
      </c>
      <c r="AJ23" s="51">
        <f>IFERROR(AVERAGE('Raw Data'!AI27:AI31),0)</f>
        <v>0</v>
      </c>
      <c r="AK23" s="51">
        <f>IFERROR(AVERAGE('Raw Data'!AJ27:AJ31),0)</f>
        <v>0</v>
      </c>
      <c r="AL23" s="51">
        <f>IFERROR(AVERAGE('Raw Data'!AK27:AK31),0)</f>
        <v>0</v>
      </c>
      <c r="AM23" s="51">
        <f>IFERROR(AVERAGE('Raw Data'!AL27:AL31),0)</f>
        <v>0</v>
      </c>
      <c r="AN23" s="51">
        <f>IFERROR(AVERAGE('Raw Data'!AM27:AM31),0)</f>
        <v>0</v>
      </c>
      <c r="AO23" s="51">
        <f>IFERROR(AVERAGE('Raw Data'!AN27:AN31),0)</f>
        <v>0</v>
      </c>
      <c r="AP23" s="51">
        <f>IFERROR(AVERAGE('Raw Data'!AO27:AO31),0)</f>
        <v>0</v>
      </c>
      <c r="AQ23" s="51">
        <f>IFERROR(AVERAGE('Raw Data'!AP27:AP31),0)</f>
        <v>0</v>
      </c>
      <c r="AR23" s="51">
        <f>IFERROR(AVERAGE('Raw Data'!AQ27:AQ31),0)</f>
        <v>0</v>
      </c>
      <c r="AS23" s="51">
        <f>IFERROR(AVERAGE('Raw Data'!AR27:AR31),0)</f>
        <v>0</v>
      </c>
      <c r="AT23" s="51">
        <f>IFERROR(AVERAGE('Raw Data'!AS27:AS31),0)</f>
        <v>0</v>
      </c>
      <c r="AU23" s="51">
        <f>IFERROR(AVERAGE('Raw Data'!AT27:AT31),0)</f>
        <v>0</v>
      </c>
      <c r="AV23" s="51">
        <f>IFERROR(AVERAGE('Raw Data'!AU27:AU31),0)</f>
        <v>0</v>
      </c>
      <c r="AW23" s="51">
        <f>IFERROR(AVERAGE('Raw Data'!AV27:AV31),0)</f>
        <v>0</v>
      </c>
      <c r="AX23" s="51">
        <f>IFERROR(AVERAGE('Raw Data'!AW27:AW31),0)</f>
        <v>0</v>
      </c>
      <c r="AY23" s="51">
        <f>IFERROR(AVERAGE('Raw Data'!AX27:AX31),0)</f>
        <v>0</v>
      </c>
      <c r="AZ23" s="51">
        <f>IFERROR(AVERAGE('Raw Data'!AY27:AY31),0)</f>
        <v>0</v>
      </c>
      <c r="BA23" s="64">
        <f>IFERROR(AVERAGE('Raw Data'!AZ27:AZ31),0)</f>
        <v>0</v>
      </c>
      <c r="BB23" s="13"/>
      <c r="BC23" s="13"/>
      <c r="BD23" s="13"/>
      <c r="BE23" s="13"/>
      <c r="BF23" s="13"/>
      <c r="BG23" s="13"/>
      <c r="BH23" s="13"/>
    </row>
    <row r="24" spans="1:60" ht="15.75" customHeight="1">
      <c r="A24" s="12"/>
      <c r="B24" s="50"/>
      <c r="C24" s="7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80"/>
      <c r="BB24" s="12"/>
      <c r="BC24" s="12"/>
      <c r="BD24" s="12"/>
      <c r="BE24" s="12"/>
      <c r="BF24" s="12"/>
      <c r="BG24" s="12"/>
      <c r="BH24" s="12"/>
    </row>
    <row r="25" spans="1:60" ht="15.75" customHeight="1">
      <c r="A25" s="12"/>
      <c r="B25" s="208" t="s">
        <v>334</v>
      </c>
      <c r="C25" s="53">
        <v>9000000</v>
      </c>
      <c r="D25" s="51">
        <v>1000000</v>
      </c>
      <c r="E25" s="51">
        <v>55000</v>
      </c>
      <c r="F25" s="51">
        <v>114000</v>
      </c>
      <c r="G25" s="51">
        <v>900000</v>
      </c>
      <c r="H25" s="51">
        <v>20000</v>
      </c>
      <c r="I25" s="51">
        <v>10000000</v>
      </c>
      <c r="J25" s="51">
        <v>1500000</v>
      </c>
      <c r="K25" s="51">
        <v>55000000</v>
      </c>
      <c r="L25" s="51">
        <v>475000</v>
      </c>
      <c r="M25" s="51">
        <v>15000</v>
      </c>
      <c r="N25" s="51">
        <v>3000000</v>
      </c>
      <c r="O25" s="51">
        <v>5000000</v>
      </c>
      <c r="P25" s="51">
        <v>200000</v>
      </c>
      <c r="Q25" s="51">
        <v>6000000</v>
      </c>
      <c r="R25" s="51">
        <v>1200000</v>
      </c>
      <c r="S25" s="51">
        <v>5000000</v>
      </c>
      <c r="T25" s="51">
        <v>7200000</v>
      </c>
      <c r="U25" s="51">
        <v>1000000</v>
      </c>
      <c r="V25" s="51">
        <v>262500</v>
      </c>
      <c r="W25" s="51">
        <v>12000000</v>
      </c>
      <c r="X25" s="51">
        <v>7500</v>
      </c>
      <c r="Y25" s="51">
        <v>9000000</v>
      </c>
      <c r="Z25" s="51">
        <v>450000</v>
      </c>
      <c r="AA25" s="51">
        <v>144000</v>
      </c>
      <c r="AB25" s="51">
        <v>1600000</v>
      </c>
      <c r="AC25" s="51">
        <v>180000</v>
      </c>
      <c r="AD25" s="51">
        <v>41400</v>
      </c>
      <c r="AE25" s="51">
        <v>25000</v>
      </c>
      <c r="AF25" s="51">
        <v>12000000</v>
      </c>
      <c r="AG25" s="51">
        <v>16200</v>
      </c>
      <c r="AH25" s="51">
        <v>10000</v>
      </c>
      <c r="AI25" s="51">
        <v>7875000</v>
      </c>
      <c r="AJ25" s="51">
        <v>2000000</v>
      </c>
      <c r="AK25" s="51">
        <v>2500000</v>
      </c>
      <c r="AL25" s="51">
        <v>75</v>
      </c>
      <c r="AM25" s="51">
        <v>200</v>
      </c>
      <c r="AN25" s="51">
        <v>500</v>
      </c>
      <c r="AO25" s="51">
        <v>33</v>
      </c>
      <c r="AP25" s="51">
        <v>52</v>
      </c>
      <c r="AQ25" s="51">
        <v>40</v>
      </c>
      <c r="AR25" s="69">
        <v>50</v>
      </c>
      <c r="AS25" s="51">
        <v>7500000</v>
      </c>
      <c r="AT25" s="51">
        <v>8250000</v>
      </c>
      <c r="AU25" s="51">
        <v>100000</v>
      </c>
      <c r="AV25" s="51">
        <v>15000000</v>
      </c>
      <c r="AW25" s="51">
        <v>15000000</v>
      </c>
      <c r="AX25" s="51">
        <v>10000000</v>
      </c>
      <c r="AY25" s="51">
        <v>200000</v>
      </c>
      <c r="AZ25" s="51">
        <v>7500000</v>
      </c>
      <c r="BA25" s="64">
        <v>900000</v>
      </c>
      <c r="BB25" s="12"/>
      <c r="BC25" s="12"/>
      <c r="BD25" s="12"/>
      <c r="BE25" s="12"/>
      <c r="BF25" s="12"/>
      <c r="BG25" s="12"/>
      <c r="BH25" s="12"/>
    </row>
    <row r="26" spans="1:60" ht="15.75" customHeight="1">
      <c r="A26" s="12"/>
      <c r="B26" s="208" t="s">
        <v>335</v>
      </c>
      <c r="C26" s="144">
        <v>5</v>
      </c>
      <c r="D26" s="145">
        <v>8</v>
      </c>
      <c r="E26" s="145">
        <v>5</v>
      </c>
      <c r="F26" s="145">
        <v>10</v>
      </c>
      <c r="G26" s="145">
        <v>9</v>
      </c>
      <c r="H26" s="145">
        <v>5</v>
      </c>
      <c r="I26" s="145">
        <v>5</v>
      </c>
      <c r="J26" s="145">
        <v>5</v>
      </c>
      <c r="K26" s="145">
        <v>5</v>
      </c>
      <c r="L26" s="145">
        <v>5</v>
      </c>
      <c r="M26" s="145">
        <v>5</v>
      </c>
      <c r="N26" s="145">
        <v>5</v>
      </c>
      <c r="O26" s="145">
        <v>5</v>
      </c>
      <c r="P26" s="145">
        <v>5</v>
      </c>
      <c r="Q26" s="145">
        <v>5</v>
      </c>
      <c r="R26" s="145">
        <v>5</v>
      </c>
      <c r="S26" s="145">
        <v>5</v>
      </c>
      <c r="T26" s="145">
        <v>5</v>
      </c>
      <c r="U26" s="145">
        <v>5</v>
      </c>
      <c r="V26" s="145">
        <v>5</v>
      </c>
      <c r="W26" s="145">
        <v>5</v>
      </c>
      <c r="X26" s="145">
        <v>5</v>
      </c>
      <c r="Y26" s="145">
        <v>5</v>
      </c>
      <c r="Z26" s="145">
        <v>5</v>
      </c>
      <c r="AA26" s="145">
        <v>5</v>
      </c>
      <c r="AB26" s="145">
        <v>5</v>
      </c>
      <c r="AC26" s="145">
        <v>5</v>
      </c>
      <c r="AD26" s="145">
        <v>5</v>
      </c>
      <c r="AE26" s="145">
        <v>5</v>
      </c>
      <c r="AF26" s="145">
        <v>5</v>
      </c>
      <c r="AG26" s="145">
        <v>5</v>
      </c>
      <c r="AH26" s="145">
        <v>5</v>
      </c>
      <c r="AI26" s="145">
        <v>5</v>
      </c>
      <c r="AJ26" s="145">
        <v>5</v>
      </c>
      <c r="AK26" s="145">
        <v>5</v>
      </c>
      <c r="AL26" s="145">
        <v>5</v>
      </c>
      <c r="AM26" s="145">
        <v>10</v>
      </c>
      <c r="AN26" s="145">
        <v>5</v>
      </c>
      <c r="AO26" s="145">
        <v>5</v>
      </c>
      <c r="AP26" s="145">
        <v>5</v>
      </c>
      <c r="AQ26" s="145">
        <v>5</v>
      </c>
      <c r="AR26" s="145">
        <v>5</v>
      </c>
      <c r="AS26" s="145">
        <v>6</v>
      </c>
      <c r="AT26" s="145">
        <v>5</v>
      </c>
      <c r="AU26" s="145">
        <v>5</v>
      </c>
      <c r="AV26" s="145">
        <v>5</v>
      </c>
      <c r="AW26" s="145">
        <v>5</v>
      </c>
      <c r="AX26" s="145">
        <v>10</v>
      </c>
      <c r="AY26" s="145">
        <v>5</v>
      </c>
      <c r="AZ26" s="145">
        <v>5</v>
      </c>
      <c r="BA26" s="146">
        <v>5</v>
      </c>
      <c r="BB26" s="12"/>
      <c r="BC26" s="12"/>
      <c r="BD26" s="12"/>
      <c r="BE26" s="12"/>
      <c r="BF26" s="12"/>
      <c r="BG26" s="12"/>
      <c r="BH26" s="12"/>
    </row>
    <row r="27" spans="1:60" ht="15.75" customHeight="1">
      <c r="A27" s="12"/>
      <c r="B27" s="50"/>
      <c r="C27" s="71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51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80"/>
      <c r="BB27" s="12"/>
      <c r="BC27" s="12"/>
      <c r="BD27" s="12"/>
      <c r="BE27" s="12"/>
      <c r="BF27" s="12"/>
      <c r="BG27" s="12"/>
      <c r="BH27" s="12"/>
    </row>
    <row r="28" spans="1:60" ht="15.75" customHeight="1">
      <c r="A28" s="12"/>
      <c r="B28" s="50" t="s">
        <v>336</v>
      </c>
      <c r="C28" s="53">
        <v>100000</v>
      </c>
      <c r="D28" s="51">
        <v>10000</v>
      </c>
      <c r="E28" s="51">
        <v>625</v>
      </c>
      <c r="F28" s="51">
        <v>400</v>
      </c>
      <c r="G28" s="51" t="s">
        <v>337</v>
      </c>
      <c r="H28" s="51">
        <v>9</v>
      </c>
      <c r="I28" s="51">
        <v>48000</v>
      </c>
      <c r="J28" s="51" t="s">
        <v>337</v>
      </c>
      <c r="K28" s="51">
        <v>50000</v>
      </c>
      <c r="L28" s="51">
        <v>34200</v>
      </c>
      <c r="M28" s="51">
        <v>9</v>
      </c>
      <c r="N28" s="51">
        <v>26250</v>
      </c>
      <c r="O28" s="51">
        <v>24000</v>
      </c>
      <c r="P28" s="51">
        <v>10</v>
      </c>
      <c r="Q28" s="51">
        <v>36000</v>
      </c>
      <c r="R28" s="51">
        <v>6000</v>
      </c>
      <c r="S28" s="51">
        <v>21000</v>
      </c>
      <c r="T28" s="51">
        <v>16000</v>
      </c>
      <c r="U28" s="51">
        <v>2500</v>
      </c>
      <c r="V28" s="51">
        <v>1500</v>
      </c>
      <c r="W28" s="51">
        <v>40000</v>
      </c>
      <c r="X28" s="51">
        <v>50</v>
      </c>
      <c r="Y28" s="51">
        <v>60000</v>
      </c>
      <c r="Z28" s="51">
        <v>600</v>
      </c>
      <c r="AA28" s="51">
        <v>100</v>
      </c>
      <c r="AB28" s="69">
        <v>40000</v>
      </c>
      <c r="AC28" s="51">
        <v>10000</v>
      </c>
      <c r="AD28" s="51">
        <v>2</v>
      </c>
      <c r="AE28" s="51">
        <v>25</v>
      </c>
      <c r="AF28" s="51">
        <v>40000</v>
      </c>
      <c r="AG28" s="51">
        <v>30</v>
      </c>
      <c r="AH28" s="51">
        <v>50</v>
      </c>
      <c r="AI28" s="51">
        <v>45030</v>
      </c>
      <c r="AJ28" s="51" t="s">
        <v>337</v>
      </c>
      <c r="AK28" s="51">
        <v>300</v>
      </c>
      <c r="AL28" s="52" t="s">
        <v>337</v>
      </c>
      <c r="AM28" s="52" t="s">
        <v>337</v>
      </c>
      <c r="AN28" s="52" t="s">
        <v>337</v>
      </c>
      <c r="AO28" s="52" t="s">
        <v>337</v>
      </c>
      <c r="AP28" s="52" t="s">
        <v>337</v>
      </c>
      <c r="AQ28" s="52" t="s">
        <v>337</v>
      </c>
      <c r="AR28" s="52" t="s">
        <v>337</v>
      </c>
      <c r="AS28" s="51">
        <v>50000</v>
      </c>
      <c r="AT28" s="51">
        <v>500</v>
      </c>
      <c r="AU28" s="51">
        <v>200</v>
      </c>
      <c r="AV28" s="51">
        <v>500000</v>
      </c>
      <c r="AW28" s="51">
        <v>100</v>
      </c>
      <c r="AX28" s="51">
        <v>1000</v>
      </c>
      <c r="AY28" s="51">
        <v>400</v>
      </c>
      <c r="AZ28" s="51">
        <v>60000</v>
      </c>
      <c r="BA28" s="147">
        <v>10000</v>
      </c>
      <c r="BB28" s="12"/>
      <c r="BC28" s="12"/>
      <c r="BD28" s="12"/>
      <c r="BE28" s="12"/>
      <c r="BF28" s="12"/>
      <c r="BG28" s="12"/>
      <c r="BH28" s="12"/>
    </row>
    <row r="29" spans="1:60" ht="15.75" customHeight="1">
      <c r="A29" s="12"/>
      <c r="B29" s="50" t="s">
        <v>338</v>
      </c>
      <c r="C29" s="53">
        <v>1000</v>
      </c>
      <c r="D29" s="51">
        <v>10000</v>
      </c>
      <c r="E29" s="51">
        <v>625</v>
      </c>
      <c r="F29" s="51">
        <v>40</v>
      </c>
      <c r="G29" s="51">
        <v>5000</v>
      </c>
      <c r="H29" s="51">
        <v>9</v>
      </c>
      <c r="I29" s="51">
        <v>48000</v>
      </c>
      <c r="J29" s="51">
        <v>6000</v>
      </c>
      <c r="K29" s="51">
        <v>10000</v>
      </c>
      <c r="L29" s="51">
        <v>34200</v>
      </c>
      <c r="M29" s="51">
        <v>0.9</v>
      </c>
      <c r="N29" s="51">
        <v>14000</v>
      </c>
      <c r="O29" s="51">
        <v>8100</v>
      </c>
      <c r="P29" s="51">
        <v>10</v>
      </c>
      <c r="Q29" s="51">
        <v>12000</v>
      </c>
      <c r="R29" s="51">
        <v>6000</v>
      </c>
      <c r="S29" s="51">
        <v>21000</v>
      </c>
      <c r="T29" s="51">
        <v>16000</v>
      </c>
      <c r="U29" s="51">
        <v>2500</v>
      </c>
      <c r="V29" s="51">
        <v>1500</v>
      </c>
      <c r="W29" s="51">
        <v>40000</v>
      </c>
      <c r="X29" s="51">
        <v>50</v>
      </c>
      <c r="Y29" s="51">
        <v>60000</v>
      </c>
      <c r="Z29" s="51">
        <v>600</v>
      </c>
      <c r="AA29" s="51">
        <v>40</v>
      </c>
      <c r="AB29" s="51">
        <v>4000</v>
      </c>
      <c r="AC29" s="51">
        <v>2.5</v>
      </c>
      <c r="AD29" s="51">
        <v>1</v>
      </c>
      <c r="AE29" s="51">
        <v>25</v>
      </c>
      <c r="AF29" s="51">
        <v>40000</v>
      </c>
      <c r="AG29" s="51">
        <v>30</v>
      </c>
      <c r="AH29" s="51">
        <v>50</v>
      </c>
      <c r="AI29" s="51">
        <v>15010</v>
      </c>
      <c r="AJ29" s="51">
        <v>10000</v>
      </c>
      <c r="AK29" s="51">
        <v>30</v>
      </c>
      <c r="AL29" s="51">
        <v>1</v>
      </c>
      <c r="AM29" s="51">
        <v>1</v>
      </c>
      <c r="AN29" s="51">
        <v>10</v>
      </c>
      <c r="AO29" s="51">
        <v>1</v>
      </c>
      <c r="AP29" s="51">
        <v>1</v>
      </c>
      <c r="AQ29" s="51">
        <v>1</v>
      </c>
      <c r="AR29" s="51">
        <v>1</v>
      </c>
      <c r="AS29" s="51">
        <v>1000</v>
      </c>
      <c r="AT29" s="51">
        <v>25</v>
      </c>
      <c r="AU29" s="51">
        <v>100</v>
      </c>
      <c r="AV29" s="51">
        <v>25000</v>
      </c>
      <c r="AW29" s="51">
        <v>5</v>
      </c>
      <c r="AX29" s="51">
        <v>50</v>
      </c>
      <c r="AY29" s="51">
        <v>10</v>
      </c>
      <c r="AZ29" s="51">
        <v>60000</v>
      </c>
      <c r="BA29" s="147">
        <v>1000</v>
      </c>
      <c r="BB29" s="12"/>
      <c r="BC29" s="12"/>
      <c r="BD29" s="12"/>
      <c r="BE29" s="12"/>
      <c r="BF29" s="12"/>
      <c r="BG29" s="12"/>
      <c r="BH29" s="12"/>
    </row>
    <row r="30" spans="1:60" ht="15.75" customHeight="1">
      <c r="A30" s="12"/>
      <c r="B30" s="70"/>
      <c r="C30" s="71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80"/>
      <c r="BB30" s="12"/>
      <c r="BC30" s="12"/>
      <c r="BD30" s="12"/>
      <c r="BE30" s="12"/>
      <c r="BF30" s="12"/>
      <c r="BG30" s="12"/>
      <c r="BH30" s="12"/>
    </row>
    <row r="31" spans="1:60" ht="42">
      <c r="A31" s="148">
        <v>1</v>
      </c>
      <c r="B31" s="149" t="s">
        <v>339</v>
      </c>
      <c r="C31" s="150" t="str">
        <f t="shared" ref="C31:AY31" si="1">C4</f>
        <v>Huuuge Casino</v>
      </c>
      <c r="D31" s="151" t="str">
        <f t="shared" si="1"/>
        <v>DoubleDown</v>
      </c>
      <c r="E31" s="151" t="str">
        <f t="shared" si="1"/>
        <v>Big Fish Casino</v>
      </c>
      <c r="F31" s="151" t="str">
        <f t="shared" si="1"/>
        <v>GSN Casino</v>
      </c>
      <c r="G31" s="151" t="str">
        <f t="shared" si="1"/>
        <v>Heart of Vegas</v>
      </c>
      <c r="H31" s="151" t="str">
        <f t="shared" si="1"/>
        <v>House of Fun</v>
      </c>
      <c r="I31" s="151" t="str">
        <f t="shared" si="1"/>
        <v>Jackpot Party HD</v>
      </c>
      <c r="J31" s="151" t="str">
        <f t="shared" si="1"/>
        <v>DoubleU Casino</v>
      </c>
      <c r="K31" s="151" t="str">
        <f t="shared" si="1"/>
        <v>Wizard of Oz</v>
      </c>
      <c r="L31" s="151" t="str">
        <f t="shared" si="1"/>
        <v>Hit It Rich</v>
      </c>
      <c r="M31" s="151" t="str">
        <f t="shared" si="1"/>
        <v>Slotomania HD</v>
      </c>
      <c r="N31" s="151" t="str">
        <f t="shared" si="1"/>
        <v>Gold Fish HD</v>
      </c>
      <c r="O31" s="151" t="str">
        <f t="shared" si="1"/>
        <v>Quick Hit Slots</v>
      </c>
      <c r="P31" s="151" t="str">
        <f t="shared" si="1"/>
        <v>Caesars Slots</v>
      </c>
      <c r="Q31" s="151" t="str">
        <f t="shared" si="1"/>
        <v>Wonka Slots</v>
      </c>
      <c r="R31" s="151" t="str">
        <f t="shared" si="1"/>
        <v>my KONAMI</v>
      </c>
      <c r="S31" s="151" t="str">
        <f t="shared" si="1"/>
        <v>Black Diamond Slots</v>
      </c>
      <c r="T31" s="151" t="str">
        <f t="shared" si="1"/>
        <v>Ellen’s Road to Riches</v>
      </c>
      <c r="U31" s="151" t="str">
        <f t="shared" si="1"/>
        <v>Jackpot Magic Slots</v>
      </c>
      <c r="V31" s="151" t="str">
        <f t="shared" si="1"/>
        <v>myVEGAS</v>
      </c>
      <c r="W31" s="151" t="str">
        <f t="shared" si="1"/>
        <v>Scatter Slots</v>
      </c>
      <c r="X31" s="151" t="str">
        <f t="shared" si="1"/>
        <v>Viva Slots Las Vegas</v>
      </c>
      <c r="Y31" s="151" t="str">
        <f t="shared" si="1"/>
        <v>Infinity Slots</v>
      </c>
      <c r="Z31" s="151" t="str">
        <f t="shared" si="1"/>
        <v>POP! Slots</v>
      </c>
      <c r="AA31" s="151" t="str">
        <f t="shared" si="1"/>
        <v>High 5 Casino</v>
      </c>
      <c r="AB31" s="151" t="str">
        <f t="shared" si="1"/>
        <v>Hot Shot Casino</v>
      </c>
      <c r="AC31" s="151" t="str">
        <f t="shared" si="1"/>
        <v>Jackpotjoy Slots</v>
      </c>
      <c r="AD31" s="151" t="str">
        <f t="shared" si="1"/>
        <v>Pharaoh's Way</v>
      </c>
      <c r="AE31" s="151" t="str">
        <f t="shared" si="1"/>
        <v>Slot Bonanza HD</v>
      </c>
      <c r="AF31" s="151" t="str">
        <f t="shared" si="1"/>
        <v>Slots Era</v>
      </c>
      <c r="AG31" s="151" t="str">
        <f t="shared" si="1"/>
        <v>Xtreme Slots</v>
      </c>
      <c r="AH31" s="151" t="str">
        <f t="shared" si="1"/>
        <v>Old Vegas</v>
      </c>
      <c r="AI31" s="151" t="str">
        <f t="shared" si="1"/>
        <v>88 Fortune Slots</v>
      </c>
      <c r="AJ31" s="151" t="str">
        <f t="shared" si="1"/>
        <v>Cashman Casino</v>
      </c>
      <c r="AK31" s="151" t="str">
        <f t="shared" si="1"/>
        <v>Spin to Win Slots</v>
      </c>
      <c r="AL31" s="151" t="str">
        <f t="shared" si="1"/>
        <v>Bingo Bash</v>
      </c>
      <c r="AM31" s="151" t="str">
        <f t="shared" si="1"/>
        <v>Bingo Blitz</v>
      </c>
      <c r="AN31" s="151" t="str">
        <f t="shared" si="1"/>
        <v>Bingo Party</v>
      </c>
      <c r="AO31" s="151" t="str">
        <f t="shared" si="1"/>
        <v>Monopoly Bingo</v>
      </c>
      <c r="AP31" s="151" t="str">
        <f t="shared" si="1"/>
        <v>Bingo Showdown</v>
      </c>
      <c r="AQ31" s="151" t="str">
        <f t="shared" si="1"/>
        <v>Bingo Pop</v>
      </c>
      <c r="AR31" s="151" t="str">
        <f t="shared" si="1"/>
        <v>Bingo Drive</v>
      </c>
      <c r="AS31" s="151" t="str">
        <f t="shared" si="1"/>
        <v>WSOP</v>
      </c>
      <c r="AT31" s="151" t="str">
        <f t="shared" si="1"/>
        <v>Zynga - Texas Holdem</v>
      </c>
      <c r="AU31" s="151" t="str">
        <f t="shared" si="1"/>
        <v>Poker Heat</v>
      </c>
      <c r="AV31" s="151" t="str">
        <f t="shared" si="1"/>
        <v>Scatter HoldEm Poker</v>
      </c>
      <c r="AW31" s="151" t="str">
        <f t="shared" si="1"/>
        <v>Fresh Deck</v>
      </c>
      <c r="AX31" s="151" t="str">
        <f t="shared" si="1"/>
        <v>Pokerist</v>
      </c>
      <c r="AY31" s="151" t="str">
        <f t="shared" si="1"/>
        <v>Texas Holdem</v>
      </c>
      <c r="AZ31" s="151" t="s">
        <v>58</v>
      </c>
      <c r="BA31" s="152" t="str">
        <f>BA4</f>
        <v>Monopoly Slots</v>
      </c>
      <c r="BB31" s="33"/>
      <c r="BC31" s="33"/>
      <c r="BD31" s="33"/>
      <c r="BE31" s="33"/>
      <c r="BF31" s="33"/>
      <c r="BG31" s="33"/>
      <c r="BH31" s="33"/>
    </row>
    <row r="32" spans="1:60" ht="15.75" customHeight="1">
      <c r="A32" s="153">
        <v>2</v>
      </c>
      <c r="B32" s="154" t="s">
        <v>340</v>
      </c>
      <c r="C32" s="144">
        <f t="shared" ref="C32:BA32" si="2">C6/C49</f>
        <v>5.7055555555555557</v>
      </c>
      <c r="D32" s="145">
        <f t="shared" si="2"/>
        <v>8</v>
      </c>
      <c r="E32" s="145">
        <f t="shared" si="2"/>
        <v>9.0909090909090917</v>
      </c>
      <c r="F32" s="145">
        <f t="shared" si="2"/>
        <v>1.0964912280701755</v>
      </c>
      <c r="G32" s="145">
        <f t="shared" si="2"/>
        <v>20</v>
      </c>
      <c r="H32" s="145">
        <f t="shared" si="2"/>
        <v>0.25</v>
      </c>
      <c r="I32" s="145">
        <f t="shared" si="2"/>
        <v>3</v>
      </c>
      <c r="J32" s="145">
        <f t="shared" si="2"/>
        <v>3.3333333333333335</v>
      </c>
      <c r="K32" s="145">
        <f t="shared" si="2"/>
        <v>0.40909090909090912</v>
      </c>
      <c r="L32" s="145">
        <f t="shared" si="2"/>
        <v>16</v>
      </c>
      <c r="M32" s="145">
        <f t="shared" si="2"/>
        <v>3.3333333333333335</v>
      </c>
      <c r="N32" s="145">
        <f t="shared" si="2"/>
        <v>1.6666666666666667</v>
      </c>
      <c r="O32" s="145">
        <f t="shared" si="2"/>
        <v>1.25</v>
      </c>
      <c r="P32" s="145">
        <f t="shared" si="2"/>
        <v>1</v>
      </c>
      <c r="Q32" s="145">
        <f t="shared" si="2"/>
        <v>1.5</v>
      </c>
      <c r="R32" s="145" t="e">
        <f t="shared" si="2"/>
        <v>#REF!</v>
      </c>
      <c r="S32" s="145">
        <f t="shared" si="2"/>
        <v>6</v>
      </c>
      <c r="T32" s="145">
        <f t="shared" si="2"/>
        <v>3.4722222222222223</v>
      </c>
      <c r="U32" s="145">
        <f t="shared" si="2"/>
        <v>5</v>
      </c>
      <c r="V32" s="145">
        <f t="shared" si="2"/>
        <v>0.95238095238095233</v>
      </c>
      <c r="W32" s="145">
        <f t="shared" si="2"/>
        <v>17.475000000000001</v>
      </c>
      <c r="X32" s="145">
        <f t="shared" si="2"/>
        <v>1.3333333333333333</v>
      </c>
      <c r="Y32" s="145">
        <f t="shared" si="2"/>
        <v>1.6666666666666667</v>
      </c>
      <c r="Z32" s="145">
        <f t="shared" si="2"/>
        <v>0.33333333333333331</v>
      </c>
      <c r="AA32" s="145">
        <f t="shared" si="2"/>
        <v>0.34722222222222221</v>
      </c>
      <c r="AB32" s="145">
        <f t="shared" si="2"/>
        <v>4.375</v>
      </c>
      <c r="AC32" s="145">
        <f t="shared" si="2"/>
        <v>8.9791666666666661</v>
      </c>
      <c r="AD32" s="145">
        <f t="shared" si="2"/>
        <v>4.8309178743961354</v>
      </c>
      <c r="AE32" s="145">
        <f t="shared" si="2"/>
        <v>16.018999999999998</v>
      </c>
      <c r="AF32" s="145">
        <f t="shared" si="2"/>
        <v>17.475000000000001</v>
      </c>
      <c r="AG32" s="145">
        <f t="shared" si="2"/>
        <v>1.5496759259259258</v>
      </c>
      <c r="AH32" s="145">
        <f t="shared" si="2"/>
        <v>7.5</v>
      </c>
      <c r="AI32" s="145">
        <f t="shared" si="2"/>
        <v>1.2698412698412698</v>
      </c>
      <c r="AJ32" s="145">
        <f t="shared" si="2"/>
        <v>5</v>
      </c>
      <c r="AK32" s="145">
        <f t="shared" si="2"/>
        <v>0.4</v>
      </c>
      <c r="AL32" s="145">
        <f t="shared" si="2"/>
        <v>5.9776515151515168</v>
      </c>
      <c r="AM32" s="145">
        <f t="shared" si="2"/>
        <v>32.523250000000004</v>
      </c>
      <c r="AN32" s="145">
        <f t="shared" si="2"/>
        <v>16.515384615384615</v>
      </c>
      <c r="AO32" s="145">
        <f t="shared" si="2"/>
        <v>5.8985423197492164</v>
      </c>
      <c r="AP32" s="145">
        <f t="shared" si="2"/>
        <v>3.8151794871794871</v>
      </c>
      <c r="AQ32" s="145">
        <f t="shared" si="2"/>
        <v>25.965</v>
      </c>
      <c r="AR32" s="145">
        <f t="shared" si="2"/>
        <v>16.867000000000001</v>
      </c>
      <c r="AS32" s="145">
        <f t="shared" si="2"/>
        <v>0.2</v>
      </c>
      <c r="AT32" s="145">
        <f t="shared" si="2"/>
        <v>0.34908725812340269</v>
      </c>
      <c r="AU32" s="145">
        <f t="shared" si="2"/>
        <v>0.75</v>
      </c>
      <c r="AV32" s="145">
        <f t="shared" si="2"/>
        <v>5.3233333333333333</v>
      </c>
      <c r="AW32" s="145">
        <f t="shared" si="2"/>
        <v>0.11156666666666666</v>
      </c>
      <c r="AX32" s="145">
        <f t="shared" si="2"/>
        <v>0.2545</v>
      </c>
      <c r="AY32" s="145">
        <f t="shared" si="2"/>
        <v>0.02</v>
      </c>
      <c r="AZ32" s="145">
        <f t="shared" si="2"/>
        <v>6.658666666666667</v>
      </c>
      <c r="BA32" s="146">
        <f t="shared" si="2"/>
        <v>2.2222222222222223</v>
      </c>
      <c r="BB32" s="155"/>
      <c r="BC32" s="155"/>
      <c r="BD32" s="155"/>
      <c r="BE32" s="155"/>
      <c r="BF32" s="155"/>
      <c r="BG32" s="155"/>
      <c r="BH32" s="155"/>
    </row>
    <row r="33" spans="1:60" ht="15.75" customHeight="1">
      <c r="A33" s="153">
        <v>3</v>
      </c>
      <c r="B33" s="154"/>
      <c r="C33" s="71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80"/>
      <c r="BB33" s="12"/>
      <c r="BC33" s="12"/>
      <c r="BD33" s="12"/>
      <c r="BE33" s="12"/>
      <c r="BF33" s="12"/>
      <c r="BG33" s="12"/>
      <c r="BH33" s="12"/>
    </row>
    <row r="34" spans="1:60" ht="15.75" customHeight="1">
      <c r="A34" s="153">
        <v>4</v>
      </c>
      <c r="B34" s="154" t="s">
        <v>341</v>
      </c>
      <c r="C34" s="53">
        <f t="shared" ref="C34:BA34" si="3">C10*C11</f>
        <v>808000</v>
      </c>
      <c r="D34" s="51">
        <f t="shared" si="3"/>
        <v>178000</v>
      </c>
      <c r="E34" s="51">
        <f t="shared" si="3"/>
        <v>42600</v>
      </c>
      <c r="F34" s="51">
        <f t="shared" si="3"/>
        <v>10890</v>
      </c>
      <c r="G34" s="51">
        <f t="shared" si="3"/>
        <v>41800</v>
      </c>
      <c r="H34" s="51">
        <f t="shared" si="3"/>
        <v>420</v>
      </c>
      <c r="I34" s="51">
        <f t="shared" si="3"/>
        <v>1002400</v>
      </c>
      <c r="J34" s="51">
        <f t="shared" si="3"/>
        <v>172400</v>
      </c>
      <c r="K34" s="51">
        <f t="shared" si="3"/>
        <v>361000</v>
      </c>
      <c r="L34" s="51">
        <f t="shared" si="3"/>
        <v>130000</v>
      </c>
      <c r="M34" s="51">
        <f t="shared" si="3"/>
        <v>780</v>
      </c>
      <c r="N34" s="51">
        <f t="shared" si="3"/>
        <v>1252500</v>
      </c>
      <c r="O34" s="51">
        <f t="shared" si="3"/>
        <v>188260</v>
      </c>
      <c r="P34" s="51">
        <f t="shared" si="3"/>
        <v>7500</v>
      </c>
      <c r="Q34" s="51">
        <f t="shared" si="3"/>
        <v>314000</v>
      </c>
      <c r="R34" s="51">
        <f t="shared" si="3"/>
        <v>40208.6</v>
      </c>
      <c r="S34" s="51">
        <f t="shared" si="3"/>
        <v>1200000</v>
      </c>
      <c r="T34" s="51">
        <f t="shared" si="3"/>
        <v>1280000</v>
      </c>
      <c r="U34" s="51">
        <f t="shared" si="3"/>
        <v>390000</v>
      </c>
      <c r="V34" s="51">
        <f t="shared" si="3"/>
        <v>0</v>
      </c>
      <c r="W34" s="51">
        <f t="shared" si="3"/>
        <v>360000</v>
      </c>
      <c r="X34" s="51">
        <f t="shared" si="3"/>
        <v>1500</v>
      </c>
      <c r="Y34" s="51">
        <f t="shared" si="3"/>
        <v>1700000</v>
      </c>
      <c r="Z34" s="51">
        <f t="shared" si="3"/>
        <v>30000</v>
      </c>
      <c r="AA34" s="51">
        <f t="shared" si="3"/>
        <v>1220</v>
      </c>
      <c r="AB34" s="51">
        <f t="shared" si="3"/>
        <v>94500</v>
      </c>
      <c r="AC34" s="51">
        <f t="shared" si="3"/>
        <v>486.8</v>
      </c>
      <c r="AD34" s="51">
        <f t="shared" si="3"/>
        <v>6820</v>
      </c>
      <c r="AE34" s="51">
        <f t="shared" si="3"/>
        <v>1000</v>
      </c>
      <c r="AF34" s="51">
        <f t="shared" si="3"/>
        <v>462000</v>
      </c>
      <c r="AG34" s="51">
        <f t="shared" si="3"/>
        <v>560</v>
      </c>
      <c r="AH34" s="51">
        <f t="shared" si="3"/>
        <v>3400</v>
      </c>
      <c r="AI34" s="51">
        <f t="shared" si="3"/>
        <v>514000</v>
      </c>
      <c r="AJ34" s="51">
        <f t="shared" si="3"/>
        <v>222000</v>
      </c>
      <c r="AK34" s="51">
        <f t="shared" si="3"/>
        <v>30000</v>
      </c>
      <c r="AL34" s="51">
        <f t="shared" si="3"/>
        <v>7.4848636363636372</v>
      </c>
      <c r="AM34" s="51">
        <f t="shared" si="3"/>
        <v>55.204000000000008</v>
      </c>
      <c r="AN34" s="51">
        <f t="shared" si="3"/>
        <v>226.76923076923077</v>
      </c>
      <c r="AO34" s="51">
        <f t="shared" si="3"/>
        <v>20</v>
      </c>
      <c r="AP34" s="51">
        <f t="shared" si="3"/>
        <v>3.8919466666666667</v>
      </c>
      <c r="AQ34" s="51">
        <f t="shared" si="3"/>
        <v>14</v>
      </c>
      <c r="AR34" s="51">
        <f t="shared" si="3"/>
        <v>16.396000000000001</v>
      </c>
      <c r="AS34" s="51">
        <f t="shared" si="3"/>
        <v>265000</v>
      </c>
      <c r="AT34" s="51">
        <f t="shared" si="3"/>
        <v>366045</v>
      </c>
      <c r="AU34" s="51">
        <f t="shared" si="3"/>
        <v>1000</v>
      </c>
      <c r="AV34" s="51">
        <f t="shared" si="3"/>
        <v>66000</v>
      </c>
      <c r="AW34" s="51">
        <f t="shared" si="3"/>
        <v>35500</v>
      </c>
      <c r="AX34" s="51">
        <f t="shared" si="3"/>
        <v>5400</v>
      </c>
      <c r="AY34" s="51">
        <f t="shared" si="3"/>
        <v>522</v>
      </c>
      <c r="AZ34" s="51">
        <f t="shared" si="3"/>
        <v>1135157.2</v>
      </c>
      <c r="BA34" s="64">
        <f t="shared" si="3"/>
        <v>50000</v>
      </c>
      <c r="BB34" s="155"/>
      <c r="BC34" s="155"/>
      <c r="BD34" s="155"/>
      <c r="BE34" s="155"/>
      <c r="BF34" s="155"/>
      <c r="BG34" s="155"/>
      <c r="BH34" s="155"/>
    </row>
    <row r="35" spans="1:60" ht="15.75" customHeight="1">
      <c r="A35" s="153">
        <v>5</v>
      </c>
      <c r="B35" s="154" t="s">
        <v>342</v>
      </c>
      <c r="C35" s="144">
        <f t="shared" ref="C35:BA35" si="4">C34/C$49</f>
        <v>0.44888888888888889</v>
      </c>
      <c r="D35" s="145">
        <f t="shared" si="4"/>
        <v>1.4239999999999999</v>
      </c>
      <c r="E35" s="145">
        <f t="shared" si="4"/>
        <v>3.8727272727272726</v>
      </c>
      <c r="F35" s="145">
        <f t="shared" si="4"/>
        <v>0.95526315789473681</v>
      </c>
      <c r="G35" s="145">
        <f t="shared" si="4"/>
        <v>0.41799999999999998</v>
      </c>
      <c r="H35" s="145">
        <f t="shared" si="4"/>
        <v>0.105</v>
      </c>
      <c r="I35" s="145">
        <f t="shared" si="4"/>
        <v>0.50119999999999998</v>
      </c>
      <c r="J35" s="145">
        <f t="shared" si="4"/>
        <v>0.57466666666666666</v>
      </c>
      <c r="K35" s="145">
        <f t="shared" si="4"/>
        <v>3.2818181818181816E-2</v>
      </c>
      <c r="L35" s="145">
        <f t="shared" si="4"/>
        <v>1.368421052631579</v>
      </c>
      <c r="M35" s="145">
        <f t="shared" si="4"/>
        <v>0.26</v>
      </c>
      <c r="N35" s="145">
        <f t="shared" si="4"/>
        <v>2.0874999999999999</v>
      </c>
      <c r="O35" s="145">
        <f t="shared" si="4"/>
        <v>0.18826000000000001</v>
      </c>
      <c r="P35" s="145">
        <f t="shared" si="4"/>
        <v>0.1875</v>
      </c>
      <c r="Q35" s="145">
        <f t="shared" si="4"/>
        <v>0.26166666666666666</v>
      </c>
      <c r="R35" s="145">
        <f t="shared" si="4"/>
        <v>0.16753583333333333</v>
      </c>
      <c r="S35" s="145">
        <f t="shared" si="4"/>
        <v>1.2</v>
      </c>
      <c r="T35" s="145">
        <f t="shared" si="4"/>
        <v>0.88888888888888884</v>
      </c>
      <c r="U35" s="145">
        <f t="shared" si="4"/>
        <v>1.95</v>
      </c>
      <c r="V35" s="145">
        <f t="shared" si="4"/>
        <v>0</v>
      </c>
      <c r="W35" s="145">
        <f t="shared" si="4"/>
        <v>0.15</v>
      </c>
      <c r="X35" s="145">
        <f t="shared" si="4"/>
        <v>1</v>
      </c>
      <c r="Y35" s="145">
        <f t="shared" si="4"/>
        <v>0.94444444444444442</v>
      </c>
      <c r="Z35" s="145">
        <f t="shared" si="4"/>
        <v>0.33333333333333331</v>
      </c>
      <c r="AA35" s="145">
        <f t="shared" si="4"/>
        <v>4.2361111111111113E-2</v>
      </c>
      <c r="AB35" s="145">
        <f t="shared" si="4"/>
        <v>0.29531249999999998</v>
      </c>
      <c r="AC35" s="145">
        <f t="shared" si="4"/>
        <v>1.3522222222222222E-2</v>
      </c>
      <c r="AD35" s="145">
        <f t="shared" si="4"/>
        <v>0.82367149758454106</v>
      </c>
      <c r="AE35" s="145">
        <f t="shared" si="4"/>
        <v>0.2</v>
      </c>
      <c r="AF35" s="145">
        <f t="shared" si="4"/>
        <v>0.1925</v>
      </c>
      <c r="AG35" s="145">
        <f t="shared" si="4"/>
        <v>0.1728395061728395</v>
      </c>
      <c r="AH35" s="145">
        <f t="shared" si="4"/>
        <v>1.7</v>
      </c>
      <c r="AI35" s="145">
        <f t="shared" si="4"/>
        <v>0.32634920634920633</v>
      </c>
      <c r="AJ35" s="145">
        <f t="shared" si="4"/>
        <v>0.55500000000000005</v>
      </c>
      <c r="AK35" s="145">
        <f t="shared" si="4"/>
        <v>0.06</v>
      </c>
      <c r="AL35" s="145">
        <f t="shared" si="4"/>
        <v>0.49899090909090915</v>
      </c>
      <c r="AM35" s="145">
        <f t="shared" si="4"/>
        <v>2.7602000000000002</v>
      </c>
      <c r="AN35" s="145">
        <f t="shared" si="4"/>
        <v>2.2676923076923079</v>
      </c>
      <c r="AO35" s="145">
        <f t="shared" si="4"/>
        <v>3.0303030303030303</v>
      </c>
      <c r="AP35" s="145">
        <f t="shared" si="4"/>
        <v>0.37422564102564099</v>
      </c>
      <c r="AQ35" s="145">
        <f t="shared" si="4"/>
        <v>1.75</v>
      </c>
      <c r="AR35" s="145">
        <f t="shared" si="4"/>
        <v>1.6396000000000002</v>
      </c>
      <c r="AS35" s="145">
        <f t="shared" si="4"/>
        <v>0.21199999999999999</v>
      </c>
      <c r="AT35" s="145">
        <f t="shared" si="4"/>
        <v>0.22184545454545454</v>
      </c>
      <c r="AU35" s="145">
        <f t="shared" si="4"/>
        <v>0.05</v>
      </c>
      <c r="AV35" s="145">
        <f t="shared" si="4"/>
        <v>2.1999999999999999E-2</v>
      </c>
      <c r="AW35" s="145">
        <f t="shared" si="4"/>
        <v>1.1833333333333333E-2</v>
      </c>
      <c r="AX35" s="145">
        <f t="shared" si="4"/>
        <v>5.4000000000000003E-3</v>
      </c>
      <c r="AY35" s="145">
        <f t="shared" si="4"/>
        <v>1.3050000000000001E-2</v>
      </c>
      <c r="AZ35" s="145">
        <f t="shared" si="4"/>
        <v>0.75677146666666661</v>
      </c>
      <c r="BA35" s="146">
        <f t="shared" si="4"/>
        <v>0.27777777777777779</v>
      </c>
      <c r="BB35" s="155"/>
      <c r="BC35" s="155"/>
      <c r="BD35" s="155"/>
      <c r="BE35" s="155"/>
      <c r="BF35" s="155"/>
      <c r="BG35" s="155"/>
      <c r="BH35" s="155"/>
    </row>
    <row r="36" spans="1:60" ht="15.75" customHeight="1">
      <c r="A36" s="153">
        <v>6</v>
      </c>
      <c r="B36" s="154"/>
      <c r="C36" s="144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6"/>
      <c r="BB36" s="12"/>
      <c r="BC36" s="12"/>
      <c r="BD36" s="12"/>
      <c r="BE36" s="12"/>
      <c r="BF36" s="12"/>
      <c r="BG36" s="12"/>
      <c r="BH36" s="12"/>
    </row>
    <row r="37" spans="1:60" ht="15.75" customHeight="1">
      <c r="A37" s="153">
        <v>7</v>
      </c>
      <c r="B37" s="154" t="s">
        <v>343</v>
      </c>
      <c r="C37" s="53">
        <f t="shared" ref="C37:BA37" si="5">C14*C15</f>
        <v>100000</v>
      </c>
      <c r="D37" s="51">
        <f t="shared" si="5"/>
        <v>0</v>
      </c>
      <c r="E37" s="51">
        <f t="shared" si="5"/>
        <v>7350</v>
      </c>
      <c r="F37" s="51">
        <f t="shared" si="5"/>
        <v>23280</v>
      </c>
      <c r="G37" s="51">
        <f t="shared" si="5"/>
        <v>40000</v>
      </c>
      <c r="H37" s="51">
        <f t="shared" si="5"/>
        <v>500</v>
      </c>
      <c r="I37" s="51">
        <f t="shared" si="5"/>
        <v>200000</v>
      </c>
      <c r="J37" s="51">
        <f t="shared" si="5"/>
        <v>82000</v>
      </c>
      <c r="K37" s="51">
        <f t="shared" si="5"/>
        <v>600000</v>
      </c>
      <c r="L37" s="51">
        <f t="shared" si="5"/>
        <v>972000</v>
      </c>
      <c r="M37" s="51">
        <f t="shared" si="5"/>
        <v>1000</v>
      </c>
      <c r="N37" s="51">
        <f t="shared" si="5"/>
        <v>550000</v>
      </c>
      <c r="O37" s="51">
        <f t="shared" si="5"/>
        <v>136000</v>
      </c>
      <c r="P37" s="51">
        <f t="shared" si="5"/>
        <v>18940</v>
      </c>
      <c r="Q37" s="51">
        <f t="shared" si="5"/>
        <v>3352000</v>
      </c>
      <c r="R37" s="51">
        <f t="shared" si="5"/>
        <v>8000</v>
      </c>
      <c r="S37" s="51">
        <f t="shared" si="5"/>
        <v>300000</v>
      </c>
      <c r="T37" s="51">
        <f t="shared" si="5"/>
        <v>0</v>
      </c>
      <c r="U37" s="51">
        <f t="shared" si="5"/>
        <v>188750</v>
      </c>
      <c r="V37" s="51">
        <f t="shared" si="5"/>
        <v>2000</v>
      </c>
      <c r="W37" s="51">
        <f t="shared" si="5"/>
        <v>3929600</v>
      </c>
      <c r="X37" s="51">
        <f t="shared" si="5"/>
        <v>2000</v>
      </c>
      <c r="Y37" s="51">
        <f t="shared" si="5"/>
        <v>1618750</v>
      </c>
      <c r="Z37" s="51">
        <f t="shared" si="5"/>
        <v>15000</v>
      </c>
      <c r="AA37" s="51">
        <f t="shared" si="5"/>
        <v>60</v>
      </c>
      <c r="AB37" s="51">
        <f t="shared" si="5"/>
        <v>160000</v>
      </c>
      <c r="AC37" s="51">
        <f t="shared" si="5"/>
        <v>200</v>
      </c>
      <c r="AD37" s="51">
        <f t="shared" si="5"/>
        <v>4140</v>
      </c>
      <c r="AE37" s="51">
        <f t="shared" si="5"/>
        <v>2000</v>
      </c>
      <c r="AF37" s="51">
        <f t="shared" si="5"/>
        <v>5660000</v>
      </c>
      <c r="AG37" s="51">
        <f t="shared" si="5"/>
        <v>1000</v>
      </c>
      <c r="AH37" s="51">
        <f t="shared" si="5"/>
        <v>400</v>
      </c>
      <c r="AI37" s="51">
        <f t="shared" si="5"/>
        <v>300000</v>
      </c>
      <c r="AJ37" s="51">
        <f t="shared" si="5"/>
        <v>50666.666666666664</v>
      </c>
      <c r="AK37" s="51">
        <f t="shared" si="5"/>
        <v>268000</v>
      </c>
      <c r="AL37" s="51">
        <f t="shared" si="5"/>
        <v>16</v>
      </c>
      <c r="AM37" s="51">
        <f t="shared" si="5"/>
        <v>20.995999999999999</v>
      </c>
      <c r="AN37" s="51">
        <f t="shared" si="5"/>
        <v>0</v>
      </c>
      <c r="AO37" s="51">
        <f t="shared" si="5"/>
        <v>1.37225</v>
      </c>
      <c r="AP37" s="51">
        <f t="shared" si="5"/>
        <v>7</v>
      </c>
      <c r="AQ37" s="51">
        <f t="shared" si="5"/>
        <v>0</v>
      </c>
      <c r="AR37" s="51">
        <f t="shared" si="5"/>
        <v>22.990000000000002</v>
      </c>
      <c r="AS37" s="51">
        <f t="shared" si="5"/>
        <v>50000</v>
      </c>
      <c r="AT37" s="51">
        <f t="shared" si="5"/>
        <v>0</v>
      </c>
      <c r="AU37" s="51">
        <f t="shared" si="5"/>
        <v>7440</v>
      </c>
      <c r="AV37" s="51">
        <f t="shared" si="5"/>
        <v>4090000</v>
      </c>
      <c r="AW37" s="51">
        <f t="shared" si="5"/>
        <v>22400</v>
      </c>
      <c r="AX37" s="51">
        <f t="shared" si="5"/>
        <v>0</v>
      </c>
      <c r="AY37" s="51">
        <f t="shared" si="5"/>
        <v>0</v>
      </c>
      <c r="AZ37" s="51">
        <f t="shared" si="5"/>
        <v>330000</v>
      </c>
      <c r="BA37" s="64">
        <f t="shared" si="5"/>
        <v>50000</v>
      </c>
      <c r="BB37" s="12"/>
      <c r="BC37" s="12"/>
      <c r="BD37" s="12"/>
      <c r="BE37" s="12"/>
      <c r="BF37" s="12"/>
      <c r="BG37" s="12"/>
      <c r="BH37" s="12"/>
    </row>
    <row r="38" spans="1:60" ht="15.75" customHeight="1">
      <c r="A38" s="153">
        <v>8</v>
      </c>
      <c r="B38" s="154" t="s">
        <v>344</v>
      </c>
      <c r="C38" s="144">
        <f t="shared" ref="C38:BA38" si="6">C37/C$49</f>
        <v>5.5555555555555552E-2</v>
      </c>
      <c r="D38" s="145">
        <f t="shared" si="6"/>
        <v>0</v>
      </c>
      <c r="E38" s="145">
        <f t="shared" si="6"/>
        <v>0.66818181818181821</v>
      </c>
      <c r="F38" s="145">
        <f t="shared" si="6"/>
        <v>2.0421052631578949</v>
      </c>
      <c r="G38" s="145">
        <f t="shared" si="6"/>
        <v>0.4</v>
      </c>
      <c r="H38" s="145">
        <f t="shared" si="6"/>
        <v>0.125</v>
      </c>
      <c r="I38" s="145">
        <f t="shared" si="6"/>
        <v>0.1</v>
      </c>
      <c r="J38" s="145">
        <f t="shared" si="6"/>
        <v>0.27333333333333332</v>
      </c>
      <c r="K38" s="145">
        <f t="shared" si="6"/>
        <v>5.4545454545454543E-2</v>
      </c>
      <c r="L38" s="145">
        <f t="shared" si="6"/>
        <v>10.231578947368421</v>
      </c>
      <c r="M38" s="145">
        <f t="shared" si="6"/>
        <v>0.33333333333333331</v>
      </c>
      <c r="N38" s="145">
        <f t="shared" si="6"/>
        <v>0.91666666666666663</v>
      </c>
      <c r="O38" s="145">
        <f t="shared" si="6"/>
        <v>0.13600000000000001</v>
      </c>
      <c r="P38" s="145">
        <f t="shared" si="6"/>
        <v>0.47349999999999998</v>
      </c>
      <c r="Q38" s="145">
        <f t="shared" si="6"/>
        <v>2.7933333333333334</v>
      </c>
      <c r="R38" s="145">
        <f t="shared" si="6"/>
        <v>3.3333333333333333E-2</v>
      </c>
      <c r="S38" s="145">
        <f t="shared" si="6"/>
        <v>0.3</v>
      </c>
      <c r="T38" s="145">
        <f t="shared" si="6"/>
        <v>0</v>
      </c>
      <c r="U38" s="145">
        <f t="shared" si="6"/>
        <v>0.94374999999999998</v>
      </c>
      <c r="V38" s="145">
        <f t="shared" si="6"/>
        <v>3.8095238095238099E-2</v>
      </c>
      <c r="W38" s="145">
        <f t="shared" si="6"/>
        <v>1.6373333333333333</v>
      </c>
      <c r="X38" s="145">
        <f t="shared" si="6"/>
        <v>1.3333333333333333</v>
      </c>
      <c r="Y38" s="145">
        <f t="shared" si="6"/>
        <v>0.89930555555555558</v>
      </c>
      <c r="Z38" s="145">
        <f t="shared" si="6"/>
        <v>0.16666666666666666</v>
      </c>
      <c r="AA38" s="145">
        <f t="shared" si="6"/>
        <v>2.0833333333333333E-3</v>
      </c>
      <c r="AB38" s="145">
        <f t="shared" si="6"/>
        <v>0.5</v>
      </c>
      <c r="AC38" s="145">
        <f t="shared" si="6"/>
        <v>5.5555555555555558E-3</v>
      </c>
      <c r="AD38" s="145">
        <f t="shared" si="6"/>
        <v>0.5</v>
      </c>
      <c r="AE38" s="145">
        <f t="shared" si="6"/>
        <v>0.4</v>
      </c>
      <c r="AF38" s="145">
        <f t="shared" si="6"/>
        <v>2.3583333333333334</v>
      </c>
      <c r="AG38" s="145">
        <f t="shared" si="6"/>
        <v>0.30864197530864196</v>
      </c>
      <c r="AH38" s="145">
        <f t="shared" si="6"/>
        <v>0.2</v>
      </c>
      <c r="AI38" s="145">
        <f t="shared" si="6"/>
        <v>0.19047619047619047</v>
      </c>
      <c r="AJ38" s="145">
        <f t="shared" si="6"/>
        <v>0.12666666666666665</v>
      </c>
      <c r="AK38" s="145">
        <f t="shared" si="6"/>
        <v>0.53600000000000003</v>
      </c>
      <c r="AL38" s="145">
        <f t="shared" si="6"/>
        <v>1.0666666666666667</v>
      </c>
      <c r="AM38" s="145">
        <f t="shared" si="6"/>
        <v>1.0497999999999998</v>
      </c>
      <c r="AN38" s="145">
        <f t="shared" si="6"/>
        <v>0</v>
      </c>
      <c r="AO38" s="145">
        <f t="shared" si="6"/>
        <v>0.20791666666666667</v>
      </c>
      <c r="AP38" s="145">
        <f t="shared" si="6"/>
        <v>0.67307692307692302</v>
      </c>
      <c r="AQ38" s="145">
        <f t="shared" si="6"/>
        <v>0</v>
      </c>
      <c r="AR38" s="145">
        <f t="shared" si="6"/>
        <v>2.2990000000000004</v>
      </c>
      <c r="AS38" s="145">
        <f t="shared" si="6"/>
        <v>0.04</v>
      </c>
      <c r="AT38" s="145">
        <f t="shared" si="6"/>
        <v>0</v>
      </c>
      <c r="AU38" s="145">
        <f t="shared" si="6"/>
        <v>0.372</v>
      </c>
      <c r="AV38" s="145">
        <f t="shared" si="6"/>
        <v>1.3633333333333333</v>
      </c>
      <c r="AW38" s="145">
        <f t="shared" si="6"/>
        <v>7.4666666666666666E-3</v>
      </c>
      <c r="AX38" s="145">
        <f t="shared" si="6"/>
        <v>0</v>
      </c>
      <c r="AY38" s="145">
        <f t="shared" si="6"/>
        <v>0</v>
      </c>
      <c r="AZ38" s="145">
        <f t="shared" si="6"/>
        <v>0.22</v>
      </c>
      <c r="BA38" s="146">
        <f t="shared" si="6"/>
        <v>0.27777777777777779</v>
      </c>
      <c r="BB38" s="12"/>
      <c r="BC38" s="12"/>
      <c r="BD38" s="12"/>
      <c r="BE38" s="12"/>
      <c r="BF38" s="12"/>
      <c r="BG38" s="12"/>
      <c r="BH38" s="12"/>
    </row>
    <row r="39" spans="1:60" ht="15.75" customHeight="1">
      <c r="A39" s="153">
        <v>9</v>
      </c>
      <c r="B39" s="154"/>
      <c r="C39" s="71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80"/>
      <c r="BB39" s="12"/>
      <c r="BC39" s="12"/>
      <c r="BD39" s="12"/>
      <c r="BE39" s="12"/>
      <c r="BF39" s="12"/>
      <c r="BG39" s="12"/>
      <c r="BH39" s="12"/>
    </row>
    <row r="40" spans="1:60" ht="15.75" customHeight="1">
      <c r="A40" s="153">
        <v>10</v>
      </c>
      <c r="B40" s="154" t="s">
        <v>345</v>
      </c>
      <c r="C40" s="53">
        <f t="shared" ref="C40:BA40" si="7">C18*C19</f>
        <v>270000</v>
      </c>
      <c r="D40" s="51">
        <f t="shared" si="7"/>
        <v>0</v>
      </c>
      <c r="E40" s="51">
        <f t="shared" si="7"/>
        <v>2500</v>
      </c>
      <c r="F40" s="51">
        <f t="shared" si="7"/>
        <v>0</v>
      </c>
      <c r="G40" s="51">
        <f t="shared" si="7"/>
        <v>0</v>
      </c>
      <c r="H40" s="51">
        <f t="shared" si="7"/>
        <v>186.66666666666666</v>
      </c>
      <c r="I40" s="51">
        <f t="shared" si="7"/>
        <v>0</v>
      </c>
      <c r="J40" s="51">
        <f t="shared" si="7"/>
        <v>484000</v>
      </c>
      <c r="K40" s="51">
        <f t="shared" si="7"/>
        <v>4800000</v>
      </c>
      <c r="L40" s="51">
        <f t="shared" si="7"/>
        <v>0</v>
      </c>
      <c r="M40" s="51">
        <f t="shared" si="7"/>
        <v>638</v>
      </c>
      <c r="N40" s="51">
        <f t="shared" si="7"/>
        <v>500000</v>
      </c>
      <c r="O40" s="51">
        <f t="shared" si="7"/>
        <v>0</v>
      </c>
      <c r="P40" s="51">
        <f t="shared" si="7"/>
        <v>6290</v>
      </c>
      <c r="Q40" s="51">
        <f t="shared" si="7"/>
        <v>2500000</v>
      </c>
      <c r="R40" s="51">
        <f t="shared" si="7"/>
        <v>0</v>
      </c>
      <c r="S40" s="51">
        <f t="shared" si="7"/>
        <v>712857</v>
      </c>
      <c r="T40" s="51">
        <f t="shared" si="7"/>
        <v>0</v>
      </c>
      <c r="U40" s="51">
        <f t="shared" si="7"/>
        <v>87750</v>
      </c>
      <c r="V40" s="51">
        <f t="shared" si="7"/>
        <v>33000</v>
      </c>
      <c r="W40" s="51">
        <f t="shared" si="7"/>
        <v>0</v>
      </c>
      <c r="X40" s="51">
        <f t="shared" si="7"/>
        <v>0</v>
      </c>
      <c r="Y40" s="51">
        <f t="shared" si="7"/>
        <v>800000</v>
      </c>
      <c r="Z40" s="51">
        <f t="shared" si="7"/>
        <v>0</v>
      </c>
      <c r="AA40" s="51">
        <f t="shared" si="7"/>
        <v>0</v>
      </c>
      <c r="AB40" s="51">
        <f t="shared" si="7"/>
        <v>0</v>
      </c>
      <c r="AC40" s="51">
        <f t="shared" si="7"/>
        <v>0</v>
      </c>
      <c r="AD40" s="51">
        <f t="shared" si="7"/>
        <v>0</v>
      </c>
      <c r="AE40" s="51">
        <f t="shared" si="7"/>
        <v>3480</v>
      </c>
      <c r="AF40" s="51">
        <f t="shared" si="7"/>
        <v>0</v>
      </c>
      <c r="AG40" s="51">
        <f t="shared" si="7"/>
        <v>0</v>
      </c>
      <c r="AH40" s="51">
        <f t="shared" si="7"/>
        <v>0</v>
      </c>
      <c r="AI40" s="51">
        <f t="shared" si="7"/>
        <v>0</v>
      </c>
      <c r="AJ40" s="51">
        <f t="shared" si="7"/>
        <v>614400</v>
      </c>
      <c r="AK40" s="51">
        <f t="shared" si="7"/>
        <v>80000</v>
      </c>
      <c r="AL40" s="51">
        <f t="shared" si="7"/>
        <v>0</v>
      </c>
      <c r="AM40" s="51">
        <f t="shared" si="7"/>
        <v>0</v>
      </c>
      <c r="AN40" s="51">
        <f t="shared" si="7"/>
        <v>0</v>
      </c>
      <c r="AO40" s="51">
        <f t="shared" si="7"/>
        <v>0</v>
      </c>
      <c r="AP40" s="51">
        <f t="shared" si="7"/>
        <v>16</v>
      </c>
      <c r="AQ40" s="51">
        <f t="shared" si="7"/>
        <v>0</v>
      </c>
      <c r="AR40" s="51">
        <f t="shared" si="7"/>
        <v>0</v>
      </c>
      <c r="AS40" s="51">
        <f t="shared" si="7"/>
        <v>0</v>
      </c>
      <c r="AT40" s="51">
        <f t="shared" si="7"/>
        <v>0</v>
      </c>
      <c r="AU40" s="51">
        <f t="shared" si="7"/>
        <v>4100</v>
      </c>
      <c r="AV40" s="51">
        <f t="shared" si="7"/>
        <v>368800</v>
      </c>
      <c r="AW40" s="51">
        <f t="shared" si="7"/>
        <v>20000</v>
      </c>
      <c r="AX40" s="51">
        <f t="shared" si="7"/>
        <v>0</v>
      </c>
      <c r="AY40" s="51">
        <f t="shared" si="7"/>
        <v>0</v>
      </c>
      <c r="AZ40" s="51">
        <f t="shared" si="7"/>
        <v>0</v>
      </c>
      <c r="BA40" s="64">
        <f t="shared" si="7"/>
        <v>0</v>
      </c>
      <c r="BB40" s="12"/>
      <c r="BC40" s="12"/>
      <c r="BD40" s="12"/>
      <c r="BE40" s="12"/>
      <c r="BF40" s="12"/>
      <c r="BG40" s="12"/>
      <c r="BH40" s="12"/>
    </row>
    <row r="41" spans="1:60" ht="15.75" customHeight="1">
      <c r="A41" s="153">
        <v>11</v>
      </c>
      <c r="B41" s="154" t="s">
        <v>346</v>
      </c>
      <c r="C41" s="144">
        <f t="shared" ref="C41:BA41" si="8">C40/C$49</f>
        <v>0.15</v>
      </c>
      <c r="D41" s="145">
        <f t="shared" si="8"/>
        <v>0</v>
      </c>
      <c r="E41" s="145">
        <f t="shared" si="8"/>
        <v>0.22727272727272727</v>
      </c>
      <c r="F41" s="145">
        <f t="shared" si="8"/>
        <v>0</v>
      </c>
      <c r="G41" s="145">
        <f t="shared" si="8"/>
        <v>0</v>
      </c>
      <c r="H41" s="145">
        <f t="shared" si="8"/>
        <v>4.6666666666666662E-2</v>
      </c>
      <c r="I41" s="145">
        <f t="shared" si="8"/>
        <v>0</v>
      </c>
      <c r="J41" s="145">
        <f t="shared" si="8"/>
        <v>1.6133333333333333</v>
      </c>
      <c r="K41" s="145">
        <f t="shared" si="8"/>
        <v>0.43636363636363634</v>
      </c>
      <c r="L41" s="145">
        <f t="shared" si="8"/>
        <v>0</v>
      </c>
      <c r="M41" s="145">
        <f t="shared" si="8"/>
        <v>0.21266666666666667</v>
      </c>
      <c r="N41" s="145">
        <f t="shared" si="8"/>
        <v>0.83333333333333337</v>
      </c>
      <c r="O41" s="145">
        <f t="shared" si="8"/>
        <v>0</v>
      </c>
      <c r="P41" s="145">
        <f t="shared" si="8"/>
        <v>0.15725</v>
      </c>
      <c r="Q41" s="145">
        <f t="shared" si="8"/>
        <v>2.0833333333333335</v>
      </c>
      <c r="R41" s="145">
        <f t="shared" si="8"/>
        <v>0</v>
      </c>
      <c r="S41" s="145">
        <f t="shared" si="8"/>
        <v>0.71285699999999996</v>
      </c>
      <c r="T41" s="145">
        <f t="shared" si="8"/>
        <v>0</v>
      </c>
      <c r="U41" s="145">
        <f t="shared" si="8"/>
        <v>0.43874999999999997</v>
      </c>
      <c r="V41" s="145">
        <f t="shared" si="8"/>
        <v>0.62857142857142856</v>
      </c>
      <c r="W41" s="145">
        <f t="shared" si="8"/>
        <v>0</v>
      </c>
      <c r="X41" s="145">
        <f t="shared" si="8"/>
        <v>0</v>
      </c>
      <c r="Y41" s="145">
        <f t="shared" si="8"/>
        <v>0.44444444444444442</v>
      </c>
      <c r="Z41" s="145">
        <f t="shared" si="8"/>
        <v>0</v>
      </c>
      <c r="AA41" s="145">
        <f t="shared" si="8"/>
        <v>0</v>
      </c>
      <c r="AB41" s="145">
        <f t="shared" si="8"/>
        <v>0</v>
      </c>
      <c r="AC41" s="145">
        <f t="shared" si="8"/>
        <v>0</v>
      </c>
      <c r="AD41" s="145">
        <f t="shared" si="8"/>
        <v>0</v>
      </c>
      <c r="AE41" s="145">
        <f t="shared" si="8"/>
        <v>0.69599999999999995</v>
      </c>
      <c r="AF41" s="145">
        <f t="shared" si="8"/>
        <v>0</v>
      </c>
      <c r="AG41" s="145">
        <f t="shared" si="8"/>
        <v>0</v>
      </c>
      <c r="AH41" s="145">
        <f t="shared" si="8"/>
        <v>0</v>
      </c>
      <c r="AI41" s="145">
        <f t="shared" si="8"/>
        <v>0</v>
      </c>
      <c r="AJ41" s="145">
        <f t="shared" si="8"/>
        <v>1.536</v>
      </c>
      <c r="AK41" s="145">
        <f t="shared" si="8"/>
        <v>0.16</v>
      </c>
      <c r="AL41" s="145">
        <f t="shared" si="8"/>
        <v>0</v>
      </c>
      <c r="AM41" s="145">
        <f t="shared" si="8"/>
        <v>0</v>
      </c>
      <c r="AN41" s="145">
        <f t="shared" si="8"/>
        <v>0</v>
      </c>
      <c r="AO41" s="145">
        <f t="shared" si="8"/>
        <v>0</v>
      </c>
      <c r="AP41" s="145">
        <f t="shared" si="8"/>
        <v>1.5384615384615383</v>
      </c>
      <c r="AQ41" s="145">
        <f t="shared" si="8"/>
        <v>0</v>
      </c>
      <c r="AR41" s="145">
        <f t="shared" si="8"/>
        <v>0</v>
      </c>
      <c r="AS41" s="145">
        <f t="shared" si="8"/>
        <v>0</v>
      </c>
      <c r="AT41" s="145">
        <f t="shared" si="8"/>
        <v>0</v>
      </c>
      <c r="AU41" s="145">
        <f t="shared" si="8"/>
        <v>0.20499999999999999</v>
      </c>
      <c r="AV41" s="145">
        <f t="shared" si="8"/>
        <v>0.12293333333333334</v>
      </c>
      <c r="AW41" s="145">
        <f t="shared" si="8"/>
        <v>6.6666666666666671E-3</v>
      </c>
      <c r="AX41" s="145">
        <f t="shared" si="8"/>
        <v>0</v>
      </c>
      <c r="AY41" s="145">
        <f t="shared" si="8"/>
        <v>0</v>
      </c>
      <c r="AZ41" s="145">
        <f t="shared" si="8"/>
        <v>0</v>
      </c>
      <c r="BA41" s="146">
        <f t="shared" si="8"/>
        <v>0</v>
      </c>
      <c r="BB41" s="12"/>
      <c r="BC41" s="12"/>
      <c r="BD41" s="12"/>
      <c r="BE41" s="12"/>
      <c r="BF41" s="12"/>
      <c r="BG41" s="12"/>
      <c r="BH41" s="12"/>
    </row>
    <row r="42" spans="1:60" ht="15.75" customHeight="1">
      <c r="A42" s="153">
        <v>12</v>
      </c>
      <c r="B42" s="154"/>
      <c r="C42" s="144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6"/>
      <c r="BB42" s="12"/>
      <c r="BC42" s="12"/>
      <c r="BD42" s="12"/>
      <c r="BE42" s="12"/>
      <c r="BF42" s="12"/>
      <c r="BG42" s="12"/>
      <c r="BH42" s="12"/>
    </row>
    <row r="43" spans="1:60" ht="15.75" customHeight="1">
      <c r="A43" s="153">
        <v>13</v>
      </c>
      <c r="B43" s="154" t="s">
        <v>347</v>
      </c>
      <c r="C43" s="53">
        <f t="shared" ref="C43:BA43" si="9">C22*C23</f>
        <v>1600000</v>
      </c>
      <c r="D43" s="51">
        <f t="shared" si="9"/>
        <v>0</v>
      </c>
      <c r="E43" s="51">
        <f t="shared" si="9"/>
        <v>16560</v>
      </c>
      <c r="F43" s="51">
        <f t="shared" si="9"/>
        <v>0</v>
      </c>
      <c r="G43" s="51">
        <f t="shared" si="9"/>
        <v>0</v>
      </c>
      <c r="H43" s="51">
        <f t="shared" si="9"/>
        <v>0</v>
      </c>
      <c r="I43" s="51">
        <f t="shared" si="9"/>
        <v>0</v>
      </c>
      <c r="J43" s="51">
        <f t="shared" si="9"/>
        <v>0</v>
      </c>
      <c r="K43" s="51">
        <f t="shared" si="9"/>
        <v>0</v>
      </c>
      <c r="L43" s="51">
        <f t="shared" si="9"/>
        <v>0</v>
      </c>
      <c r="M43" s="51">
        <f t="shared" si="9"/>
        <v>100</v>
      </c>
      <c r="N43" s="51">
        <f t="shared" si="9"/>
        <v>0</v>
      </c>
      <c r="O43" s="51">
        <f t="shared" si="9"/>
        <v>0</v>
      </c>
      <c r="P43" s="51">
        <f t="shared" si="9"/>
        <v>1333.3333333333333</v>
      </c>
      <c r="Q43" s="51">
        <f t="shared" si="9"/>
        <v>0</v>
      </c>
      <c r="R43" s="51">
        <f t="shared" si="9"/>
        <v>0</v>
      </c>
      <c r="S43" s="51">
        <f t="shared" si="9"/>
        <v>1200000</v>
      </c>
      <c r="T43" s="51">
        <f t="shared" si="9"/>
        <v>0</v>
      </c>
      <c r="U43" s="51">
        <f t="shared" si="9"/>
        <v>396000</v>
      </c>
      <c r="V43" s="51">
        <f t="shared" si="9"/>
        <v>0</v>
      </c>
      <c r="W43" s="51">
        <f t="shared" si="9"/>
        <v>0</v>
      </c>
      <c r="X43" s="51">
        <f t="shared" si="9"/>
        <v>0</v>
      </c>
      <c r="Y43" s="51">
        <f t="shared" si="9"/>
        <v>0</v>
      </c>
      <c r="Z43" s="51">
        <f t="shared" si="9"/>
        <v>0</v>
      </c>
      <c r="AA43" s="51">
        <f t="shared" si="9"/>
        <v>0</v>
      </c>
      <c r="AB43" s="51">
        <f t="shared" si="9"/>
        <v>0</v>
      </c>
      <c r="AC43" s="51">
        <f t="shared" si="9"/>
        <v>0</v>
      </c>
      <c r="AD43" s="51">
        <f t="shared" si="9"/>
        <v>0</v>
      </c>
      <c r="AE43" s="51">
        <f t="shared" si="9"/>
        <v>1000</v>
      </c>
      <c r="AF43" s="51">
        <f t="shared" si="9"/>
        <v>0</v>
      </c>
      <c r="AG43" s="51">
        <f t="shared" si="9"/>
        <v>0</v>
      </c>
      <c r="AH43" s="51">
        <f t="shared" si="9"/>
        <v>0</v>
      </c>
      <c r="AI43" s="51">
        <f t="shared" si="9"/>
        <v>0</v>
      </c>
      <c r="AJ43" s="51">
        <f t="shared" si="9"/>
        <v>0</v>
      </c>
      <c r="AK43" s="51">
        <f t="shared" si="9"/>
        <v>0</v>
      </c>
      <c r="AL43" s="51">
        <f t="shared" si="9"/>
        <v>0</v>
      </c>
      <c r="AM43" s="51">
        <f t="shared" si="9"/>
        <v>0</v>
      </c>
      <c r="AN43" s="51">
        <f t="shared" si="9"/>
        <v>0</v>
      </c>
      <c r="AO43" s="51">
        <f t="shared" si="9"/>
        <v>0</v>
      </c>
      <c r="AP43" s="51">
        <f t="shared" si="9"/>
        <v>0</v>
      </c>
      <c r="AQ43" s="51">
        <f t="shared" si="9"/>
        <v>0</v>
      </c>
      <c r="AR43" s="51">
        <f t="shared" si="9"/>
        <v>0</v>
      </c>
      <c r="AS43" s="51">
        <f t="shared" si="9"/>
        <v>0</v>
      </c>
      <c r="AT43" s="51">
        <f t="shared" si="9"/>
        <v>0</v>
      </c>
      <c r="AU43" s="51">
        <f t="shared" si="9"/>
        <v>0</v>
      </c>
      <c r="AV43" s="51">
        <f t="shared" si="9"/>
        <v>0</v>
      </c>
      <c r="AW43" s="51">
        <f t="shared" si="9"/>
        <v>0</v>
      </c>
      <c r="AX43" s="51">
        <f t="shared" si="9"/>
        <v>0</v>
      </c>
      <c r="AY43" s="51">
        <f t="shared" si="9"/>
        <v>0</v>
      </c>
      <c r="AZ43" s="51">
        <f t="shared" si="9"/>
        <v>0</v>
      </c>
      <c r="BA43" s="64">
        <f t="shared" si="9"/>
        <v>0</v>
      </c>
      <c r="BB43" s="12"/>
      <c r="BC43" s="12"/>
      <c r="BD43" s="12"/>
      <c r="BE43" s="12"/>
      <c r="BF43" s="12"/>
      <c r="BG43" s="12"/>
      <c r="BH43" s="12"/>
    </row>
    <row r="44" spans="1:60" ht="15.75" customHeight="1">
      <c r="A44" s="153">
        <v>14</v>
      </c>
      <c r="B44" s="154" t="s">
        <v>348</v>
      </c>
      <c r="C44" s="144">
        <f t="shared" ref="C44:BA44" si="10">C43/C$49</f>
        <v>0.88888888888888884</v>
      </c>
      <c r="D44" s="145">
        <f t="shared" si="10"/>
        <v>0</v>
      </c>
      <c r="E44" s="145">
        <f t="shared" si="10"/>
        <v>1.5054545454545454</v>
      </c>
      <c r="F44" s="145">
        <f t="shared" si="10"/>
        <v>0</v>
      </c>
      <c r="G44" s="145">
        <f t="shared" si="10"/>
        <v>0</v>
      </c>
      <c r="H44" s="145">
        <f t="shared" si="10"/>
        <v>0</v>
      </c>
      <c r="I44" s="145">
        <f t="shared" si="10"/>
        <v>0</v>
      </c>
      <c r="J44" s="145">
        <f t="shared" si="10"/>
        <v>0</v>
      </c>
      <c r="K44" s="145">
        <f t="shared" si="10"/>
        <v>0</v>
      </c>
      <c r="L44" s="145">
        <f t="shared" si="10"/>
        <v>0</v>
      </c>
      <c r="M44" s="145">
        <f t="shared" si="10"/>
        <v>3.3333333333333333E-2</v>
      </c>
      <c r="N44" s="145">
        <f t="shared" si="10"/>
        <v>0</v>
      </c>
      <c r="O44" s="145">
        <f t="shared" si="10"/>
        <v>0</v>
      </c>
      <c r="P44" s="145">
        <f t="shared" si="10"/>
        <v>3.3333333333333333E-2</v>
      </c>
      <c r="Q44" s="145">
        <f t="shared" si="10"/>
        <v>0</v>
      </c>
      <c r="R44" s="145">
        <f t="shared" si="10"/>
        <v>0</v>
      </c>
      <c r="S44" s="145">
        <f t="shared" si="10"/>
        <v>1.2</v>
      </c>
      <c r="T44" s="145">
        <f t="shared" si="10"/>
        <v>0</v>
      </c>
      <c r="U44" s="145">
        <f t="shared" si="10"/>
        <v>1.98</v>
      </c>
      <c r="V44" s="145">
        <f t="shared" si="10"/>
        <v>0</v>
      </c>
      <c r="W44" s="145">
        <f t="shared" si="10"/>
        <v>0</v>
      </c>
      <c r="X44" s="145">
        <f t="shared" si="10"/>
        <v>0</v>
      </c>
      <c r="Y44" s="145">
        <f t="shared" si="10"/>
        <v>0</v>
      </c>
      <c r="Z44" s="145">
        <f t="shared" si="10"/>
        <v>0</v>
      </c>
      <c r="AA44" s="145">
        <f t="shared" si="10"/>
        <v>0</v>
      </c>
      <c r="AB44" s="145">
        <f t="shared" si="10"/>
        <v>0</v>
      </c>
      <c r="AC44" s="145">
        <f t="shared" si="10"/>
        <v>0</v>
      </c>
      <c r="AD44" s="145">
        <f t="shared" si="10"/>
        <v>0</v>
      </c>
      <c r="AE44" s="145">
        <f t="shared" si="10"/>
        <v>0.2</v>
      </c>
      <c r="AF44" s="145">
        <f t="shared" si="10"/>
        <v>0</v>
      </c>
      <c r="AG44" s="145">
        <f t="shared" si="10"/>
        <v>0</v>
      </c>
      <c r="AH44" s="145">
        <f t="shared" si="10"/>
        <v>0</v>
      </c>
      <c r="AI44" s="145">
        <f t="shared" si="10"/>
        <v>0</v>
      </c>
      <c r="AJ44" s="145">
        <f t="shared" si="10"/>
        <v>0</v>
      </c>
      <c r="AK44" s="145">
        <f t="shared" si="10"/>
        <v>0</v>
      </c>
      <c r="AL44" s="145">
        <f t="shared" si="10"/>
        <v>0</v>
      </c>
      <c r="AM44" s="145">
        <f t="shared" si="10"/>
        <v>0</v>
      </c>
      <c r="AN44" s="145">
        <f t="shared" si="10"/>
        <v>0</v>
      </c>
      <c r="AO44" s="145">
        <f t="shared" si="10"/>
        <v>0</v>
      </c>
      <c r="AP44" s="145">
        <f t="shared" si="10"/>
        <v>0</v>
      </c>
      <c r="AQ44" s="145">
        <f t="shared" si="10"/>
        <v>0</v>
      </c>
      <c r="AR44" s="145">
        <f t="shared" si="10"/>
        <v>0</v>
      </c>
      <c r="AS44" s="145">
        <f t="shared" si="10"/>
        <v>0</v>
      </c>
      <c r="AT44" s="145">
        <f t="shared" si="10"/>
        <v>0</v>
      </c>
      <c r="AU44" s="145">
        <f t="shared" si="10"/>
        <v>0</v>
      </c>
      <c r="AV44" s="145">
        <f t="shared" si="10"/>
        <v>0</v>
      </c>
      <c r="AW44" s="145">
        <f t="shared" si="10"/>
        <v>0</v>
      </c>
      <c r="AX44" s="145">
        <f t="shared" si="10"/>
        <v>0</v>
      </c>
      <c r="AY44" s="145">
        <f t="shared" si="10"/>
        <v>0</v>
      </c>
      <c r="AZ44" s="145">
        <f t="shared" si="10"/>
        <v>0</v>
      </c>
      <c r="BA44" s="146">
        <f t="shared" si="10"/>
        <v>0</v>
      </c>
      <c r="BB44" s="12"/>
      <c r="BC44" s="12"/>
      <c r="BD44" s="12"/>
      <c r="BE44" s="12"/>
      <c r="BF44" s="12"/>
      <c r="BG44" s="12"/>
      <c r="BH44" s="12"/>
    </row>
    <row r="45" spans="1:60" ht="15.75" customHeight="1">
      <c r="A45" s="153">
        <v>15</v>
      </c>
      <c r="B45" s="154"/>
      <c r="C45" s="71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80"/>
      <c r="BB45" s="12"/>
      <c r="BC45" s="12"/>
      <c r="BD45" s="12"/>
      <c r="BE45" s="12"/>
      <c r="BF45" s="12"/>
      <c r="BG45" s="12"/>
      <c r="BH45" s="12"/>
    </row>
    <row r="46" spans="1:60" ht="15.75" customHeight="1">
      <c r="A46" s="153">
        <v>16</v>
      </c>
      <c r="B46" s="154" t="s">
        <v>349</v>
      </c>
      <c r="C46" s="53">
        <f t="shared" ref="C46:BA46" si="11">C34+C37+C40+C43</f>
        <v>2778000</v>
      </c>
      <c r="D46" s="51">
        <f t="shared" si="11"/>
        <v>178000</v>
      </c>
      <c r="E46" s="51">
        <f t="shared" si="11"/>
        <v>69010</v>
      </c>
      <c r="F46" s="51">
        <f t="shared" si="11"/>
        <v>34170</v>
      </c>
      <c r="G46" s="51">
        <f t="shared" si="11"/>
        <v>81800</v>
      </c>
      <c r="H46" s="51">
        <f t="shared" si="11"/>
        <v>1106.6666666666667</v>
      </c>
      <c r="I46" s="51">
        <f t="shared" si="11"/>
        <v>1202400</v>
      </c>
      <c r="J46" s="51">
        <f t="shared" si="11"/>
        <v>738400</v>
      </c>
      <c r="K46" s="51">
        <f t="shared" si="11"/>
        <v>5761000</v>
      </c>
      <c r="L46" s="51">
        <f t="shared" si="11"/>
        <v>1102000</v>
      </c>
      <c r="M46" s="51">
        <f t="shared" si="11"/>
        <v>2518</v>
      </c>
      <c r="N46" s="51">
        <f t="shared" si="11"/>
        <v>2302500</v>
      </c>
      <c r="O46" s="51">
        <f t="shared" si="11"/>
        <v>324260</v>
      </c>
      <c r="P46" s="51">
        <f t="shared" si="11"/>
        <v>34063.333333333336</v>
      </c>
      <c r="Q46" s="51">
        <f t="shared" si="11"/>
        <v>6166000</v>
      </c>
      <c r="R46" s="51">
        <f t="shared" si="11"/>
        <v>48208.6</v>
      </c>
      <c r="S46" s="51">
        <f t="shared" si="11"/>
        <v>3412857</v>
      </c>
      <c r="T46" s="51">
        <f t="shared" si="11"/>
        <v>1280000</v>
      </c>
      <c r="U46" s="51">
        <f t="shared" si="11"/>
        <v>1062500</v>
      </c>
      <c r="V46" s="51">
        <f t="shared" si="11"/>
        <v>35000</v>
      </c>
      <c r="W46" s="51">
        <f t="shared" si="11"/>
        <v>4289600</v>
      </c>
      <c r="X46" s="51">
        <f t="shared" si="11"/>
        <v>3500</v>
      </c>
      <c r="Y46" s="51">
        <f t="shared" si="11"/>
        <v>4118750</v>
      </c>
      <c r="Z46" s="51">
        <f t="shared" si="11"/>
        <v>45000</v>
      </c>
      <c r="AA46" s="51">
        <f t="shared" si="11"/>
        <v>1280</v>
      </c>
      <c r="AB46" s="51">
        <f t="shared" si="11"/>
        <v>254500</v>
      </c>
      <c r="AC46" s="51">
        <f t="shared" si="11"/>
        <v>686.8</v>
      </c>
      <c r="AD46" s="51">
        <f t="shared" si="11"/>
        <v>10960</v>
      </c>
      <c r="AE46" s="51">
        <f t="shared" si="11"/>
        <v>7480</v>
      </c>
      <c r="AF46" s="51">
        <f t="shared" si="11"/>
        <v>6122000</v>
      </c>
      <c r="AG46" s="51">
        <f t="shared" si="11"/>
        <v>1560</v>
      </c>
      <c r="AH46" s="51">
        <f t="shared" si="11"/>
        <v>3800</v>
      </c>
      <c r="AI46" s="51">
        <f t="shared" si="11"/>
        <v>814000</v>
      </c>
      <c r="AJ46" s="51">
        <f t="shared" si="11"/>
        <v>887066.66666666674</v>
      </c>
      <c r="AK46" s="51">
        <f t="shared" si="11"/>
        <v>378000</v>
      </c>
      <c r="AL46" s="51">
        <f t="shared" si="11"/>
        <v>23.484863636363638</v>
      </c>
      <c r="AM46" s="51">
        <f t="shared" si="11"/>
        <v>76.2</v>
      </c>
      <c r="AN46" s="51">
        <f t="shared" si="11"/>
        <v>226.76923076923077</v>
      </c>
      <c r="AO46" s="51">
        <f t="shared" si="11"/>
        <v>21.372250000000001</v>
      </c>
      <c r="AP46" s="51">
        <f t="shared" si="11"/>
        <v>26.891946666666666</v>
      </c>
      <c r="AQ46" s="51">
        <f t="shared" si="11"/>
        <v>14</v>
      </c>
      <c r="AR46" s="51">
        <f t="shared" si="11"/>
        <v>39.386000000000003</v>
      </c>
      <c r="AS46" s="51">
        <f t="shared" si="11"/>
        <v>315000</v>
      </c>
      <c r="AT46" s="51">
        <f t="shared" si="11"/>
        <v>366045</v>
      </c>
      <c r="AU46" s="51">
        <f t="shared" si="11"/>
        <v>12540</v>
      </c>
      <c r="AV46" s="51">
        <f t="shared" si="11"/>
        <v>4524800</v>
      </c>
      <c r="AW46" s="51">
        <f t="shared" si="11"/>
        <v>77900</v>
      </c>
      <c r="AX46" s="51">
        <f t="shared" si="11"/>
        <v>5400</v>
      </c>
      <c r="AY46" s="51">
        <f t="shared" si="11"/>
        <v>522</v>
      </c>
      <c r="AZ46" s="51">
        <f t="shared" si="11"/>
        <v>1465157.2</v>
      </c>
      <c r="BA46" s="64">
        <f t="shared" si="11"/>
        <v>100000</v>
      </c>
      <c r="BB46" s="12"/>
      <c r="BC46" s="12"/>
      <c r="BD46" s="12"/>
      <c r="BE46" s="12"/>
      <c r="BF46" s="12"/>
      <c r="BG46" s="12"/>
      <c r="BH46" s="12"/>
    </row>
    <row r="47" spans="1:60" ht="15.75" customHeight="1">
      <c r="A47" s="153">
        <v>17</v>
      </c>
      <c r="B47" s="154" t="s">
        <v>350</v>
      </c>
      <c r="C47" s="144">
        <f t="shared" ref="C47:BA47" si="12">C46/C49</f>
        <v>1.5433333333333332</v>
      </c>
      <c r="D47" s="145">
        <f t="shared" si="12"/>
        <v>1.4239999999999999</v>
      </c>
      <c r="E47" s="145">
        <f t="shared" si="12"/>
        <v>6.2736363636363635</v>
      </c>
      <c r="F47" s="145">
        <f t="shared" si="12"/>
        <v>2.9973684210526317</v>
      </c>
      <c r="G47" s="145">
        <f t="shared" si="12"/>
        <v>0.81799999999999995</v>
      </c>
      <c r="H47" s="145">
        <f t="shared" si="12"/>
        <v>0.27666666666666667</v>
      </c>
      <c r="I47" s="145">
        <f t="shared" si="12"/>
        <v>0.60119999999999996</v>
      </c>
      <c r="J47" s="145">
        <f t="shared" si="12"/>
        <v>2.4613333333333332</v>
      </c>
      <c r="K47" s="145">
        <f t="shared" si="12"/>
        <v>0.52372727272727271</v>
      </c>
      <c r="L47" s="145">
        <f t="shared" si="12"/>
        <v>11.6</v>
      </c>
      <c r="M47" s="145">
        <f t="shared" si="12"/>
        <v>0.83933333333333338</v>
      </c>
      <c r="N47" s="145">
        <f t="shared" si="12"/>
        <v>3.8374999999999999</v>
      </c>
      <c r="O47" s="145">
        <f t="shared" si="12"/>
        <v>0.32425999999999999</v>
      </c>
      <c r="P47" s="145">
        <f t="shared" si="12"/>
        <v>0.85158333333333336</v>
      </c>
      <c r="Q47" s="145">
        <f t="shared" si="12"/>
        <v>5.1383333333333336</v>
      </c>
      <c r="R47" s="145">
        <f t="shared" si="12"/>
        <v>0.20086916666666665</v>
      </c>
      <c r="S47" s="145">
        <f t="shared" si="12"/>
        <v>3.4128569999999998</v>
      </c>
      <c r="T47" s="145">
        <f t="shared" si="12"/>
        <v>0.88888888888888884</v>
      </c>
      <c r="U47" s="145">
        <f t="shared" si="12"/>
        <v>5.3125</v>
      </c>
      <c r="V47" s="145">
        <f t="shared" si="12"/>
        <v>0.66666666666666663</v>
      </c>
      <c r="W47" s="145">
        <f t="shared" si="12"/>
        <v>1.7873333333333334</v>
      </c>
      <c r="X47" s="145">
        <f t="shared" si="12"/>
        <v>2.3333333333333335</v>
      </c>
      <c r="Y47" s="145">
        <f t="shared" si="12"/>
        <v>2.2881944444444446</v>
      </c>
      <c r="Z47" s="145">
        <f t="shared" si="12"/>
        <v>0.5</v>
      </c>
      <c r="AA47" s="145">
        <f t="shared" si="12"/>
        <v>4.4444444444444446E-2</v>
      </c>
      <c r="AB47" s="145">
        <f t="shared" si="12"/>
        <v>0.79531249999999998</v>
      </c>
      <c r="AC47" s="145">
        <f t="shared" si="12"/>
        <v>1.9077777777777777E-2</v>
      </c>
      <c r="AD47" s="145">
        <f t="shared" si="12"/>
        <v>1.3236714975845412</v>
      </c>
      <c r="AE47" s="145">
        <f t="shared" si="12"/>
        <v>1.496</v>
      </c>
      <c r="AF47" s="145">
        <f t="shared" si="12"/>
        <v>2.5508333333333333</v>
      </c>
      <c r="AG47" s="145">
        <f t="shared" si="12"/>
        <v>0.48148148148148145</v>
      </c>
      <c r="AH47" s="145">
        <f t="shared" si="12"/>
        <v>1.9</v>
      </c>
      <c r="AI47" s="145">
        <f t="shared" si="12"/>
        <v>0.51682539682539685</v>
      </c>
      <c r="AJ47" s="145">
        <f t="shared" si="12"/>
        <v>2.2176666666666667</v>
      </c>
      <c r="AK47" s="145">
        <f t="shared" si="12"/>
        <v>0.75600000000000001</v>
      </c>
      <c r="AL47" s="145">
        <f t="shared" si="12"/>
        <v>1.5656575757575759</v>
      </c>
      <c r="AM47" s="145">
        <f t="shared" si="12"/>
        <v>3.81</v>
      </c>
      <c r="AN47" s="145">
        <f t="shared" si="12"/>
        <v>2.2676923076923079</v>
      </c>
      <c r="AO47" s="145">
        <f t="shared" si="12"/>
        <v>3.2382196969696975</v>
      </c>
      <c r="AP47" s="145">
        <f t="shared" si="12"/>
        <v>2.5857641025641023</v>
      </c>
      <c r="AQ47" s="145">
        <f t="shared" si="12"/>
        <v>1.75</v>
      </c>
      <c r="AR47" s="145">
        <f t="shared" si="12"/>
        <v>3.9386000000000001</v>
      </c>
      <c r="AS47" s="145">
        <f t="shared" si="12"/>
        <v>0.252</v>
      </c>
      <c r="AT47" s="145">
        <f t="shared" si="12"/>
        <v>0.22184545454545454</v>
      </c>
      <c r="AU47" s="145">
        <f t="shared" si="12"/>
        <v>0.627</v>
      </c>
      <c r="AV47" s="145">
        <f t="shared" si="12"/>
        <v>1.5082666666666666</v>
      </c>
      <c r="AW47" s="145">
        <f t="shared" si="12"/>
        <v>2.5966666666666666E-2</v>
      </c>
      <c r="AX47" s="145">
        <f t="shared" si="12"/>
        <v>5.4000000000000003E-3</v>
      </c>
      <c r="AY47" s="145">
        <f t="shared" si="12"/>
        <v>1.3050000000000001E-2</v>
      </c>
      <c r="AZ47" s="145">
        <f t="shared" si="12"/>
        <v>0.97677146666666659</v>
      </c>
      <c r="BA47" s="146">
        <f t="shared" si="12"/>
        <v>0.55555555555555558</v>
      </c>
      <c r="BB47" s="12"/>
      <c r="BC47" s="12"/>
      <c r="BD47" s="12"/>
      <c r="BE47" s="12"/>
      <c r="BF47" s="12"/>
      <c r="BG47" s="12"/>
      <c r="BH47" s="12"/>
    </row>
    <row r="48" spans="1:60" ht="15.75" customHeight="1">
      <c r="A48" s="153">
        <v>18</v>
      </c>
      <c r="B48" s="154"/>
      <c r="C48" s="71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80"/>
      <c r="BB48" s="12"/>
      <c r="BC48" s="12"/>
      <c r="BD48" s="12"/>
      <c r="BE48" s="12"/>
      <c r="BF48" s="12"/>
      <c r="BG48" s="12"/>
      <c r="BH48" s="12"/>
    </row>
    <row r="49" spans="1:60" ht="15.75" customHeight="1">
      <c r="A49" s="153">
        <v>19</v>
      </c>
      <c r="B49" s="154" t="s">
        <v>351</v>
      </c>
      <c r="C49" s="53">
        <f t="shared" ref="C49:BA49" si="13">C25/C26</f>
        <v>1800000</v>
      </c>
      <c r="D49" s="51">
        <f t="shared" si="13"/>
        <v>125000</v>
      </c>
      <c r="E49" s="51">
        <f t="shared" si="13"/>
        <v>11000</v>
      </c>
      <c r="F49" s="51">
        <f t="shared" si="13"/>
        <v>11400</v>
      </c>
      <c r="G49" s="51">
        <f t="shared" si="13"/>
        <v>100000</v>
      </c>
      <c r="H49" s="51">
        <f t="shared" si="13"/>
        <v>4000</v>
      </c>
      <c r="I49" s="51">
        <f t="shared" si="13"/>
        <v>2000000</v>
      </c>
      <c r="J49" s="51">
        <f t="shared" si="13"/>
        <v>300000</v>
      </c>
      <c r="K49" s="51">
        <f t="shared" si="13"/>
        <v>11000000</v>
      </c>
      <c r="L49" s="51">
        <f t="shared" si="13"/>
        <v>95000</v>
      </c>
      <c r="M49" s="51">
        <f t="shared" si="13"/>
        <v>3000</v>
      </c>
      <c r="N49" s="51">
        <f t="shared" si="13"/>
        <v>600000</v>
      </c>
      <c r="O49" s="51">
        <f t="shared" si="13"/>
        <v>1000000</v>
      </c>
      <c r="P49" s="51">
        <f t="shared" si="13"/>
        <v>40000</v>
      </c>
      <c r="Q49" s="51">
        <f t="shared" si="13"/>
        <v>1200000</v>
      </c>
      <c r="R49" s="51">
        <f t="shared" si="13"/>
        <v>240000</v>
      </c>
      <c r="S49" s="51">
        <f t="shared" si="13"/>
        <v>1000000</v>
      </c>
      <c r="T49" s="51">
        <f t="shared" si="13"/>
        <v>1440000</v>
      </c>
      <c r="U49" s="51">
        <f t="shared" si="13"/>
        <v>200000</v>
      </c>
      <c r="V49" s="51">
        <f t="shared" si="13"/>
        <v>52500</v>
      </c>
      <c r="W49" s="51">
        <f t="shared" si="13"/>
        <v>2400000</v>
      </c>
      <c r="X49" s="51">
        <f t="shared" si="13"/>
        <v>1500</v>
      </c>
      <c r="Y49" s="51">
        <f t="shared" si="13"/>
        <v>1800000</v>
      </c>
      <c r="Z49" s="51">
        <f t="shared" si="13"/>
        <v>90000</v>
      </c>
      <c r="AA49" s="51">
        <f t="shared" si="13"/>
        <v>28800</v>
      </c>
      <c r="AB49" s="51">
        <f t="shared" si="13"/>
        <v>320000</v>
      </c>
      <c r="AC49" s="51">
        <f t="shared" si="13"/>
        <v>36000</v>
      </c>
      <c r="AD49" s="51">
        <f t="shared" si="13"/>
        <v>8280</v>
      </c>
      <c r="AE49" s="51">
        <f t="shared" si="13"/>
        <v>5000</v>
      </c>
      <c r="AF49" s="51">
        <f t="shared" si="13"/>
        <v>2400000</v>
      </c>
      <c r="AG49" s="51">
        <f t="shared" si="13"/>
        <v>3240</v>
      </c>
      <c r="AH49" s="51">
        <f t="shared" si="13"/>
        <v>2000</v>
      </c>
      <c r="AI49" s="51">
        <f t="shared" si="13"/>
        <v>1575000</v>
      </c>
      <c r="AJ49" s="51">
        <f t="shared" si="13"/>
        <v>400000</v>
      </c>
      <c r="AK49" s="51">
        <f t="shared" si="13"/>
        <v>500000</v>
      </c>
      <c r="AL49" s="51">
        <f t="shared" si="13"/>
        <v>15</v>
      </c>
      <c r="AM49" s="51">
        <f t="shared" si="13"/>
        <v>20</v>
      </c>
      <c r="AN49" s="51">
        <f t="shared" si="13"/>
        <v>100</v>
      </c>
      <c r="AO49" s="51">
        <f t="shared" si="13"/>
        <v>6.6</v>
      </c>
      <c r="AP49" s="51">
        <f t="shared" si="13"/>
        <v>10.4</v>
      </c>
      <c r="AQ49" s="51">
        <f t="shared" si="13"/>
        <v>8</v>
      </c>
      <c r="AR49" s="51">
        <f t="shared" si="13"/>
        <v>10</v>
      </c>
      <c r="AS49" s="51">
        <f t="shared" si="13"/>
        <v>1250000</v>
      </c>
      <c r="AT49" s="51">
        <f t="shared" si="13"/>
        <v>1650000</v>
      </c>
      <c r="AU49" s="51">
        <f t="shared" si="13"/>
        <v>20000</v>
      </c>
      <c r="AV49" s="51">
        <f t="shared" si="13"/>
        <v>3000000</v>
      </c>
      <c r="AW49" s="51">
        <f t="shared" si="13"/>
        <v>3000000</v>
      </c>
      <c r="AX49" s="51">
        <f t="shared" si="13"/>
        <v>1000000</v>
      </c>
      <c r="AY49" s="51">
        <f t="shared" si="13"/>
        <v>40000</v>
      </c>
      <c r="AZ49" s="51">
        <f t="shared" si="13"/>
        <v>1500000</v>
      </c>
      <c r="BA49" s="64">
        <f t="shared" si="13"/>
        <v>180000</v>
      </c>
      <c r="BB49" s="12"/>
      <c r="BC49" s="12"/>
      <c r="BD49" s="12"/>
      <c r="BE49" s="12"/>
      <c r="BF49" s="12"/>
      <c r="BG49" s="12"/>
      <c r="BH49" s="12"/>
    </row>
    <row r="50" spans="1:60" ht="15.75" customHeight="1">
      <c r="A50" s="153">
        <v>20</v>
      </c>
      <c r="B50" s="158"/>
      <c r="C50" s="71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80"/>
      <c r="BB50" s="12"/>
      <c r="BC50" s="12"/>
      <c r="BD50" s="12"/>
      <c r="BE50" s="12"/>
      <c r="BF50" s="12"/>
      <c r="BG50" s="12"/>
      <c r="BH50" s="12"/>
    </row>
    <row r="51" spans="1:60" ht="15.75" customHeight="1">
      <c r="A51" s="153">
        <v>21</v>
      </c>
      <c r="B51" s="154" t="s">
        <v>352</v>
      </c>
      <c r="C51" s="144">
        <f t="shared" ref="C51:AK51" si="14">IFERROR(C28/C49,"N/A")</f>
        <v>5.5555555555555552E-2</v>
      </c>
      <c r="D51" s="145">
        <f t="shared" si="14"/>
        <v>0.08</v>
      </c>
      <c r="E51" s="145">
        <f t="shared" si="14"/>
        <v>5.6818181818181816E-2</v>
      </c>
      <c r="F51" s="145">
        <f t="shared" si="14"/>
        <v>3.5087719298245612E-2</v>
      </c>
      <c r="G51" s="145" t="str">
        <f t="shared" si="14"/>
        <v>N/A</v>
      </c>
      <c r="H51" s="145">
        <f t="shared" si="14"/>
        <v>2.2499999999999998E-3</v>
      </c>
      <c r="I51" s="145">
        <f t="shared" si="14"/>
        <v>2.4E-2</v>
      </c>
      <c r="J51" s="145" t="str">
        <f t="shared" si="14"/>
        <v>N/A</v>
      </c>
      <c r="K51" s="145">
        <f t="shared" si="14"/>
        <v>4.5454545454545452E-3</v>
      </c>
      <c r="L51" s="145">
        <f t="shared" si="14"/>
        <v>0.36</v>
      </c>
      <c r="M51" s="145">
        <f t="shared" si="14"/>
        <v>3.0000000000000001E-3</v>
      </c>
      <c r="N51" s="145">
        <f t="shared" si="14"/>
        <v>4.3749999999999997E-2</v>
      </c>
      <c r="O51" s="145">
        <f t="shared" si="14"/>
        <v>2.4E-2</v>
      </c>
      <c r="P51" s="145">
        <f t="shared" si="14"/>
        <v>2.5000000000000001E-4</v>
      </c>
      <c r="Q51" s="145">
        <f t="shared" si="14"/>
        <v>0.03</v>
      </c>
      <c r="R51" s="145">
        <f t="shared" si="14"/>
        <v>2.5000000000000001E-2</v>
      </c>
      <c r="S51" s="145">
        <f t="shared" si="14"/>
        <v>2.1000000000000001E-2</v>
      </c>
      <c r="T51" s="145">
        <f t="shared" si="14"/>
        <v>1.1111111111111112E-2</v>
      </c>
      <c r="U51" s="145">
        <f t="shared" si="14"/>
        <v>1.2500000000000001E-2</v>
      </c>
      <c r="V51" s="145">
        <f t="shared" si="14"/>
        <v>2.8571428571428571E-2</v>
      </c>
      <c r="W51" s="145">
        <f t="shared" si="14"/>
        <v>1.6666666666666666E-2</v>
      </c>
      <c r="X51" s="145">
        <f t="shared" si="14"/>
        <v>3.3333333333333333E-2</v>
      </c>
      <c r="Y51" s="145">
        <f t="shared" si="14"/>
        <v>3.3333333333333333E-2</v>
      </c>
      <c r="Z51" s="145">
        <f t="shared" si="14"/>
        <v>6.6666666666666671E-3</v>
      </c>
      <c r="AA51" s="145">
        <f t="shared" si="14"/>
        <v>3.472222222222222E-3</v>
      </c>
      <c r="AB51" s="145">
        <f t="shared" si="14"/>
        <v>0.125</v>
      </c>
      <c r="AC51" s="145">
        <f t="shared" si="14"/>
        <v>0.27777777777777779</v>
      </c>
      <c r="AD51" s="145">
        <f t="shared" si="14"/>
        <v>2.4154589371980676E-4</v>
      </c>
      <c r="AE51" s="145">
        <f t="shared" si="14"/>
        <v>5.0000000000000001E-3</v>
      </c>
      <c r="AF51" s="145">
        <f t="shared" si="14"/>
        <v>1.6666666666666666E-2</v>
      </c>
      <c r="AG51" s="145">
        <f t="shared" si="14"/>
        <v>9.2592592592592587E-3</v>
      </c>
      <c r="AH51" s="145">
        <f t="shared" si="14"/>
        <v>2.5000000000000001E-2</v>
      </c>
      <c r="AI51" s="145">
        <f t="shared" si="14"/>
        <v>2.859047619047619E-2</v>
      </c>
      <c r="AJ51" s="145" t="str">
        <f t="shared" si="14"/>
        <v>N/A</v>
      </c>
      <c r="AK51" s="145">
        <f t="shared" si="14"/>
        <v>5.9999999999999995E-4</v>
      </c>
      <c r="AL51" s="145" t="str">
        <f t="shared" ref="AL51:AR51" si="15">IFERROR(AL28/AL49,"Choose Bet")</f>
        <v>Choose Bet</v>
      </c>
      <c r="AM51" s="145" t="str">
        <f t="shared" si="15"/>
        <v>Choose Bet</v>
      </c>
      <c r="AN51" s="145" t="str">
        <f t="shared" si="15"/>
        <v>Choose Bet</v>
      </c>
      <c r="AO51" s="145" t="str">
        <f t="shared" si="15"/>
        <v>Choose Bet</v>
      </c>
      <c r="AP51" s="145" t="str">
        <f t="shared" si="15"/>
        <v>Choose Bet</v>
      </c>
      <c r="AQ51" s="145" t="str">
        <f t="shared" si="15"/>
        <v>Choose Bet</v>
      </c>
      <c r="AR51" s="145" t="str">
        <f t="shared" si="15"/>
        <v>Choose Bet</v>
      </c>
      <c r="AS51" s="145">
        <f t="shared" ref="AS51:BA51" si="16">IFERROR(AS28/AS49,"N/A")</f>
        <v>0.04</v>
      </c>
      <c r="AT51" s="145">
        <f t="shared" si="16"/>
        <v>3.0303030303030303E-4</v>
      </c>
      <c r="AU51" s="145">
        <f t="shared" si="16"/>
        <v>0.01</v>
      </c>
      <c r="AV51" s="145">
        <f t="shared" si="16"/>
        <v>0.16666666666666666</v>
      </c>
      <c r="AW51" s="145">
        <f t="shared" si="16"/>
        <v>3.3333333333333335E-5</v>
      </c>
      <c r="AX51" s="145">
        <f t="shared" si="16"/>
        <v>1E-3</v>
      </c>
      <c r="AY51" s="145">
        <f t="shared" si="16"/>
        <v>0.01</v>
      </c>
      <c r="AZ51" s="145">
        <f t="shared" si="16"/>
        <v>0.04</v>
      </c>
      <c r="BA51" s="146">
        <f t="shared" si="16"/>
        <v>5.5555555555555552E-2</v>
      </c>
      <c r="BB51" s="12"/>
      <c r="BC51" s="12"/>
      <c r="BD51" s="12"/>
      <c r="BE51" s="12"/>
      <c r="BF51" s="12"/>
      <c r="BG51" s="12"/>
      <c r="BH51" s="12"/>
    </row>
    <row r="52" spans="1:60" ht="15.75" customHeight="1">
      <c r="A52" s="153">
        <v>22</v>
      </c>
      <c r="B52" s="154" t="s">
        <v>353</v>
      </c>
      <c r="C52" s="144">
        <f t="shared" ref="C52:BA52" si="17">IFERROR(C29/C49,"N/A")</f>
        <v>5.5555555555555556E-4</v>
      </c>
      <c r="D52" s="145">
        <f t="shared" si="17"/>
        <v>0.08</v>
      </c>
      <c r="E52" s="145">
        <f t="shared" si="17"/>
        <v>5.6818181818181816E-2</v>
      </c>
      <c r="F52" s="145">
        <f t="shared" si="17"/>
        <v>3.5087719298245615E-3</v>
      </c>
      <c r="G52" s="145">
        <f t="shared" si="17"/>
        <v>0.05</v>
      </c>
      <c r="H52" s="145">
        <f t="shared" si="17"/>
        <v>2.2499999999999998E-3</v>
      </c>
      <c r="I52" s="145">
        <f t="shared" si="17"/>
        <v>2.4E-2</v>
      </c>
      <c r="J52" s="145">
        <f t="shared" si="17"/>
        <v>0.02</v>
      </c>
      <c r="K52" s="145">
        <f t="shared" si="17"/>
        <v>9.0909090909090909E-4</v>
      </c>
      <c r="L52" s="145">
        <f t="shared" si="17"/>
        <v>0.36</v>
      </c>
      <c r="M52" s="145">
        <f t="shared" si="17"/>
        <v>3.0000000000000003E-4</v>
      </c>
      <c r="N52" s="145">
        <f t="shared" si="17"/>
        <v>2.3333333333333334E-2</v>
      </c>
      <c r="O52" s="145">
        <f t="shared" si="17"/>
        <v>8.0999999999999996E-3</v>
      </c>
      <c r="P52" s="145">
        <f t="shared" si="17"/>
        <v>2.5000000000000001E-4</v>
      </c>
      <c r="Q52" s="145">
        <f t="shared" si="17"/>
        <v>0.01</v>
      </c>
      <c r="R52" s="145">
        <f t="shared" si="17"/>
        <v>2.5000000000000001E-2</v>
      </c>
      <c r="S52" s="145">
        <f t="shared" si="17"/>
        <v>2.1000000000000001E-2</v>
      </c>
      <c r="T52" s="145">
        <f t="shared" si="17"/>
        <v>1.1111111111111112E-2</v>
      </c>
      <c r="U52" s="145">
        <f t="shared" si="17"/>
        <v>1.2500000000000001E-2</v>
      </c>
      <c r="V52" s="145">
        <f t="shared" si="17"/>
        <v>2.8571428571428571E-2</v>
      </c>
      <c r="W52" s="145">
        <f t="shared" si="17"/>
        <v>1.6666666666666666E-2</v>
      </c>
      <c r="X52" s="145">
        <f t="shared" si="17"/>
        <v>3.3333333333333333E-2</v>
      </c>
      <c r="Y52" s="145">
        <f t="shared" si="17"/>
        <v>3.3333333333333333E-2</v>
      </c>
      <c r="Z52" s="145">
        <f t="shared" si="17"/>
        <v>6.6666666666666671E-3</v>
      </c>
      <c r="AA52" s="145">
        <f t="shared" si="17"/>
        <v>1.3888888888888889E-3</v>
      </c>
      <c r="AB52" s="145">
        <f t="shared" si="17"/>
        <v>1.2500000000000001E-2</v>
      </c>
      <c r="AC52" s="145">
        <f t="shared" si="17"/>
        <v>6.9444444444444444E-5</v>
      </c>
      <c r="AD52" s="145">
        <f t="shared" si="17"/>
        <v>1.2077294685990338E-4</v>
      </c>
      <c r="AE52" s="145">
        <f t="shared" si="17"/>
        <v>5.0000000000000001E-3</v>
      </c>
      <c r="AF52" s="145">
        <f t="shared" si="17"/>
        <v>1.6666666666666666E-2</v>
      </c>
      <c r="AG52" s="145">
        <f t="shared" si="17"/>
        <v>9.2592592592592587E-3</v>
      </c>
      <c r="AH52" s="145">
        <f t="shared" si="17"/>
        <v>2.5000000000000001E-2</v>
      </c>
      <c r="AI52" s="145">
        <f t="shared" si="17"/>
        <v>9.5301587301587307E-3</v>
      </c>
      <c r="AJ52" s="145">
        <f t="shared" si="17"/>
        <v>2.5000000000000001E-2</v>
      </c>
      <c r="AK52" s="145">
        <f t="shared" si="17"/>
        <v>6.0000000000000002E-5</v>
      </c>
      <c r="AL52" s="145">
        <f t="shared" si="17"/>
        <v>6.6666666666666666E-2</v>
      </c>
      <c r="AM52" s="145">
        <f t="shared" si="17"/>
        <v>0.05</v>
      </c>
      <c r="AN52" s="145">
        <f t="shared" si="17"/>
        <v>0.1</v>
      </c>
      <c r="AO52" s="145">
        <f t="shared" si="17"/>
        <v>0.15151515151515152</v>
      </c>
      <c r="AP52" s="145">
        <f t="shared" si="17"/>
        <v>9.6153846153846145E-2</v>
      </c>
      <c r="AQ52" s="145">
        <f t="shared" si="17"/>
        <v>0.125</v>
      </c>
      <c r="AR52" s="145">
        <f t="shared" si="17"/>
        <v>0.1</v>
      </c>
      <c r="AS52" s="145">
        <f t="shared" si="17"/>
        <v>8.0000000000000004E-4</v>
      </c>
      <c r="AT52" s="145">
        <f t="shared" si="17"/>
        <v>1.5151515151515151E-5</v>
      </c>
      <c r="AU52" s="145">
        <f t="shared" si="17"/>
        <v>5.0000000000000001E-3</v>
      </c>
      <c r="AV52" s="145">
        <f t="shared" si="17"/>
        <v>8.3333333333333332E-3</v>
      </c>
      <c r="AW52" s="145">
        <f t="shared" si="17"/>
        <v>1.6666666666666667E-6</v>
      </c>
      <c r="AX52" s="145">
        <f t="shared" si="17"/>
        <v>5.0000000000000002E-5</v>
      </c>
      <c r="AY52" s="145">
        <f t="shared" si="17"/>
        <v>2.5000000000000001E-4</v>
      </c>
      <c r="AZ52" s="145">
        <f t="shared" si="17"/>
        <v>0.04</v>
      </c>
      <c r="BA52" s="146">
        <f t="shared" si="17"/>
        <v>5.5555555555555558E-3</v>
      </c>
      <c r="BB52" s="12"/>
      <c r="BC52" s="12"/>
      <c r="BD52" s="12"/>
      <c r="BE52" s="12"/>
      <c r="BF52" s="12"/>
      <c r="BG52" s="12"/>
      <c r="BH52" s="12"/>
    </row>
    <row r="53" spans="1:60" ht="15.75" customHeight="1">
      <c r="A53" s="153">
        <v>23</v>
      </c>
      <c r="B53" s="154"/>
      <c r="C53" s="71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80"/>
      <c r="BB53" s="12"/>
      <c r="BC53" s="12"/>
      <c r="BD53" s="12"/>
      <c r="BE53" s="12"/>
      <c r="BF53" s="12"/>
      <c r="BG53" s="12"/>
      <c r="BH53" s="12"/>
    </row>
    <row r="54" spans="1:60" ht="15.75" customHeight="1">
      <c r="A54" s="153">
        <v>24</v>
      </c>
      <c r="B54" s="154" t="s">
        <v>354</v>
      </c>
      <c r="C54" s="53">
        <f>IFERROR(C$6/C28/(1-0.9)*IF(C70="Bingo",0.1,1)-1,"Choose Bet")</f>
        <v>1026.0000000000002</v>
      </c>
      <c r="D54" s="53">
        <f t="shared" ref="D54:BA54" si="18">IFERROR(D$6/D28/(1-0.9)*IF(D70="Bingo",0.1,1)-1,"Choose Bet")</f>
        <v>999.00000000000023</v>
      </c>
      <c r="E54" s="53">
        <f t="shared" si="18"/>
        <v>1599.0000000000005</v>
      </c>
      <c r="F54" s="53">
        <f t="shared" si="18"/>
        <v>311.50000000000006</v>
      </c>
      <c r="G54" s="53" t="str">
        <f t="shared" si="18"/>
        <v>Choose Bet</v>
      </c>
      <c r="H54" s="53">
        <f t="shared" si="18"/>
        <v>1110.1111111111113</v>
      </c>
      <c r="I54" s="53">
        <f t="shared" si="18"/>
        <v>1249.0000000000002</v>
      </c>
      <c r="J54" s="53" t="str">
        <f t="shared" si="18"/>
        <v>Choose Bet</v>
      </c>
      <c r="K54" s="53">
        <f t="shared" si="18"/>
        <v>899.00000000000023</v>
      </c>
      <c r="L54" s="53">
        <f t="shared" si="18"/>
        <v>443.44444444444451</v>
      </c>
      <c r="M54" s="53">
        <f t="shared" si="18"/>
        <v>11110.111111111113</v>
      </c>
      <c r="N54" s="53">
        <f t="shared" si="18"/>
        <v>379.95238095238102</v>
      </c>
      <c r="O54" s="53">
        <f t="shared" si="18"/>
        <v>519.83333333333348</v>
      </c>
      <c r="P54" s="53">
        <f t="shared" si="18"/>
        <v>39999.000000000007</v>
      </c>
      <c r="Q54" s="53">
        <f t="shared" si="18"/>
        <v>499.00000000000011</v>
      </c>
      <c r="R54" s="53" t="str">
        <f t="shared" si="18"/>
        <v>Choose Bet</v>
      </c>
      <c r="S54" s="53">
        <f t="shared" si="18"/>
        <v>2856.1428571428578</v>
      </c>
      <c r="T54" s="53">
        <f t="shared" si="18"/>
        <v>3124.0000000000009</v>
      </c>
      <c r="U54" s="53">
        <f t="shared" si="18"/>
        <v>3999.0000000000009</v>
      </c>
      <c r="V54" s="53">
        <f t="shared" si="18"/>
        <v>332.33333333333343</v>
      </c>
      <c r="W54" s="53">
        <f t="shared" si="18"/>
        <v>10484.000000000002</v>
      </c>
      <c r="X54" s="53">
        <f t="shared" si="18"/>
        <v>399.00000000000011</v>
      </c>
      <c r="Y54" s="53">
        <f t="shared" si="18"/>
        <v>499.00000000000011</v>
      </c>
      <c r="Z54" s="53">
        <f t="shared" si="18"/>
        <v>499.00000000000011</v>
      </c>
      <c r="AA54" s="53">
        <f t="shared" si="18"/>
        <v>999.00000000000023</v>
      </c>
      <c r="AB54" s="53">
        <f t="shared" si="18"/>
        <v>349.00000000000006</v>
      </c>
      <c r="AC54" s="53">
        <f t="shared" si="18"/>
        <v>322.25000000000011</v>
      </c>
      <c r="AD54" s="53">
        <f t="shared" si="18"/>
        <v>199999.00000000006</v>
      </c>
      <c r="AE54" s="53">
        <f t="shared" si="18"/>
        <v>32037.000000000007</v>
      </c>
      <c r="AF54" s="53">
        <f t="shared" si="18"/>
        <v>10484.000000000002</v>
      </c>
      <c r="AG54" s="53">
        <f t="shared" si="18"/>
        <v>1672.65</v>
      </c>
      <c r="AH54" s="53">
        <f t="shared" si="18"/>
        <v>2999.0000000000005</v>
      </c>
      <c r="AI54" s="53">
        <f t="shared" si="18"/>
        <v>443.14834554741293</v>
      </c>
      <c r="AJ54" s="53" t="str">
        <f t="shared" si="18"/>
        <v>Choose Bet</v>
      </c>
      <c r="AK54" s="53">
        <f t="shared" si="18"/>
        <v>6665.6666666666679</v>
      </c>
      <c r="AL54" s="53" t="str">
        <f t="shared" si="18"/>
        <v>Choose Bet</v>
      </c>
      <c r="AM54" s="53" t="str">
        <f t="shared" si="18"/>
        <v>Choose Bet</v>
      </c>
      <c r="AN54" s="53" t="str">
        <f t="shared" si="18"/>
        <v>Choose Bet</v>
      </c>
      <c r="AO54" s="53" t="str">
        <f t="shared" si="18"/>
        <v>Choose Bet</v>
      </c>
      <c r="AP54" s="53" t="str">
        <f t="shared" si="18"/>
        <v>Choose Bet</v>
      </c>
      <c r="AQ54" s="53" t="str">
        <f t="shared" si="18"/>
        <v>Choose Bet</v>
      </c>
      <c r="AR54" s="53" t="str">
        <f t="shared" si="18"/>
        <v>Choose Bet</v>
      </c>
      <c r="AS54" s="53">
        <f t="shared" si="18"/>
        <v>49.000000000000014</v>
      </c>
      <c r="AT54" s="53">
        <f t="shared" si="18"/>
        <v>11518.879518072292</v>
      </c>
      <c r="AU54" s="53">
        <f t="shared" si="18"/>
        <v>749.00000000000011</v>
      </c>
      <c r="AV54" s="53">
        <f t="shared" si="18"/>
        <v>318.40000000000009</v>
      </c>
      <c r="AW54" s="53">
        <f t="shared" si="18"/>
        <v>33469.000000000007</v>
      </c>
      <c r="AX54" s="53">
        <f t="shared" si="18"/>
        <v>2544.0000000000005</v>
      </c>
      <c r="AY54" s="53">
        <f t="shared" si="18"/>
        <v>19.000000000000004</v>
      </c>
      <c r="AZ54" s="53">
        <f t="shared" si="18"/>
        <v>1663.666666666667</v>
      </c>
      <c r="BA54" s="53">
        <f t="shared" si="18"/>
        <v>399.00000000000011</v>
      </c>
      <c r="BB54" s="12"/>
      <c r="BC54" s="12"/>
      <c r="BD54" s="12"/>
      <c r="BE54" s="12"/>
      <c r="BF54" s="12"/>
      <c r="BG54" s="12"/>
      <c r="BH54" s="12"/>
    </row>
    <row r="55" spans="1:60" ht="15.75" customHeight="1">
      <c r="A55" s="153">
        <v>25</v>
      </c>
      <c r="B55" s="154" t="s">
        <v>355</v>
      </c>
      <c r="C55" s="53">
        <f>IFERROR(C$6/C29/(1-0.9)*IF(C70="Bingo",0.1,1)-1,"Choose Bet")</f>
        <v>102699.00000000003</v>
      </c>
      <c r="D55" s="53">
        <f t="shared" ref="D55:BA55" si="19">IFERROR(D$6/D29/(1-0.9)*IF(D70="Bingo",0.1,1)-1,"Choose Bet")</f>
        <v>999.00000000000023</v>
      </c>
      <c r="E55" s="53">
        <f t="shared" si="19"/>
        <v>1599.0000000000005</v>
      </c>
      <c r="F55" s="53">
        <f t="shared" si="19"/>
        <v>3124.0000000000009</v>
      </c>
      <c r="G55" s="53">
        <f t="shared" si="19"/>
        <v>3999.0000000000009</v>
      </c>
      <c r="H55" s="53">
        <f t="shared" si="19"/>
        <v>1110.1111111111113</v>
      </c>
      <c r="I55" s="53">
        <f t="shared" si="19"/>
        <v>1249.0000000000002</v>
      </c>
      <c r="J55" s="53">
        <f t="shared" si="19"/>
        <v>1665.666666666667</v>
      </c>
      <c r="K55" s="53">
        <f t="shared" si="19"/>
        <v>4499.0000000000009</v>
      </c>
      <c r="L55" s="53">
        <f t="shared" si="19"/>
        <v>443.44444444444451</v>
      </c>
      <c r="M55" s="53">
        <f t="shared" si="19"/>
        <v>111110.11111111114</v>
      </c>
      <c r="N55" s="53">
        <f t="shared" si="19"/>
        <v>713.28571428571445</v>
      </c>
      <c r="O55" s="53">
        <f t="shared" si="19"/>
        <v>1542.2098765432102</v>
      </c>
      <c r="P55" s="53">
        <f t="shared" si="19"/>
        <v>39999.000000000007</v>
      </c>
      <c r="Q55" s="53">
        <f t="shared" si="19"/>
        <v>1499.0000000000002</v>
      </c>
      <c r="R55" s="53" t="str">
        <f t="shared" si="19"/>
        <v>Choose Bet</v>
      </c>
      <c r="S55" s="53">
        <f t="shared" si="19"/>
        <v>2856.1428571428578</v>
      </c>
      <c r="T55" s="53">
        <f t="shared" si="19"/>
        <v>3124.0000000000009</v>
      </c>
      <c r="U55" s="53">
        <f t="shared" si="19"/>
        <v>3999.0000000000009</v>
      </c>
      <c r="V55" s="53">
        <f t="shared" si="19"/>
        <v>332.33333333333343</v>
      </c>
      <c r="W55" s="53">
        <f t="shared" si="19"/>
        <v>10484.000000000002</v>
      </c>
      <c r="X55" s="53">
        <f t="shared" si="19"/>
        <v>399.00000000000011</v>
      </c>
      <c r="Y55" s="53">
        <f t="shared" si="19"/>
        <v>499.00000000000011</v>
      </c>
      <c r="Z55" s="53">
        <f t="shared" si="19"/>
        <v>499.00000000000011</v>
      </c>
      <c r="AA55" s="53">
        <f t="shared" si="19"/>
        <v>2499.0000000000005</v>
      </c>
      <c r="AB55" s="53">
        <f t="shared" si="19"/>
        <v>3499.0000000000009</v>
      </c>
      <c r="AC55" s="53">
        <f t="shared" si="19"/>
        <v>1292999.0000000002</v>
      </c>
      <c r="AD55" s="53">
        <f t="shared" si="19"/>
        <v>399999.00000000012</v>
      </c>
      <c r="AE55" s="53">
        <f t="shared" si="19"/>
        <v>32037.000000000007</v>
      </c>
      <c r="AF55" s="53">
        <f t="shared" si="19"/>
        <v>10484.000000000002</v>
      </c>
      <c r="AG55" s="53">
        <f t="shared" si="19"/>
        <v>1672.65</v>
      </c>
      <c r="AH55" s="53">
        <f t="shared" si="19"/>
        <v>2999.0000000000005</v>
      </c>
      <c r="AI55" s="53">
        <f t="shared" si="19"/>
        <v>1331.4450366422388</v>
      </c>
      <c r="AJ55" s="53">
        <f t="shared" si="19"/>
        <v>1999.0000000000005</v>
      </c>
      <c r="AK55" s="53">
        <f t="shared" si="19"/>
        <v>66665.666666666686</v>
      </c>
      <c r="AL55" s="53">
        <f t="shared" si="19"/>
        <v>88.664772727272776</v>
      </c>
      <c r="AM55" s="53">
        <f t="shared" si="19"/>
        <v>649.46500000000015</v>
      </c>
      <c r="AN55" s="53">
        <f t="shared" si="19"/>
        <v>164.15384615384619</v>
      </c>
      <c r="AO55" s="53">
        <f t="shared" si="19"/>
        <v>37.93037931034484</v>
      </c>
      <c r="AP55" s="53">
        <f t="shared" si="19"/>
        <v>38.677866666666681</v>
      </c>
      <c r="AQ55" s="53">
        <f t="shared" si="19"/>
        <v>206.72000000000003</v>
      </c>
      <c r="AR55" s="53">
        <f t="shared" si="19"/>
        <v>167.67000000000007</v>
      </c>
      <c r="AS55" s="53">
        <f t="shared" si="19"/>
        <v>2499.0000000000005</v>
      </c>
      <c r="AT55" s="53">
        <f t="shared" si="19"/>
        <v>230396.59036144582</v>
      </c>
      <c r="AU55" s="53">
        <f t="shared" si="19"/>
        <v>1499.0000000000002</v>
      </c>
      <c r="AV55" s="53">
        <f t="shared" si="19"/>
        <v>6387.0000000000009</v>
      </c>
      <c r="AW55" s="53">
        <f t="shared" si="19"/>
        <v>669399.00000000012</v>
      </c>
      <c r="AX55" s="53">
        <f t="shared" si="19"/>
        <v>50899.000000000015</v>
      </c>
      <c r="AY55" s="53">
        <f t="shared" si="19"/>
        <v>799.00000000000023</v>
      </c>
      <c r="AZ55" s="53">
        <f t="shared" si="19"/>
        <v>1663.666666666667</v>
      </c>
      <c r="BA55" s="53">
        <f t="shared" si="19"/>
        <v>3999.0000000000009</v>
      </c>
      <c r="BB55" s="12"/>
      <c r="BC55" s="12"/>
      <c r="BD55" s="12"/>
      <c r="BE55" s="12"/>
      <c r="BF55" s="12"/>
      <c r="BG55" s="12"/>
      <c r="BH55" s="12"/>
    </row>
    <row r="56" spans="1:60" ht="15.75" customHeight="1">
      <c r="A56" s="153">
        <v>26</v>
      </c>
      <c r="B56" s="70"/>
      <c r="C56" s="71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80"/>
      <c r="BB56" s="12"/>
      <c r="BC56" s="12"/>
      <c r="BD56" s="12"/>
      <c r="BE56" s="12"/>
      <c r="BF56" s="12"/>
      <c r="BG56" s="12"/>
      <c r="BH56" s="12"/>
    </row>
    <row r="57" spans="1:60" ht="15.75" customHeight="1">
      <c r="A57" s="153">
        <v>27</v>
      </c>
      <c r="B57" s="154" t="s">
        <v>356</v>
      </c>
      <c r="C57" s="53">
        <f>IFERROR(C49/C28/(1-0.95),"N/A")</f>
        <v>359.99999999999966</v>
      </c>
      <c r="D57" s="53">
        <f t="shared" ref="D57:AI57" si="20">IFERROR(D49/D28/(1-0.95)*IF(D70="Bingo",0.05,1),"N/A")</f>
        <v>249.99999999999977</v>
      </c>
      <c r="E57" s="53">
        <f t="shared" si="20"/>
        <v>351.99999999999972</v>
      </c>
      <c r="F57" s="53">
        <f t="shared" si="20"/>
        <v>569.99999999999955</v>
      </c>
      <c r="G57" s="53" t="str">
        <f t="shared" si="20"/>
        <v>N/A</v>
      </c>
      <c r="H57" s="53">
        <f t="shared" si="20"/>
        <v>8888.8888888888814</v>
      </c>
      <c r="I57" s="53">
        <f t="shared" si="20"/>
        <v>833.33333333333258</v>
      </c>
      <c r="J57" s="53" t="str">
        <f t="shared" si="20"/>
        <v>N/A</v>
      </c>
      <c r="K57" s="53">
        <f t="shared" si="20"/>
        <v>4399.9999999999964</v>
      </c>
      <c r="L57" s="53">
        <f t="shared" si="20"/>
        <v>55.555555555555507</v>
      </c>
      <c r="M57" s="53">
        <f t="shared" si="20"/>
        <v>6666.6666666666606</v>
      </c>
      <c r="N57" s="53">
        <f t="shared" si="20"/>
        <v>457.14285714285677</v>
      </c>
      <c r="O57" s="53">
        <f t="shared" si="20"/>
        <v>833.33333333333258</v>
      </c>
      <c r="P57" s="53">
        <f t="shared" si="20"/>
        <v>79999.999999999927</v>
      </c>
      <c r="Q57" s="53">
        <f t="shared" si="20"/>
        <v>666.66666666666617</v>
      </c>
      <c r="R57" s="53">
        <f t="shared" si="20"/>
        <v>799.99999999999932</v>
      </c>
      <c r="S57" s="53">
        <f t="shared" si="20"/>
        <v>952.38095238095161</v>
      </c>
      <c r="T57" s="53">
        <f t="shared" si="20"/>
        <v>1799.9999999999984</v>
      </c>
      <c r="U57" s="53">
        <f t="shared" si="20"/>
        <v>1599.9999999999986</v>
      </c>
      <c r="V57" s="53">
        <f t="shared" si="20"/>
        <v>699.99999999999943</v>
      </c>
      <c r="W57" s="53">
        <f t="shared" si="20"/>
        <v>1199.9999999999989</v>
      </c>
      <c r="X57" s="53">
        <f t="shared" si="20"/>
        <v>599.99999999999943</v>
      </c>
      <c r="Y57" s="53">
        <f t="shared" si="20"/>
        <v>599.99999999999943</v>
      </c>
      <c r="Z57" s="53">
        <f t="shared" si="20"/>
        <v>2999.9999999999973</v>
      </c>
      <c r="AA57" s="53">
        <f t="shared" si="20"/>
        <v>5759.9999999999945</v>
      </c>
      <c r="AB57" s="53">
        <f t="shared" si="20"/>
        <v>159.99999999999986</v>
      </c>
      <c r="AC57" s="53">
        <f t="shared" si="20"/>
        <v>71.999999999999943</v>
      </c>
      <c r="AD57" s="53">
        <f t="shared" si="20"/>
        <v>82799.999999999927</v>
      </c>
      <c r="AE57" s="53">
        <f t="shared" si="20"/>
        <v>3999.9999999999964</v>
      </c>
      <c r="AF57" s="53">
        <f t="shared" si="20"/>
        <v>1199.9999999999989</v>
      </c>
      <c r="AG57" s="53">
        <f t="shared" si="20"/>
        <v>2159.9999999999982</v>
      </c>
      <c r="AH57" s="53">
        <f t="shared" si="20"/>
        <v>799.99999999999932</v>
      </c>
      <c r="AI57" s="53">
        <f t="shared" si="20"/>
        <v>699.5336442371746</v>
      </c>
      <c r="AJ57" s="53" t="str">
        <f>IFERROR(AJ49/AJ28/(1-0.95)*IF(AJ70="Bingo",0.05,1),"N/A")</f>
        <v>N/A</v>
      </c>
      <c r="AK57" s="53">
        <f t="shared" ref="AK57:BA57" si="21">IFERROR(AK49/AK28/(1-0.95)*IF(AK70="Bingo",0.05,1),"N/A")</f>
        <v>33333.333333333307</v>
      </c>
      <c r="AL57" s="53" t="str">
        <f t="shared" si="21"/>
        <v>N/A</v>
      </c>
      <c r="AM57" s="53" t="str">
        <f t="shared" si="21"/>
        <v>N/A</v>
      </c>
      <c r="AN57" s="53" t="str">
        <f t="shared" si="21"/>
        <v>N/A</v>
      </c>
      <c r="AO57" s="53" t="str">
        <f t="shared" si="21"/>
        <v>N/A</v>
      </c>
      <c r="AP57" s="53" t="str">
        <f t="shared" si="21"/>
        <v>N/A</v>
      </c>
      <c r="AQ57" s="53" t="str">
        <f t="shared" si="21"/>
        <v>N/A</v>
      </c>
      <c r="AR57" s="53" t="str">
        <f t="shared" si="21"/>
        <v>N/A</v>
      </c>
      <c r="AS57" s="53">
        <f t="shared" si="21"/>
        <v>499.99999999999955</v>
      </c>
      <c r="AT57" s="53">
        <f t="shared" si="21"/>
        <v>65999.999999999942</v>
      </c>
      <c r="AU57" s="53">
        <f t="shared" si="21"/>
        <v>1999.9999999999982</v>
      </c>
      <c r="AV57" s="53">
        <f t="shared" si="21"/>
        <v>119.99999999999989</v>
      </c>
      <c r="AW57" s="53">
        <f t="shared" si="21"/>
        <v>599999.99999999942</v>
      </c>
      <c r="AX57" s="53">
        <f t="shared" si="21"/>
        <v>19999.999999999982</v>
      </c>
      <c r="AY57" s="53">
        <f t="shared" si="21"/>
        <v>1999.9999999999982</v>
      </c>
      <c r="AZ57" s="53">
        <f t="shared" si="21"/>
        <v>499.99999999999955</v>
      </c>
      <c r="BA57" s="53">
        <f t="shared" si="21"/>
        <v>359.99999999999966</v>
      </c>
      <c r="BB57" s="12"/>
      <c r="BC57" s="12"/>
      <c r="BD57" s="12"/>
      <c r="BE57" s="12"/>
      <c r="BF57" s="12"/>
      <c r="BG57" s="12"/>
      <c r="BH57" s="12"/>
    </row>
    <row r="58" spans="1:60" ht="15.75" customHeight="1">
      <c r="A58" s="153">
        <v>28</v>
      </c>
      <c r="B58" s="154" t="s">
        <v>357</v>
      </c>
      <c r="C58" s="53">
        <f>IFERROR(C49/C29/(1-0.95),"")</f>
        <v>35999.999999999971</v>
      </c>
      <c r="D58" s="53">
        <f t="shared" ref="D58:BA58" si="22">IFERROR(D49/D29/(1-0.95),"")</f>
        <v>249.99999999999977</v>
      </c>
      <c r="E58" s="53">
        <f t="shared" si="22"/>
        <v>351.99999999999972</v>
      </c>
      <c r="F58" s="53">
        <f t="shared" si="22"/>
        <v>5699.9999999999945</v>
      </c>
      <c r="G58" s="53">
        <f t="shared" si="22"/>
        <v>399.99999999999966</v>
      </c>
      <c r="H58" s="53">
        <f t="shared" si="22"/>
        <v>8888.8888888888814</v>
      </c>
      <c r="I58" s="53">
        <f t="shared" si="22"/>
        <v>833.33333333333258</v>
      </c>
      <c r="J58" s="53">
        <f t="shared" si="22"/>
        <v>999.99999999999909</v>
      </c>
      <c r="K58" s="53">
        <f t="shared" si="22"/>
        <v>21999.999999999982</v>
      </c>
      <c r="L58" s="53">
        <f t="shared" si="22"/>
        <v>55.555555555555507</v>
      </c>
      <c r="M58" s="53">
        <f t="shared" si="22"/>
        <v>66666.666666666599</v>
      </c>
      <c r="N58" s="53">
        <f t="shared" si="22"/>
        <v>857.14285714285631</v>
      </c>
      <c r="O58" s="53">
        <f t="shared" si="22"/>
        <v>2469.1358024691335</v>
      </c>
      <c r="P58" s="53">
        <f t="shared" si="22"/>
        <v>79999.999999999927</v>
      </c>
      <c r="Q58" s="53">
        <f t="shared" si="22"/>
        <v>1999.9999999999982</v>
      </c>
      <c r="R58" s="53">
        <f t="shared" si="22"/>
        <v>799.99999999999932</v>
      </c>
      <c r="S58" s="53">
        <f t="shared" si="22"/>
        <v>952.38095238095161</v>
      </c>
      <c r="T58" s="53">
        <f t="shared" si="22"/>
        <v>1799.9999999999984</v>
      </c>
      <c r="U58" s="53">
        <f t="shared" si="22"/>
        <v>1599.9999999999986</v>
      </c>
      <c r="V58" s="53">
        <f t="shared" si="22"/>
        <v>699.99999999999943</v>
      </c>
      <c r="W58" s="53">
        <f t="shared" si="22"/>
        <v>1199.9999999999989</v>
      </c>
      <c r="X58" s="53">
        <f t="shared" si="22"/>
        <v>599.99999999999943</v>
      </c>
      <c r="Y58" s="53">
        <f t="shared" si="22"/>
        <v>599.99999999999943</v>
      </c>
      <c r="Z58" s="53">
        <f t="shared" si="22"/>
        <v>2999.9999999999973</v>
      </c>
      <c r="AA58" s="53">
        <f t="shared" si="22"/>
        <v>14399.999999999987</v>
      </c>
      <c r="AB58" s="53">
        <f t="shared" si="22"/>
        <v>1599.9999999999986</v>
      </c>
      <c r="AC58" s="53">
        <f t="shared" si="22"/>
        <v>287999.99999999977</v>
      </c>
      <c r="AD58" s="53">
        <f t="shared" si="22"/>
        <v>165599.99999999985</v>
      </c>
      <c r="AE58" s="53">
        <f t="shared" si="22"/>
        <v>3999.9999999999964</v>
      </c>
      <c r="AF58" s="53">
        <f t="shared" si="22"/>
        <v>1199.9999999999989</v>
      </c>
      <c r="AG58" s="53">
        <f t="shared" si="22"/>
        <v>2159.9999999999982</v>
      </c>
      <c r="AH58" s="53">
        <f t="shared" si="22"/>
        <v>799.99999999999932</v>
      </c>
      <c r="AI58" s="53">
        <f t="shared" si="22"/>
        <v>2098.6009327115239</v>
      </c>
      <c r="AJ58" s="53">
        <f t="shared" si="22"/>
        <v>799.99999999999932</v>
      </c>
      <c r="AK58" s="53">
        <f t="shared" si="22"/>
        <v>333333.33333333308</v>
      </c>
      <c r="AL58" s="53">
        <f t="shared" si="22"/>
        <v>299.99999999999972</v>
      </c>
      <c r="AM58" s="53">
        <f t="shared" si="22"/>
        <v>399.99999999999966</v>
      </c>
      <c r="AN58" s="53">
        <f t="shared" si="22"/>
        <v>199.99999999999983</v>
      </c>
      <c r="AO58" s="53">
        <f t="shared" si="22"/>
        <v>131.99999999999989</v>
      </c>
      <c r="AP58" s="53">
        <f t="shared" si="22"/>
        <v>207.99999999999983</v>
      </c>
      <c r="AQ58" s="53">
        <f t="shared" si="22"/>
        <v>159.99999999999986</v>
      </c>
      <c r="AR58" s="53">
        <f t="shared" si="22"/>
        <v>199.99999999999983</v>
      </c>
      <c r="AS58" s="53">
        <f t="shared" si="22"/>
        <v>24999.999999999978</v>
      </c>
      <c r="AT58" s="53">
        <f t="shared" si="22"/>
        <v>1319999.9999999988</v>
      </c>
      <c r="AU58" s="53">
        <f t="shared" si="22"/>
        <v>3999.9999999999964</v>
      </c>
      <c r="AV58" s="53">
        <f t="shared" si="22"/>
        <v>2399.9999999999977</v>
      </c>
      <c r="AW58" s="53">
        <f t="shared" si="22"/>
        <v>11999999.999999989</v>
      </c>
      <c r="AX58" s="53">
        <f t="shared" si="22"/>
        <v>399999.99999999965</v>
      </c>
      <c r="AY58" s="53">
        <f t="shared" si="22"/>
        <v>79999.999999999927</v>
      </c>
      <c r="AZ58" s="53">
        <f t="shared" si="22"/>
        <v>499.99999999999955</v>
      </c>
      <c r="BA58" s="53">
        <f t="shared" si="22"/>
        <v>3599.9999999999968</v>
      </c>
      <c r="BB58" s="12"/>
      <c r="BC58" s="12"/>
      <c r="BD58" s="12"/>
      <c r="BE58" s="12"/>
      <c r="BF58" s="12"/>
      <c r="BG58" s="12"/>
      <c r="BH58" s="12"/>
    </row>
    <row r="59" spans="1:60" ht="15.75" customHeight="1">
      <c r="A59" s="153">
        <v>29</v>
      </c>
      <c r="B59" s="70"/>
      <c r="C59" s="71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80"/>
      <c r="BB59" s="12"/>
      <c r="BC59" s="12"/>
      <c r="BD59" s="12"/>
      <c r="BE59" s="12"/>
      <c r="BF59" s="12"/>
      <c r="BG59" s="12"/>
      <c r="BH59" s="12"/>
    </row>
    <row r="60" spans="1:60" ht="15.75" customHeight="1">
      <c r="A60" s="153">
        <v>30</v>
      </c>
      <c r="B60" s="154" t="s">
        <v>358</v>
      </c>
      <c r="C60" s="53">
        <f t="shared" ref="C60:F60" si="23">IFERROR(C$7/C28,"")</f>
        <v>100</v>
      </c>
      <c r="D60" s="51">
        <f t="shared" si="23"/>
        <v>100</v>
      </c>
      <c r="E60" s="51">
        <f t="shared" si="23"/>
        <v>160</v>
      </c>
      <c r="F60" s="51">
        <f t="shared" si="23"/>
        <v>31.25</v>
      </c>
      <c r="G60" s="51" t="str">
        <f>IFERROR(G$7/G28,"Choose Bet")</f>
        <v>Choose Bet</v>
      </c>
      <c r="H60" s="51">
        <f t="shared" ref="H60:I60" si="24">IFERROR(H$7/H28,"")</f>
        <v>111.11111111111111</v>
      </c>
      <c r="I60" s="51">
        <f t="shared" si="24"/>
        <v>125</v>
      </c>
      <c r="J60" s="51" t="str">
        <f>IFERROR(J$7/J28,"Choose Bet")</f>
        <v>Choose Bet</v>
      </c>
      <c r="K60" s="51">
        <f t="shared" ref="K60:AI60" si="25">IFERROR(K$7/K28,"")</f>
        <v>90</v>
      </c>
      <c r="L60" s="51">
        <f t="shared" si="25"/>
        <v>44.444444444444443</v>
      </c>
      <c r="M60" s="51">
        <f t="shared" si="25"/>
        <v>1111.1111111111111</v>
      </c>
      <c r="N60" s="51">
        <f t="shared" si="25"/>
        <v>38.095238095238095</v>
      </c>
      <c r="O60" s="51">
        <f t="shared" si="25"/>
        <v>52.083333333333336</v>
      </c>
      <c r="P60" s="51">
        <f t="shared" si="25"/>
        <v>4000</v>
      </c>
      <c r="Q60" s="51">
        <f t="shared" si="25"/>
        <v>50</v>
      </c>
      <c r="R60" s="51">
        <f t="shared" si="25"/>
        <v>16.666666666666668</v>
      </c>
      <c r="S60" s="51">
        <f t="shared" si="25"/>
        <v>285.71428571428572</v>
      </c>
      <c r="T60" s="51">
        <f t="shared" si="25"/>
        <v>312.5</v>
      </c>
      <c r="U60" s="51">
        <f t="shared" si="25"/>
        <v>400</v>
      </c>
      <c r="V60" s="51">
        <f t="shared" si="25"/>
        <v>33.333333333333336</v>
      </c>
      <c r="W60" s="51">
        <f t="shared" si="25"/>
        <v>300</v>
      </c>
      <c r="X60" s="51">
        <f t="shared" si="25"/>
        <v>40</v>
      </c>
      <c r="Y60" s="51">
        <f t="shared" si="25"/>
        <v>50</v>
      </c>
      <c r="Z60" s="51">
        <f t="shared" si="25"/>
        <v>50</v>
      </c>
      <c r="AA60" s="51">
        <f t="shared" si="25"/>
        <v>100</v>
      </c>
      <c r="AB60" s="51">
        <f t="shared" si="25"/>
        <v>35</v>
      </c>
      <c r="AC60" s="51">
        <f t="shared" si="25"/>
        <v>32.325000000000003</v>
      </c>
      <c r="AD60" s="51">
        <f t="shared" si="25"/>
        <v>20000</v>
      </c>
      <c r="AE60" s="51">
        <f t="shared" si="25"/>
        <v>6</v>
      </c>
      <c r="AF60" s="51">
        <f t="shared" si="25"/>
        <v>300</v>
      </c>
      <c r="AG60" s="51">
        <f t="shared" si="25"/>
        <v>100</v>
      </c>
      <c r="AH60" s="51">
        <f t="shared" si="25"/>
        <v>300</v>
      </c>
      <c r="AI60" s="51">
        <f t="shared" si="25"/>
        <v>44.414834554741283</v>
      </c>
      <c r="AJ60" s="51" t="str">
        <f>IFERROR(AJ$7/AJ28,"Choose Bet")</f>
        <v>Choose Bet</v>
      </c>
      <c r="AK60" s="51">
        <f>IFERROR(AK$7/AK28,"")</f>
        <v>666.66666666666663</v>
      </c>
      <c r="AL60" s="51" t="str">
        <f t="shared" ref="AL60:AR60" si="26">IFERROR(AL$7/AL28,"Choose Bet")</f>
        <v>Choose Bet</v>
      </c>
      <c r="AM60" s="51" t="str">
        <f t="shared" si="26"/>
        <v>Choose Bet</v>
      </c>
      <c r="AN60" s="51" t="str">
        <f t="shared" si="26"/>
        <v>Choose Bet</v>
      </c>
      <c r="AO60" s="51" t="str">
        <f t="shared" si="26"/>
        <v>Choose Bet</v>
      </c>
      <c r="AP60" s="51" t="str">
        <f t="shared" si="26"/>
        <v>Choose Bet</v>
      </c>
      <c r="AQ60" s="51" t="str">
        <f t="shared" si="26"/>
        <v>Choose Bet</v>
      </c>
      <c r="AR60" s="51" t="str">
        <f t="shared" si="26"/>
        <v>Choose Bet</v>
      </c>
      <c r="AS60" s="51">
        <f t="shared" ref="AS60:BA60" si="27">IFERROR(AS$7/AS28,"")</f>
        <v>5</v>
      </c>
      <c r="AT60" s="51">
        <f t="shared" si="27"/>
        <v>160</v>
      </c>
      <c r="AU60" s="51">
        <f t="shared" si="27"/>
        <v>75</v>
      </c>
      <c r="AV60" s="51">
        <f t="shared" si="27"/>
        <v>2</v>
      </c>
      <c r="AW60" s="51">
        <f t="shared" si="27"/>
        <v>350</v>
      </c>
      <c r="AX60" s="51">
        <f t="shared" si="27"/>
        <v>5</v>
      </c>
      <c r="AY60" s="51">
        <f t="shared" si="27"/>
        <v>2</v>
      </c>
      <c r="AZ60" s="51">
        <f t="shared" si="27"/>
        <v>66.666666666666671</v>
      </c>
      <c r="BA60" s="64">
        <f t="shared" si="27"/>
        <v>40</v>
      </c>
      <c r="BB60" s="12"/>
      <c r="BC60" s="12"/>
      <c r="BD60" s="12"/>
      <c r="BE60" s="12"/>
      <c r="BF60" s="12"/>
      <c r="BG60" s="12"/>
      <c r="BH60" s="12"/>
    </row>
    <row r="61" spans="1:60" ht="15.75" customHeight="1">
      <c r="A61" s="153">
        <v>31</v>
      </c>
      <c r="B61" s="154" t="s">
        <v>359</v>
      </c>
      <c r="C61" s="53">
        <f t="shared" ref="C61:BA61" si="28">IFERROR(C$7/C29,"")</f>
        <v>10000</v>
      </c>
      <c r="D61" s="51">
        <f t="shared" si="28"/>
        <v>100</v>
      </c>
      <c r="E61" s="51">
        <f t="shared" si="28"/>
        <v>160</v>
      </c>
      <c r="F61" s="51">
        <f t="shared" si="28"/>
        <v>312.5</v>
      </c>
      <c r="G61" s="51">
        <f t="shared" si="28"/>
        <v>400</v>
      </c>
      <c r="H61" s="51">
        <f t="shared" si="28"/>
        <v>111.11111111111111</v>
      </c>
      <c r="I61" s="51">
        <f t="shared" si="28"/>
        <v>125</v>
      </c>
      <c r="J61" s="51">
        <f t="shared" si="28"/>
        <v>166.66666666666666</v>
      </c>
      <c r="K61" s="51">
        <f t="shared" si="28"/>
        <v>450</v>
      </c>
      <c r="L61" s="51">
        <f t="shared" si="28"/>
        <v>44.444444444444443</v>
      </c>
      <c r="M61" s="51">
        <f t="shared" si="28"/>
        <v>11111.111111111111</v>
      </c>
      <c r="N61" s="51">
        <f t="shared" si="28"/>
        <v>71.428571428571431</v>
      </c>
      <c r="O61" s="51">
        <f t="shared" si="28"/>
        <v>154.32098765432099</v>
      </c>
      <c r="P61" s="51">
        <f t="shared" si="28"/>
        <v>4000</v>
      </c>
      <c r="Q61" s="51">
        <f t="shared" si="28"/>
        <v>150</v>
      </c>
      <c r="R61" s="51">
        <f t="shared" si="28"/>
        <v>16.666666666666668</v>
      </c>
      <c r="S61" s="51">
        <f t="shared" si="28"/>
        <v>285.71428571428572</v>
      </c>
      <c r="T61" s="51">
        <f t="shared" si="28"/>
        <v>312.5</v>
      </c>
      <c r="U61" s="51">
        <f t="shared" si="28"/>
        <v>400</v>
      </c>
      <c r="V61" s="51">
        <f t="shared" si="28"/>
        <v>33.333333333333336</v>
      </c>
      <c r="W61" s="51">
        <f t="shared" si="28"/>
        <v>300</v>
      </c>
      <c r="X61" s="51">
        <f t="shared" si="28"/>
        <v>40</v>
      </c>
      <c r="Y61" s="51">
        <f t="shared" si="28"/>
        <v>50</v>
      </c>
      <c r="Z61" s="51">
        <f t="shared" si="28"/>
        <v>50</v>
      </c>
      <c r="AA61" s="51">
        <f t="shared" si="28"/>
        <v>250</v>
      </c>
      <c r="AB61" s="51">
        <f t="shared" si="28"/>
        <v>350</v>
      </c>
      <c r="AC61" s="51">
        <f t="shared" si="28"/>
        <v>129300</v>
      </c>
      <c r="AD61" s="51">
        <f t="shared" si="28"/>
        <v>40000</v>
      </c>
      <c r="AE61" s="51">
        <f t="shared" si="28"/>
        <v>6</v>
      </c>
      <c r="AF61" s="51">
        <f t="shared" si="28"/>
        <v>300</v>
      </c>
      <c r="AG61" s="51">
        <f t="shared" si="28"/>
        <v>100</v>
      </c>
      <c r="AH61" s="51">
        <f t="shared" si="28"/>
        <v>300</v>
      </c>
      <c r="AI61" s="51">
        <f t="shared" si="28"/>
        <v>133.24450366422386</v>
      </c>
      <c r="AJ61" s="51">
        <f t="shared" si="28"/>
        <v>200</v>
      </c>
      <c r="AK61" s="51">
        <f t="shared" si="28"/>
        <v>6666.666666666667</v>
      </c>
      <c r="AL61" s="51">
        <f t="shared" si="28"/>
        <v>30</v>
      </c>
      <c r="AM61" s="51">
        <f t="shared" si="28"/>
        <v>50</v>
      </c>
      <c r="AN61" s="51">
        <f t="shared" si="28"/>
        <v>50</v>
      </c>
      <c r="AO61" s="51">
        <f t="shared" si="28"/>
        <v>30</v>
      </c>
      <c r="AP61" s="51">
        <f t="shared" si="28"/>
        <v>12</v>
      </c>
      <c r="AQ61" s="51">
        <f t="shared" si="28"/>
        <v>68</v>
      </c>
      <c r="AR61" s="51">
        <f t="shared" si="28"/>
        <v>50</v>
      </c>
      <c r="AS61" s="51">
        <f t="shared" si="28"/>
        <v>250</v>
      </c>
      <c r="AT61" s="51">
        <f t="shared" si="28"/>
        <v>3200</v>
      </c>
      <c r="AU61" s="51">
        <f t="shared" si="28"/>
        <v>150</v>
      </c>
      <c r="AV61" s="51">
        <f t="shared" si="28"/>
        <v>40</v>
      </c>
      <c r="AW61" s="51">
        <f t="shared" si="28"/>
        <v>7000</v>
      </c>
      <c r="AX61" s="51">
        <f t="shared" si="28"/>
        <v>100</v>
      </c>
      <c r="AY61" s="51">
        <f t="shared" si="28"/>
        <v>80</v>
      </c>
      <c r="AZ61" s="51">
        <f t="shared" si="28"/>
        <v>66.666666666666671</v>
      </c>
      <c r="BA61" s="64">
        <f t="shared" si="28"/>
        <v>400</v>
      </c>
      <c r="BB61" s="12"/>
      <c r="BC61" s="12"/>
      <c r="BD61" s="12"/>
      <c r="BE61" s="12"/>
      <c r="BF61" s="12"/>
      <c r="BG61" s="12"/>
      <c r="BH61" s="12"/>
    </row>
    <row r="62" spans="1:60" ht="15.75" customHeight="1">
      <c r="A62" s="12"/>
      <c r="B62" s="70"/>
      <c r="C62" s="71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80"/>
      <c r="BB62" s="12"/>
      <c r="BC62" s="12"/>
      <c r="BD62" s="12"/>
      <c r="BE62" s="12"/>
      <c r="BF62" s="12"/>
      <c r="BG62" s="12"/>
      <c r="BH62" s="12"/>
    </row>
    <row r="63" spans="1:60" ht="15.75" customHeight="1">
      <c r="A63" s="12"/>
      <c r="B63" s="154" t="s">
        <v>360</v>
      </c>
      <c r="C63" s="53">
        <f t="shared" ref="C63:F63" si="29">IFERROR(C46/C28/(1-0.95)-1,"")</f>
        <v>554.59999999999957</v>
      </c>
      <c r="D63" s="51">
        <f t="shared" si="29"/>
        <v>354.99999999999972</v>
      </c>
      <c r="E63" s="51">
        <f t="shared" si="29"/>
        <v>2207.3199999999979</v>
      </c>
      <c r="F63" s="51">
        <f t="shared" si="29"/>
        <v>1707.4999999999984</v>
      </c>
      <c r="G63" s="51" t="str">
        <f>IFERROR(G46/G28/(1-0.95)-1,"Choose Bet")</f>
        <v>Choose Bet</v>
      </c>
      <c r="H63" s="51">
        <f t="shared" ref="H63:I63" si="30">IFERROR(H46/H28/(1-0.95)-1,"")</f>
        <v>2458.2592592592573</v>
      </c>
      <c r="I63" s="51">
        <f t="shared" si="30"/>
        <v>499.99999999999955</v>
      </c>
      <c r="J63" s="51" t="str">
        <f>IFERROR(J46/J28/(1-0.95)-1,"Choose Bet")</f>
        <v>Choose Bet</v>
      </c>
      <c r="K63" s="51">
        <f t="shared" ref="K63:AI63" si="31">IFERROR(K46/K28/(1-0.95)-1,"")</f>
        <v>2303.3999999999978</v>
      </c>
      <c r="L63" s="51">
        <f t="shared" si="31"/>
        <v>643.44444444444389</v>
      </c>
      <c r="M63" s="51">
        <f t="shared" si="31"/>
        <v>5594.5555555555502</v>
      </c>
      <c r="N63" s="51">
        <f t="shared" si="31"/>
        <v>1753.2857142857126</v>
      </c>
      <c r="O63" s="51">
        <f t="shared" si="31"/>
        <v>269.21666666666647</v>
      </c>
      <c r="P63" s="51">
        <f t="shared" si="31"/>
        <v>68125.666666666613</v>
      </c>
      <c r="Q63" s="51">
        <f t="shared" si="31"/>
        <v>3424.5555555555525</v>
      </c>
      <c r="R63" s="51">
        <f t="shared" si="31"/>
        <v>159.69533333333317</v>
      </c>
      <c r="S63" s="51">
        <f t="shared" si="31"/>
        <v>3249.339999999997</v>
      </c>
      <c r="T63" s="51">
        <f t="shared" si="31"/>
        <v>1598.9999999999986</v>
      </c>
      <c r="U63" s="51">
        <f t="shared" si="31"/>
        <v>8498.9999999999927</v>
      </c>
      <c r="V63" s="51">
        <f t="shared" si="31"/>
        <v>465.66666666666623</v>
      </c>
      <c r="W63" s="51">
        <f t="shared" si="31"/>
        <v>2143.7999999999979</v>
      </c>
      <c r="X63" s="51">
        <f t="shared" si="31"/>
        <v>1398.9999999999989</v>
      </c>
      <c r="Y63" s="51">
        <f t="shared" si="31"/>
        <v>1371.9166666666654</v>
      </c>
      <c r="Z63" s="51">
        <f t="shared" si="31"/>
        <v>1498.9999999999986</v>
      </c>
      <c r="AA63" s="51">
        <f t="shared" si="31"/>
        <v>254.99999999999977</v>
      </c>
      <c r="AB63" s="51">
        <f t="shared" si="31"/>
        <v>126.24999999999989</v>
      </c>
      <c r="AC63" s="51">
        <f t="shared" si="31"/>
        <v>0.3735999999999986</v>
      </c>
      <c r="AD63" s="51">
        <f t="shared" si="31"/>
        <v>109598.9999999999</v>
      </c>
      <c r="AE63" s="51">
        <f t="shared" si="31"/>
        <v>5982.9999999999945</v>
      </c>
      <c r="AF63" s="51">
        <f t="shared" si="31"/>
        <v>3059.9999999999977</v>
      </c>
      <c r="AG63" s="51">
        <f t="shared" si="31"/>
        <v>1038.9999999999991</v>
      </c>
      <c r="AH63" s="51">
        <f t="shared" si="31"/>
        <v>1518.9999999999986</v>
      </c>
      <c r="AI63" s="51">
        <f t="shared" si="31"/>
        <v>360.53675327559375</v>
      </c>
      <c r="AJ63" s="51" t="str">
        <f>IFERROR(AJ46/AJ28/(1-0.95)-1,"Choose Bet")</f>
        <v>Choose Bet</v>
      </c>
      <c r="AK63" s="51">
        <f>IFERROR(AK46/AK28/(1-0.95)-1,"")</f>
        <v>25198.999999999978</v>
      </c>
      <c r="AL63" s="51" t="str">
        <f t="shared" ref="AL63:AR63" si="32">IFERROR(AL46/AL28/(1-0.95)-1,"Choose Bet")</f>
        <v>Choose Bet</v>
      </c>
      <c r="AM63" s="51" t="str">
        <f t="shared" si="32"/>
        <v>Choose Bet</v>
      </c>
      <c r="AN63" s="51" t="str">
        <f t="shared" si="32"/>
        <v>Choose Bet</v>
      </c>
      <c r="AO63" s="51" t="str">
        <f t="shared" si="32"/>
        <v>Choose Bet</v>
      </c>
      <c r="AP63" s="51" t="str">
        <f t="shared" si="32"/>
        <v>Choose Bet</v>
      </c>
      <c r="AQ63" s="51" t="str">
        <f t="shared" si="32"/>
        <v>Choose Bet</v>
      </c>
      <c r="AR63" s="51" t="str">
        <f t="shared" si="32"/>
        <v>Choose Bet</v>
      </c>
      <c r="AS63" s="51">
        <f t="shared" ref="AS63:BA63" si="33">IFERROR(AS46/AS28/(1-0.95)-1,"")</f>
        <v>124.99999999999989</v>
      </c>
      <c r="AT63" s="51">
        <f t="shared" si="33"/>
        <v>14640.799999999988</v>
      </c>
      <c r="AU63" s="51">
        <f t="shared" si="33"/>
        <v>1252.9999999999989</v>
      </c>
      <c r="AV63" s="51">
        <f t="shared" si="33"/>
        <v>179.99199999999985</v>
      </c>
      <c r="AW63" s="51">
        <f t="shared" si="33"/>
        <v>15578.999999999985</v>
      </c>
      <c r="AX63" s="51">
        <f t="shared" si="33"/>
        <v>106.99999999999991</v>
      </c>
      <c r="AY63" s="51">
        <f t="shared" si="33"/>
        <v>25.099999999999977</v>
      </c>
      <c r="AZ63" s="51">
        <f t="shared" si="33"/>
        <v>487.38573333333284</v>
      </c>
      <c r="BA63" s="64">
        <f t="shared" si="33"/>
        <v>198.99999999999983</v>
      </c>
      <c r="BB63" s="12"/>
      <c r="BC63" s="12"/>
      <c r="BD63" s="12"/>
      <c r="BE63" s="12"/>
      <c r="BF63" s="12"/>
      <c r="BG63" s="12"/>
      <c r="BH63" s="12"/>
    </row>
    <row r="64" spans="1:60" ht="15.75" customHeight="1">
      <c r="A64" s="12"/>
      <c r="B64" s="70"/>
      <c r="C64" s="71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80"/>
      <c r="BB64" s="12"/>
      <c r="BC64" s="12"/>
      <c r="BD64" s="12"/>
      <c r="BE64" s="12"/>
      <c r="BF64" s="12"/>
      <c r="BG64" s="12"/>
      <c r="BH64" s="12"/>
    </row>
    <row r="65" spans="1:60" ht="15.75" customHeight="1">
      <c r="A65" s="12"/>
      <c r="B65" s="154" t="s">
        <v>361</v>
      </c>
      <c r="C65" s="159">
        <f t="shared" ref="C65:BA65" si="34">C35/C$68</f>
        <v>0.29085673146148311</v>
      </c>
      <c r="D65" s="160">
        <f t="shared" si="34"/>
        <v>1</v>
      </c>
      <c r="E65" s="160">
        <f t="shared" si="34"/>
        <v>0.61730184031299806</v>
      </c>
      <c r="F65" s="160">
        <f t="shared" si="34"/>
        <v>0.31870061457418786</v>
      </c>
      <c r="G65" s="160">
        <f t="shared" si="34"/>
        <v>0.51100244498777503</v>
      </c>
      <c r="H65" s="160">
        <f t="shared" si="34"/>
        <v>0.37951807228915663</v>
      </c>
      <c r="I65" s="160">
        <f t="shared" si="34"/>
        <v>0.83366600133067204</v>
      </c>
      <c r="J65" s="160">
        <f t="shared" si="34"/>
        <v>0.23347778981581799</v>
      </c>
      <c r="K65" s="160">
        <f t="shared" si="34"/>
        <v>6.2662732164554757E-2</v>
      </c>
      <c r="L65" s="160">
        <f t="shared" si="34"/>
        <v>0.11796733212341198</v>
      </c>
      <c r="M65" s="160">
        <f t="shared" si="34"/>
        <v>0.30976965845909449</v>
      </c>
      <c r="N65" s="160">
        <f t="shared" si="34"/>
        <v>0.5439739413680782</v>
      </c>
      <c r="O65" s="160">
        <f t="shared" si="34"/>
        <v>0.58058348239067414</v>
      </c>
      <c r="P65" s="160">
        <f t="shared" si="34"/>
        <v>0.22017809961835796</v>
      </c>
      <c r="Q65" s="160">
        <f t="shared" si="34"/>
        <v>5.0924424262082379E-2</v>
      </c>
      <c r="R65" s="160">
        <f t="shared" si="34"/>
        <v>0.83405450479789911</v>
      </c>
      <c r="S65" s="160">
        <f t="shared" si="34"/>
        <v>0.35161156766896473</v>
      </c>
      <c r="T65" s="160">
        <f t="shared" si="34"/>
        <v>1</v>
      </c>
      <c r="U65" s="160">
        <f t="shared" si="34"/>
        <v>0.36705882352941177</v>
      </c>
      <c r="V65" s="160">
        <f t="shared" si="34"/>
        <v>0</v>
      </c>
      <c r="W65" s="160">
        <f t="shared" si="34"/>
        <v>8.392390898918313E-2</v>
      </c>
      <c r="X65" s="160">
        <f t="shared" si="34"/>
        <v>0.42857142857142855</v>
      </c>
      <c r="Y65" s="160">
        <f t="shared" si="34"/>
        <v>0.41274658573596351</v>
      </c>
      <c r="Z65" s="160">
        <f t="shared" si="34"/>
        <v>0.66666666666666663</v>
      </c>
      <c r="AA65" s="160">
        <f t="shared" si="34"/>
        <v>0.953125</v>
      </c>
      <c r="AB65" s="160">
        <f t="shared" si="34"/>
        <v>0.37131630648330055</v>
      </c>
      <c r="AC65" s="160">
        <f t="shared" si="34"/>
        <v>0.70879440885264999</v>
      </c>
      <c r="AD65" s="160">
        <f t="shared" si="34"/>
        <v>0.62226277372262773</v>
      </c>
      <c r="AE65" s="160">
        <f t="shared" si="34"/>
        <v>0.13368983957219252</v>
      </c>
      <c r="AF65" s="160">
        <f t="shared" si="34"/>
        <v>7.5465534139170204E-2</v>
      </c>
      <c r="AG65" s="160">
        <f t="shared" si="34"/>
        <v>0.35897435897435898</v>
      </c>
      <c r="AH65" s="160">
        <f t="shared" si="34"/>
        <v>0.89473684210526316</v>
      </c>
      <c r="AI65" s="160">
        <f t="shared" si="34"/>
        <v>0.6314496314496314</v>
      </c>
      <c r="AJ65" s="160">
        <f t="shared" si="34"/>
        <v>0.25026303923042237</v>
      </c>
      <c r="AK65" s="160">
        <f t="shared" si="34"/>
        <v>7.9365079365079361E-2</v>
      </c>
      <c r="AL65" s="160">
        <f t="shared" si="34"/>
        <v>0.31871011696121487</v>
      </c>
      <c r="AM65" s="160">
        <f t="shared" si="34"/>
        <v>0.72446194225721794</v>
      </c>
      <c r="AN65" s="160">
        <f t="shared" si="34"/>
        <v>1</v>
      </c>
      <c r="AO65" s="160">
        <f t="shared" si="34"/>
        <v>0.93579290902923162</v>
      </c>
      <c r="AP65" s="160">
        <f t="shared" si="34"/>
        <v>0.14472536015739038</v>
      </c>
      <c r="AQ65" s="160">
        <f t="shared" si="34"/>
        <v>1</v>
      </c>
      <c r="AR65" s="160">
        <f t="shared" si="34"/>
        <v>0.41629005230284877</v>
      </c>
      <c r="AS65" s="160">
        <f t="shared" si="34"/>
        <v>0.84126984126984128</v>
      </c>
      <c r="AT65" s="160">
        <f t="shared" si="34"/>
        <v>1</v>
      </c>
      <c r="AU65" s="160">
        <f t="shared" si="34"/>
        <v>7.9744816586921854E-2</v>
      </c>
      <c r="AV65" s="160">
        <f t="shared" si="34"/>
        <v>1.4586280056577085E-2</v>
      </c>
      <c r="AW65" s="160">
        <f t="shared" si="34"/>
        <v>0.45571245186136072</v>
      </c>
      <c r="AX65" s="160">
        <f t="shared" si="34"/>
        <v>1</v>
      </c>
      <c r="AY65" s="160">
        <f t="shared" si="34"/>
        <v>1</v>
      </c>
      <c r="AZ65" s="160">
        <f t="shared" si="34"/>
        <v>0.77476819552195497</v>
      </c>
      <c r="BA65" s="161">
        <f t="shared" si="34"/>
        <v>0.5</v>
      </c>
      <c r="BB65" s="12"/>
      <c r="BC65" s="12"/>
      <c r="BD65" s="12"/>
      <c r="BE65" s="12"/>
      <c r="BF65" s="12"/>
      <c r="BG65" s="12"/>
      <c r="BH65" s="12"/>
    </row>
    <row r="66" spans="1:60" ht="15.75" customHeight="1">
      <c r="A66" s="12"/>
      <c r="B66" s="154" t="s">
        <v>362</v>
      </c>
      <c r="C66" s="159">
        <f t="shared" ref="C66:BA66" si="35">C38/C68</f>
        <v>3.5997120230381568E-2</v>
      </c>
      <c r="D66" s="160">
        <f t="shared" si="35"/>
        <v>0</v>
      </c>
      <c r="E66" s="160">
        <f t="shared" si="35"/>
        <v>0.1065063034342849</v>
      </c>
      <c r="F66" s="160">
        <f t="shared" si="35"/>
        <v>0.68129938542581214</v>
      </c>
      <c r="G66" s="160">
        <f t="shared" si="35"/>
        <v>0.48899755501222497</v>
      </c>
      <c r="H66" s="160">
        <f t="shared" si="35"/>
        <v>0.45180722891566266</v>
      </c>
      <c r="I66" s="160">
        <f t="shared" si="35"/>
        <v>0.16633399866932802</v>
      </c>
      <c r="J66" s="160">
        <f t="shared" si="35"/>
        <v>0.11105092091007585</v>
      </c>
      <c r="K66" s="160">
        <f t="shared" si="35"/>
        <v>0.10414858531504947</v>
      </c>
      <c r="L66" s="160">
        <f t="shared" si="35"/>
        <v>0.88203266787658807</v>
      </c>
      <c r="M66" s="160">
        <f t="shared" si="35"/>
        <v>0.39714058776806987</v>
      </c>
      <c r="N66" s="160">
        <f t="shared" si="35"/>
        <v>0.23887079261672095</v>
      </c>
      <c r="O66" s="160">
        <f t="shared" si="35"/>
        <v>0.41941651760932591</v>
      </c>
      <c r="P66" s="160">
        <f t="shared" si="35"/>
        <v>0.55602309423622664</v>
      </c>
      <c r="Q66" s="160">
        <f t="shared" si="35"/>
        <v>0.54362633798248461</v>
      </c>
      <c r="R66" s="160">
        <f t="shared" si="35"/>
        <v>0.16594549520210089</v>
      </c>
      <c r="S66" s="160">
        <f t="shared" si="35"/>
        <v>8.7902891917241183E-2</v>
      </c>
      <c r="T66" s="160">
        <f t="shared" si="35"/>
        <v>0</v>
      </c>
      <c r="U66" s="160">
        <f t="shared" si="35"/>
        <v>0.17764705882352941</v>
      </c>
      <c r="V66" s="160">
        <f t="shared" si="35"/>
        <v>5.7142857142857148E-2</v>
      </c>
      <c r="W66" s="160">
        <f t="shared" si="35"/>
        <v>0.91607609101081677</v>
      </c>
      <c r="X66" s="160">
        <f t="shared" si="35"/>
        <v>0.5714285714285714</v>
      </c>
      <c r="Y66" s="160">
        <f t="shared" si="35"/>
        <v>0.39301972685887704</v>
      </c>
      <c r="Z66" s="160">
        <f t="shared" si="35"/>
        <v>0.33333333333333331</v>
      </c>
      <c r="AA66" s="160">
        <f t="shared" si="35"/>
        <v>4.6875E-2</v>
      </c>
      <c r="AB66" s="160">
        <f t="shared" si="35"/>
        <v>0.62868369351669939</v>
      </c>
      <c r="AC66" s="160">
        <f t="shared" si="35"/>
        <v>0.29120559114735006</v>
      </c>
      <c r="AD66" s="160">
        <f t="shared" si="35"/>
        <v>0.37773722627737222</v>
      </c>
      <c r="AE66" s="160">
        <f t="shared" si="35"/>
        <v>0.26737967914438504</v>
      </c>
      <c r="AF66" s="160">
        <f t="shared" si="35"/>
        <v>0.92453446586082988</v>
      </c>
      <c r="AG66" s="160">
        <f t="shared" si="35"/>
        <v>0.64102564102564108</v>
      </c>
      <c r="AH66" s="160">
        <f t="shared" si="35"/>
        <v>0.10526315789473685</v>
      </c>
      <c r="AI66" s="160">
        <f t="shared" si="35"/>
        <v>0.36855036855036849</v>
      </c>
      <c r="AJ66" s="160">
        <f t="shared" si="35"/>
        <v>5.7117090034570862E-2</v>
      </c>
      <c r="AK66" s="160">
        <f t="shared" si="35"/>
        <v>0.70899470899470907</v>
      </c>
      <c r="AL66" s="160">
        <f t="shared" si="35"/>
        <v>0.68128988303878502</v>
      </c>
      <c r="AM66" s="160">
        <f t="shared" si="35"/>
        <v>0.27553805774278212</v>
      </c>
      <c r="AN66" s="160">
        <f t="shared" si="35"/>
        <v>0</v>
      </c>
      <c r="AO66" s="160">
        <f t="shared" si="35"/>
        <v>6.4207090970768155E-2</v>
      </c>
      <c r="AP66" s="160">
        <f t="shared" si="35"/>
        <v>0.26030097734340296</v>
      </c>
      <c r="AQ66" s="160">
        <f t="shared" si="35"/>
        <v>0</v>
      </c>
      <c r="AR66" s="160">
        <f t="shared" si="35"/>
        <v>0.58370994769715134</v>
      </c>
      <c r="AS66" s="160">
        <f t="shared" si="35"/>
        <v>0.15873015873015872</v>
      </c>
      <c r="AT66" s="160">
        <f t="shared" si="35"/>
        <v>0</v>
      </c>
      <c r="AU66" s="160">
        <f t="shared" si="35"/>
        <v>0.59330143540669855</v>
      </c>
      <c r="AV66" s="160">
        <f t="shared" si="35"/>
        <v>0.90390735502121644</v>
      </c>
      <c r="AW66" s="160">
        <f t="shared" si="35"/>
        <v>0.28754813863928114</v>
      </c>
      <c r="AX66" s="160">
        <f t="shared" si="35"/>
        <v>0</v>
      </c>
      <c r="AY66" s="160">
        <f t="shared" si="35"/>
        <v>0</v>
      </c>
      <c r="AZ66" s="160">
        <f t="shared" si="35"/>
        <v>0.22523180447804511</v>
      </c>
      <c r="BA66" s="161">
        <f t="shared" si="35"/>
        <v>0.5</v>
      </c>
      <c r="BB66" s="12"/>
      <c r="BC66" s="12"/>
      <c r="BD66" s="12"/>
      <c r="BE66" s="12"/>
      <c r="BF66" s="12"/>
      <c r="BG66" s="12"/>
      <c r="BH66" s="12"/>
    </row>
    <row r="67" spans="1:60" ht="15.75" customHeight="1">
      <c r="A67" s="12"/>
      <c r="B67" s="154" t="s">
        <v>363</v>
      </c>
      <c r="C67" s="159">
        <f t="shared" ref="C67:BA67" si="36">C44/C68</f>
        <v>0.5759539236861051</v>
      </c>
      <c r="D67" s="160">
        <f t="shared" si="36"/>
        <v>0</v>
      </c>
      <c r="E67" s="160">
        <f t="shared" si="36"/>
        <v>0.23996522243153165</v>
      </c>
      <c r="F67" s="160">
        <f t="shared" si="36"/>
        <v>0</v>
      </c>
      <c r="G67" s="160">
        <f t="shared" si="36"/>
        <v>0</v>
      </c>
      <c r="H67" s="160">
        <f t="shared" si="36"/>
        <v>0</v>
      </c>
      <c r="I67" s="160">
        <f t="shared" si="36"/>
        <v>0</v>
      </c>
      <c r="J67" s="160">
        <f t="shared" si="36"/>
        <v>0</v>
      </c>
      <c r="K67" s="160">
        <f t="shared" si="36"/>
        <v>0</v>
      </c>
      <c r="L67" s="160">
        <f t="shared" si="36"/>
        <v>0</v>
      </c>
      <c r="M67" s="160">
        <f t="shared" si="36"/>
        <v>3.971405877680699E-2</v>
      </c>
      <c r="N67" s="160">
        <f t="shared" si="36"/>
        <v>0</v>
      </c>
      <c r="O67" s="160">
        <f t="shared" si="36"/>
        <v>0</v>
      </c>
      <c r="P67" s="160">
        <f t="shared" si="36"/>
        <v>3.9142773265485861E-2</v>
      </c>
      <c r="Q67" s="160">
        <f t="shared" si="36"/>
        <v>0</v>
      </c>
      <c r="R67" s="160">
        <f t="shared" si="36"/>
        <v>0</v>
      </c>
      <c r="S67" s="160">
        <f t="shared" si="36"/>
        <v>0.35161156766896473</v>
      </c>
      <c r="T67" s="160">
        <f t="shared" si="36"/>
        <v>0</v>
      </c>
      <c r="U67" s="160">
        <f t="shared" si="36"/>
        <v>0.37270588235294116</v>
      </c>
      <c r="V67" s="160">
        <f t="shared" si="36"/>
        <v>0</v>
      </c>
      <c r="W67" s="160">
        <f t="shared" si="36"/>
        <v>0</v>
      </c>
      <c r="X67" s="160">
        <f t="shared" si="36"/>
        <v>0</v>
      </c>
      <c r="Y67" s="160">
        <f t="shared" si="36"/>
        <v>0</v>
      </c>
      <c r="Z67" s="160">
        <f t="shared" si="36"/>
        <v>0</v>
      </c>
      <c r="AA67" s="160">
        <f t="shared" si="36"/>
        <v>0</v>
      </c>
      <c r="AB67" s="160">
        <f t="shared" si="36"/>
        <v>0</v>
      </c>
      <c r="AC67" s="160">
        <f t="shared" si="36"/>
        <v>0</v>
      </c>
      <c r="AD67" s="160">
        <f t="shared" si="36"/>
        <v>0</v>
      </c>
      <c r="AE67" s="160">
        <f t="shared" si="36"/>
        <v>0.13368983957219252</v>
      </c>
      <c r="AF67" s="160">
        <f t="shared" si="36"/>
        <v>0</v>
      </c>
      <c r="AG67" s="160">
        <f t="shared" si="36"/>
        <v>0</v>
      </c>
      <c r="AH67" s="160">
        <f t="shared" si="36"/>
        <v>0</v>
      </c>
      <c r="AI67" s="160">
        <f t="shared" si="36"/>
        <v>0</v>
      </c>
      <c r="AJ67" s="160">
        <f t="shared" si="36"/>
        <v>0</v>
      </c>
      <c r="AK67" s="160">
        <f t="shared" si="36"/>
        <v>0</v>
      </c>
      <c r="AL67" s="160">
        <f t="shared" si="36"/>
        <v>0</v>
      </c>
      <c r="AM67" s="160">
        <f t="shared" si="36"/>
        <v>0</v>
      </c>
      <c r="AN67" s="160">
        <f t="shared" si="36"/>
        <v>0</v>
      </c>
      <c r="AO67" s="160">
        <f t="shared" si="36"/>
        <v>0</v>
      </c>
      <c r="AP67" s="160">
        <f t="shared" si="36"/>
        <v>0</v>
      </c>
      <c r="AQ67" s="160">
        <f t="shared" si="36"/>
        <v>0</v>
      </c>
      <c r="AR67" s="160">
        <f t="shared" si="36"/>
        <v>0</v>
      </c>
      <c r="AS67" s="160">
        <f t="shared" si="36"/>
        <v>0</v>
      </c>
      <c r="AT67" s="160">
        <f t="shared" si="36"/>
        <v>0</v>
      </c>
      <c r="AU67" s="160">
        <f t="shared" si="36"/>
        <v>0</v>
      </c>
      <c r="AV67" s="160">
        <f t="shared" si="36"/>
        <v>0</v>
      </c>
      <c r="AW67" s="160">
        <f t="shared" si="36"/>
        <v>0</v>
      </c>
      <c r="AX67" s="160">
        <f t="shared" si="36"/>
        <v>0</v>
      </c>
      <c r="AY67" s="160">
        <f t="shared" si="36"/>
        <v>0</v>
      </c>
      <c r="AZ67" s="160">
        <f t="shared" si="36"/>
        <v>0</v>
      </c>
      <c r="BA67" s="161">
        <f t="shared" si="36"/>
        <v>0</v>
      </c>
      <c r="BB67" s="12"/>
      <c r="BC67" s="12"/>
      <c r="BD67" s="12"/>
      <c r="BE67" s="12"/>
      <c r="BF67" s="12"/>
      <c r="BG67" s="12"/>
      <c r="BH67" s="12"/>
    </row>
    <row r="68" spans="1:60" ht="15.75" customHeight="1">
      <c r="A68" s="12"/>
      <c r="B68" s="162" t="s">
        <v>364</v>
      </c>
      <c r="C68" s="163">
        <f t="shared" ref="C68:BA68" si="37">C47</f>
        <v>1.5433333333333332</v>
      </c>
      <c r="D68" s="164">
        <f t="shared" si="37"/>
        <v>1.4239999999999999</v>
      </c>
      <c r="E68" s="164">
        <f t="shared" si="37"/>
        <v>6.2736363636363635</v>
      </c>
      <c r="F68" s="164">
        <f t="shared" si="37"/>
        <v>2.9973684210526317</v>
      </c>
      <c r="G68" s="164">
        <f t="shared" si="37"/>
        <v>0.81799999999999995</v>
      </c>
      <c r="H68" s="164">
        <f t="shared" si="37"/>
        <v>0.27666666666666667</v>
      </c>
      <c r="I68" s="164">
        <f t="shared" si="37"/>
        <v>0.60119999999999996</v>
      </c>
      <c r="J68" s="164">
        <f t="shared" si="37"/>
        <v>2.4613333333333332</v>
      </c>
      <c r="K68" s="164">
        <f t="shared" si="37"/>
        <v>0.52372727272727271</v>
      </c>
      <c r="L68" s="164">
        <f t="shared" si="37"/>
        <v>11.6</v>
      </c>
      <c r="M68" s="164">
        <f t="shared" si="37"/>
        <v>0.83933333333333338</v>
      </c>
      <c r="N68" s="164">
        <f t="shared" si="37"/>
        <v>3.8374999999999999</v>
      </c>
      <c r="O68" s="164">
        <f t="shared" si="37"/>
        <v>0.32425999999999999</v>
      </c>
      <c r="P68" s="164">
        <f t="shared" si="37"/>
        <v>0.85158333333333336</v>
      </c>
      <c r="Q68" s="164">
        <f t="shared" si="37"/>
        <v>5.1383333333333336</v>
      </c>
      <c r="R68" s="164">
        <f t="shared" si="37"/>
        <v>0.20086916666666665</v>
      </c>
      <c r="S68" s="164">
        <f t="shared" si="37"/>
        <v>3.4128569999999998</v>
      </c>
      <c r="T68" s="164">
        <f t="shared" si="37"/>
        <v>0.88888888888888884</v>
      </c>
      <c r="U68" s="164">
        <f t="shared" si="37"/>
        <v>5.3125</v>
      </c>
      <c r="V68" s="164">
        <f t="shared" si="37"/>
        <v>0.66666666666666663</v>
      </c>
      <c r="W68" s="164">
        <f t="shared" si="37"/>
        <v>1.7873333333333334</v>
      </c>
      <c r="X68" s="164">
        <f t="shared" si="37"/>
        <v>2.3333333333333335</v>
      </c>
      <c r="Y68" s="164">
        <f t="shared" si="37"/>
        <v>2.2881944444444446</v>
      </c>
      <c r="Z68" s="164">
        <f t="shared" si="37"/>
        <v>0.5</v>
      </c>
      <c r="AA68" s="164">
        <f t="shared" si="37"/>
        <v>4.4444444444444446E-2</v>
      </c>
      <c r="AB68" s="164">
        <f t="shared" si="37"/>
        <v>0.79531249999999998</v>
      </c>
      <c r="AC68" s="164">
        <f t="shared" si="37"/>
        <v>1.9077777777777777E-2</v>
      </c>
      <c r="AD68" s="164">
        <f t="shared" si="37"/>
        <v>1.3236714975845412</v>
      </c>
      <c r="AE68" s="164">
        <f t="shared" si="37"/>
        <v>1.496</v>
      </c>
      <c r="AF68" s="164">
        <f t="shared" si="37"/>
        <v>2.5508333333333333</v>
      </c>
      <c r="AG68" s="164">
        <f t="shared" si="37"/>
        <v>0.48148148148148145</v>
      </c>
      <c r="AH68" s="164">
        <f t="shared" si="37"/>
        <v>1.9</v>
      </c>
      <c r="AI68" s="164">
        <f t="shared" si="37"/>
        <v>0.51682539682539685</v>
      </c>
      <c r="AJ68" s="164">
        <f t="shared" si="37"/>
        <v>2.2176666666666667</v>
      </c>
      <c r="AK68" s="164">
        <f t="shared" si="37"/>
        <v>0.75600000000000001</v>
      </c>
      <c r="AL68" s="164">
        <f t="shared" si="37"/>
        <v>1.5656575757575759</v>
      </c>
      <c r="AM68" s="164">
        <f t="shared" si="37"/>
        <v>3.81</v>
      </c>
      <c r="AN68" s="164">
        <f t="shared" si="37"/>
        <v>2.2676923076923079</v>
      </c>
      <c r="AO68" s="164">
        <f t="shared" si="37"/>
        <v>3.2382196969696975</v>
      </c>
      <c r="AP68" s="164">
        <f t="shared" si="37"/>
        <v>2.5857641025641023</v>
      </c>
      <c r="AQ68" s="164">
        <f t="shared" si="37"/>
        <v>1.75</v>
      </c>
      <c r="AR68" s="164">
        <f t="shared" si="37"/>
        <v>3.9386000000000001</v>
      </c>
      <c r="AS68" s="164">
        <f t="shared" si="37"/>
        <v>0.252</v>
      </c>
      <c r="AT68" s="164">
        <f t="shared" si="37"/>
        <v>0.22184545454545454</v>
      </c>
      <c r="AU68" s="164">
        <f t="shared" si="37"/>
        <v>0.627</v>
      </c>
      <c r="AV68" s="164">
        <f t="shared" si="37"/>
        <v>1.5082666666666666</v>
      </c>
      <c r="AW68" s="164">
        <f t="shared" si="37"/>
        <v>2.5966666666666666E-2</v>
      </c>
      <c r="AX68" s="164">
        <f t="shared" si="37"/>
        <v>5.4000000000000003E-3</v>
      </c>
      <c r="AY68" s="164">
        <f t="shared" si="37"/>
        <v>1.3050000000000001E-2</v>
      </c>
      <c r="AZ68" s="164">
        <f t="shared" si="37"/>
        <v>0.97677146666666659</v>
      </c>
      <c r="BA68" s="165">
        <f t="shared" si="37"/>
        <v>0.55555555555555558</v>
      </c>
      <c r="BB68" s="12"/>
      <c r="BC68" s="12"/>
      <c r="BD68" s="12"/>
      <c r="BE68" s="12"/>
      <c r="BF68" s="12"/>
      <c r="BG68" s="12"/>
      <c r="BH68" s="12"/>
    </row>
    <row r="69" spans="1:60" ht="15.75" customHeigh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</row>
    <row r="70" spans="1:60" ht="15.75" customHeight="1">
      <c r="A70" s="12"/>
      <c r="B70" s="166" t="s">
        <v>139</v>
      </c>
      <c r="C70" s="12" t="str">
        <f>VLOOKUP(C4,Outputs!$B$8:$C$1048576,2,FALSE)</f>
        <v>Slots</v>
      </c>
      <c r="D70" s="12" t="str">
        <f>VLOOKUP(D4,Outputs!$B$8:$C$1048576,2,FALSE)</f>
        <v>Slots</v>
      </c>
      <c r="E70" s="12" t="str">
        <f>VLOOKUP(E4,Outputs!$B$8:$C$1048576,2,FALSE)</f>
        <v>Slots</v>
      </c>
      <c r="F70" s="12" t="str">
        <f>VLOOKUP(F4,Outputs!$B$8:$C$1048576,2,FALSE)</f>
        <v>Slots</v>
      </c>
      <c r="G70" s="12" t="str">
        <f>VLOOKUP(G4,Outputs!$B$8:$C$1048576,2,FALSE)</f>
        <v>Slots</v>
      </c>
      <c r="H70" s="12" t="str">
        <f>VLOOKUP(H4,Outputs!$B$8:$C$1048576,2,FALSE)</f>
        <v>Slots</v>
      </c>
      <c r="I70" s="12" t="str">
        <f>VLOOKUP(I4,Outputs!$B$8:$C$1048576,2,FALSE)</f>
        <v>Slots</v>
      </c>
      <c r="J70" s="12" t="str">
        <f>VLOOKUP(J4,Outputs!$B$8:$C$1048576,2,FALSE)</f>
        <v>Slots</v>
      </c>
      <c r="K70" s="12" t="str">
        <f>VLOOKUP(K4,Outputs!$B$8:$C$1048576,2,FALSE)</f>
        <v>Slots</v>
      </c>
      <c r="L70" s="12" t="str">
        <f>VLOOKUP(L4,Outputs!$B$8:$C$1048576,2,FALSE)</f>
        <v>Slots</v>
      </c>
      <c r="M70" s="12" t="str">
        <f>VLOOKUP(M4,Outputs!$B$8:$C$1048576,2,FALSE)</f>
        <v>Slots</v>
      </c>
      <c r="N70" s="12" t="str">
        <f>VLOOKUP(N4,Outputs!$B$8:$C$1048576,2,FALSE)</f>
        <v>Slots</v>
      </c>
      <c r="O70" s="12" t="str">
        <f>VLOOKUP(O4,Outputs!$B$8:$C$1048576,2,FALSE)</f>
        <v>Slots</v>
      </c>
      <c r="P70" s="12" t="str">
        <f>VLOOKUP(P4,Outputs!$B$8:$C$1048576,2,FALSE)</f>
        <v>Slots</v>
      </c>
      <c r="Q70" s="12" t="str">
        <f>VLOOKUP(Q4,Outputs!$B$8:$C$1048576,2,FALSE)</f>
        <v>Slots</v>
      </c>
      <c r="R70" s="12" t="str">
        <f>VLOOKUP(R4,Outputs!$B$8:$C$1048576,2,FALSE)</f>
        <v>Slots</v>
      </c>
      <c r="S70" s="12" t="str">
        <f>VLOOKUP(S4,Outputs!$B$8:$C$1048576,2,FALSE)</f>
        <v>Slots</v>
      </c>
      <c r="T70" s="12" t="str">
        <f>VLOOKUP(T4,Outputs!$B$8:$C$1048576,2,FALSE)</f>
        <v>Slots</v>
      </c>
      <c r="U70" s="12" t="str">
        <f>VLOOKUP(U4,Outputs!$B$8:$C$1048576,2,FALSE)</f>
        <v>Slots</v>
      </c>
      <c r="V70" s="12" t="str">
        <f>VLOOKUP(V4,Outputs!$B$8:$C$1048576,2,FALSE)</f>
        <v>Slots</v>
      </c>
      <c r="W70" s="12" t="str">
        <f>VLOOKUP(W4,Outputs!$B$8:$C$1048576,2,FALSE)</f>
        <v>Slots</v>
      </c>
      <c r="X70" s="12" t="str">
        <f>VLOOKUP(X4,Outputs!$B$8:$C$1048576,2,FALSE)</f>
        <v>Slots</v>
      </c>
      <c r="Y70" s="12" t="str">
        <f>VLOOKUP(Y4,Outputs!$B$8:$C$1048576,2,FALSE)</f>
        <v>Slots</v>
      </c>
      <c r="Z70" s="12" t="str">
        <f>VLOOKUP(Z4,Outputs!$B$8:$C$1048576,2,FALSE)</f>
        <v>Slots</v>
      </c>
      <c r="AA70" s="12" t="str">
        <f>VLOOKUP(AA4,Outputs!$B$8:$C$1048576,2,FALSE)</f>
        <v>Slots</v>
      </c>
      <c r="AB70" s="12" t="str">
        <f>VLOOKUP(AB4,Outputs!$B$8:$C$1048576,2,FALSE)</f>
        <v>Slots</v>
      </c>
      <c r="AC70" s="12" t="str">
        <f>VLOOKUP(AC4,Outputs!$B$8:$C$1048576,2,FALSE)</f>
        <v>Slots</v>
      </c>
      <c r="AD70" s="12" t="str">
        <f>VLOOKUP(AD4,Outputs!$B$8:$C$1048576,2,FALSE)</f>
        <v>Slots</v>
      </c>
      <c r="AE70" s="12" t="str">
        <f>VLOOKUP(AE4,Outputs!$B$8:$C$1048576,2,FALSE)</f>
        <v>Slots</v>
      </c>
      <c r="AF70" s="12" t="str">
        <f>VLOOKUP(AF4,Outputs!$B$8:$C$1048576,2,FALSE)</f>
        <v>Slots</v>
      </c>
      <c r="AG70" s="12" t="str">
        <f>VLOOKUP(AG4,Outputs!$B$8:$C$1048576,2,FALSE)</f>
        <v>Slots</v>
      </c>
      <c r="AH70" s="12" t="str">
        <f>VLOOKUP(AH4,Outputs!$B$8:$C$1048576,2,FALSE)</f>
        <v>Slots</v>
      </c>
      <c r="AI70" s="12" t="str">
        <f>VLOOKUP(AI4,Outputs!$B$8:$C$1048576,2,FALSE)</f>
        <v>Slots</v>
      </c>
      <c r="AJ70" s="12" t="str">
        <f>VLOOKUP(AJ4,Outputs!$B$8:$C$1048576,2,FALSE)</f>
        <v>Slots</v>
      </c>
      <c r="AK70" s="12" t="str">
        <f>VLOOKUP(AK4,Outputs!$B$8:$C$1048576,2,FALSE)</f>
        <v>Slots</v>
      </c>
      <c r="AL70" s="12" t="str">
        <f>VLOOKUP(AL4,Outputs!$B$8:$C$1048576,2,FALSE)</f>
        <v>Bingo</v>
      </c>
      <c r="AM70" s="12" t="str">
        <f>VLOOKUP(AM4,Outputs!$B$8:$C$1048576,2,FALSE)</f>
        <v>Bingo</v>
      </c>
      <c r="AN70" s="12" t="str">
        <f>VLOOKUP(AN4,Outputs!$B$8:$C$1048576,2,FALSE)</f>
        <v>Bingo</v>
      </c>
      <c r="AO70" s="12" t="str">
        <f>VLOOKUP(AO4,Outputs!$B$8:$C$1048576,2,FALSE)</f>
        <v>Bingo</v>
      </c>
      <c r="AP70" s="12" t="str">
        <f>VLOOKUP(AP4,Outputs!$B$8:$C$1048576,2,FALSE)</f>
        <v>Bingo</v>
      </c>
      <c r="AQ70" s="12" t="str">
        <f>VLOOKUP(AQ4,Outputs!$B$8:$C$1048576,2,FALSE)</f>
        <v>Bingo</v>
      </c>
      <c r="AR70" s="12" t="str">
        <f>VLOOKUP(AR4,Outputs!$B$8:$C$1048576,2,FALSE)</f>
        <v>Bingo</v>
      </c>
      <c r="AS70" s="12" t="str">
        <f>VLOOKUP(AS4,Outputs!$B$8:$C$1048576,2,FALSE)</f>
        <v>Slots</v>
      </c>
      <c r="AT70" s="12" t="str">
        <f>VLOOKUP(AT4,Outputs!$B$8:$C$1048576,2,FALSE)</f>
        <v>Slots</v>
      </c>
      <c r="AU70" s="12" t="str">
        <f>VLOOKUP(AU4,Outputs!$B$8:$C$1048576,2,FALSE)</f>
        <v>Slots</v>
      </c>
      <c r="AV70" s="12" t="str">
        <f>VLOOKUP(AV4,Outputs!$B$8:$C$1048576,2,FALSE)</f>
        <v>Slots</v>
      </c>
      <c r="AW70" s="12" t="str">
        <f>VLOOKUP(AW4,Outputs!$B$8:$C$1048576,2,FALSE)</f>
        <v>Slots</v>
      </c>
      <c r="AX70" s="12" t="str">
        <f>VLOOKUP(AX4,Outputs!$B$8:$C$1048576,2,FALSE)</f>
        <v>Slots</v>
      </c>
      <c r="AY70" s="12" t="str">
        <f>VLOOKUP(AY4,Outputs!$B$8:$C$1048576,2,FALSE)</f>
        <v>Slots</v>
      </c>
      <c r="AZ70" s="12" t="str">
        <f>VLOOKUP(AZ4,Outputs!$B$8:$C$1048576,2,FALSE)</f>
        <v>Slots</v>
      </c>
      <c r="BA70" s="12" t="str">
        <f>VLOOKUP(BA4,Outputs!$B$8:$C$1048576,2,FALSE)</f>
        <v>Slots</v>
      </c>
      <c r="BB70" s="12"/>
      <c r="BC70" s="12"/>
      <c r="BD70" s="12"/>
      <c r="BE70" s="12"/>
      <c r="BF70" s="12"/>
      <c r="BG70" s="12"/>
      <c r="BH70" s="12"/>
    </row>
    <row r="71" spans="1:60" ht="15.75" customHeight="1">
      <c r="A71" s="12"/>
      <c r="B71" s="166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</row>
    <row r="72" spans="1:60" ht="15.75" customHeight="1">
      <c r="A72" s="12"/>
      <c r="B72" s="166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</row>
    <row r="73" spans="1:60" ht="15.75" customHeight="1">
      <c r="A73" s="12"/>
      <c r="B73" s="166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</row>
    <row r="74" spans="1:60" ht="15.75" customHeight="1">
      <c r="A74" s="12"/>
      <c r="B74" s="166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</row>
    <row r="75" spans="1:60" ht="15.75" customHeight="1">
      <c r="A75" s="12"/>
      <c r="B75" s="166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</row>
    <row r="76" spans="1:60" ht="15.75" customHeight="1">
      <c r="A76" s="12"/>
      <c r="B76" s="166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</row>
    <row r="77" spans="1:60" ht="15.75" customHeight="1">
      <c r="A77" s="12"/>
      <c r="B77" s="166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</row>
    <row r="78" spans="1:60" ht="15.75" customHeight="1">
      <c r="A78" s="12"/>
      <c r="B78" s="166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</row>
    <row r="79" spans="1:60" ht="15.75" customHeight="1">
      <c r="A79" s="12"/>
      <c r="B79" s="166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</row>
    <row r="80" spans="1:60" ht="15.75" customHeight="1">
      <c r="A80" s="12"/>
      <c r="B80" s="166"/>
      <c r="C80" s="167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</row>
    <row r="81" spans="1:60" ht="15.75" customHeight="1">
      <c r="A81" s="12"/>
      <c r="B81" s="166"/>
      <c r="C81" s="167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</row>
    <row r="82" spans="1:60" ht="15.75" customHeight="1">
      <c r="A82" s="12"/>
      <c r="B82" s="166"/>
      <c r="C82" s="106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</row>
    <row r="83" spans="1:60" ht="15.75" customHeight="1">
      <c r="A83" s="12"/>
      <c r="B83" s="166"/>
      <c r="C83" s="167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</row>
    <row r="84" spans="1:60" ht="15.75" customHeight="1">
      <c r="A84" s="12"/>
      <c r="B84" s="166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</row>
    <row r="85" spans="1:60" ht="15.75" customHeight="1">
      <c r="A85" s="12"/>
      <c r="B85" s="166"/>
      <c r="C85" s="106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</row>
    <row r="86" spans="1:60" ht="15.75" customHeight="1">
      <c r="A86" s="12"/>
      <c r="B86" s="166"/>
      <c r="C86" s="167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</row>
    <row r="87" spans="1:60" ht="15.75" customHeight="1">
      <c r="A87" s="12"/>
      <c r="B87" s="166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</row>
    <row r="88" spans="1:60" ht="15.75" customHeight="1">
      <c r="A88" s="12"/>
      <c r="B88" s="166"/>
      <c r="C88" s="106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</row>
    <row r="89" spans="1:60" ht="15.75" customHeight="1">
      <c r="A89" s="12"/>
      <c r="B89" s="166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</row>
    <row r="90" spans="1:60" ht="15.75" customHeight="1">
      <c r="A90" s="12"/>
      <c r="B90" s="166"/>
      <c r="C90" s="167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</row>
    <row r="91" spans="1:60" ht="15.75" customHeight="1">
      <c r="A91" s="12"/>
      <c r="B91" s="166"/>
      <c r="C91" s="167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</row>
    <row r="92" spans="1:60" ht="15.75" customHeight="1">
      <c r="A92" s="12"/>
      <c r="B92" s="166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</row>
    <row r="93" spans="1:60" ht="15.75" customHeight="1">
      <c r="A93" s="12"/>
      <c r="B93" s="166"/>
      <c r="C93" s="106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</row>
    <row r="94" spans="1:60" ht="15.75" customHeight="1">
      <c r="A94" s="12"/>
      <c r="B94" s="166"/>
      <c r="C94" s="106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</row>
    <row r="95" spans="1:60" ht="15.75" customHeigh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</row>
    <row r="96" spans="1:60" ht="15.75" customHeight="1">
      <c r="A96" s="12"/>
      <c r="B96" s="166"/>
      <c r="C96" s="106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</row>
    <row r="97" spans="1:60" ht="15.75" customHeight="1">
      <c r="A97" s="12"/>
      <c r="B97" s="166"/>
      <c r="C97" s="106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</row>
    <row r="98" spans="1:60" ht="15.75" customHeigh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</row>
    <row r="99" spans="1:60" ht="15.75" customHeight="1">
      <c r="A99" s="12"/>
      <c r="B99" s="166"/>
      <c r="C99" s="106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</row>
    <row r="100" spans="1:60" ht="15.75" customHeight="1">
      <c r="A100" s="12"/>
      <c r="B100" s="166"/>
      <c r="C100" s="106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</row>
    <row r="101" spans="1:60" ht="15.75" customHeigh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</row>
    <row r="102" spans="1:60" ht="15.75" customHeight="1">
      <c r="A102" s="12"/>
      <c r="B102" s="166"/>
      <c r="C102" s="106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</row>
    <row r="103" spans="1:60" ht="15.75" customHeigh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</row>
    <row r="104" spans="1:60" ht="15.75" customHeight="1">
      <c r="A104" s="12"/>
      <c r="B104" s="166"/>
      <c r="C104" s="168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</row>
    <row r="105" spans="1:60" ht="15.75" customHeight="1">
      <c r="A105" s="12"/>
      <c r="B105" s="166"/>
      <c r="C105" s="168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</row>
    <row r="106" spans="1:60" ht="15.75" customHeight="1">
      <c r="A106" s="12"/>
      <c r="B106" s="166"/>
      <c r="C106" s="168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</row>
    <row r="107" spans="1:60" ht="15.75" customHeight="1">
      <c r="A107" s="12"/>
      <c r="B107" s="166"/>
      <c r="C107" s="169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</row>
    <row r="108" spans="1:60" ht="15.75" customHeigh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</row>
    <row r="109" spans="1:60" ht="15.75" customHeigh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</row>
    <row r="110" spans="1:60" ht="15.75" customHeigh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</row>
    <row r="111" spans="1:60" ht="15.75" customHeigh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</row>
    <row r="112" spans="1:60" ht="15.75" customHeigh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</row>
    <row r="113" spans="1:60" ht="15.75" customHeigh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</row>
    <row r="114" spans="1:60" ht="15.75" customHeigh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</row>
    <row r="115" spans="1:60" ht="15.75" customHeigh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</row>
    <row r="116" spans="1:60" ht="15.75" customHeigh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</row>
    <row r="117" spans="1:60" ht="15.75" customHeigh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</row>
    <row r="118" spans="1:60" ht="15.75" customHeigh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</row>
    <row r="119" spans="1:60" ht="15.75" customHeigh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</row>
    <row r="120" spans="1:60" ht="15.75" customHeigh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</row>
    <row r="121" spans="1:60" ht="15.75" customHeigh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</row>
    <row r="122" spans="1:60" ht="15.75" customHeigh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</row>
    <row r="123" spans="1:60" ht="15.75" customHeigh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</row>
    <row r="124" spans="1:60" ht="15.75" customHeigh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</row>
    <row r="125" spans="1:60" ht="15.75" customHeigh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</row>
    <row r="126" spans="1:60" ht="15.75" customHeigh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</row>
    <row r="127" spans="1:60" ht="15.75" customHeigh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</row>
    <row r="128" spans="1:60" ht="15.75" customHeigh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</row>
    <row r="129" spans="1:60" ht="15.75" customHeigh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</row>
    <row r="130" spans="1:60" ht="15.75" customHeigh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</row>
    <row r="131" spans="1:60" ht="15.75" customHeigh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</row>
    <row r="132" spans="1:60" ht="15.75" customHeigh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</row>
    <row r="133" spans="1:60" ht="15.75" customHeigh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</row>
    <row r="134" spans="1:60" ht="15.7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</row>
    <row r="135" spans="1:60" ht="15.75" customHeigh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</row>
    <row r="136" spans="1:60" ht="15.75" customHeigh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</row>
    <row r="137" spans="1:60" ht="15.75" customHeigh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</row>
    <row r="138" spans="1:60" ht="15.75" customHeigh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</row>
    <row r="139" spans="1:60" ht="15.75" customHeigh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</row>
    <row r="140" spans="1:60" ht="15.7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</row>
    <row r="141" spans="1:60" ht="15.75" customHeigh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</row>
    <row r="142" spans="1:60" ht="15.75" customHeigh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</row>
    <row r="143" spans="1:60" ht="15.75" customHeigh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</row>
    <row r="144" spans="1:60" ht="15.75" customHeigh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</row>
    <row r="145" spans="1:60" ht="15.75" customHeigh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</row>
    <row r="146" spans="1:60" ht="15.75" customHeigh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</row>
    <row r="147" spans="1:60" ht="15.75" customHeigh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</row>
    <row r="148" spans="1:60" ht="15.75" customHeigh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</row>
    <row r="149" spans="1:60" ht="15.75" customHeigh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</row>
    <row r="150" spans="1:60" ht="15.75" customHeigh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</row>
    <row r="151" spans="1:60" ht="15.75" customHeigh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</row>
    <row r="152" spans="1:60" ht="15.75" customHeigh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</row>
    <row r="153" spans="1:60" ht="15.75" customHeigh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</row>
    <row r="154" spans="1:60" ht="15.75" customHeigh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</row>
    <row r="155" spans="1:60" ht="15.75" customHeigh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</row>
    <row r="156" spans="1:60" ht="15.75" customHeigh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</row>
    <row r="157" spans="1:60" ht="15.75" customHeigh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</row>
    <row r="158" spans="1:60" ht="15.75" customHeigh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</row>
    <row r="159" spans="1:60" ht="15.75" customHeigh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</row>
    <row r="160" spans="1:60" ht="15.75" customHeigh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</row>
    <row r="161" spans="1:60" ht="15.75" customHeigh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</row>
    <row r="162" spans="1:60" ht="15.75" customHeigh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</row>
    <row r="163" spans="1:60" ht="15.75" customHeigh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</row>
    <row r="164" spans="1:60" ht="15.75" customHeigh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</row>
    <row r="165" spans="1:60" ht="15.75" customHeigh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</row>
    <row r="166" spans="1:60" ht="15.75" customHeigh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</row>
    <row r="167" spans="1:60" ht="15.75" customHeigh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</row>
    <row r="168" spans="1:60" ht="15.75" customHeigh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</row>
    <row r="169" spans="1:60" ht="15.75" customHeigh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</row>
    <row r="170" spans="1:60" ht="15.75" customHeigh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</row>
    <row r="171" spans="1:60" ht="15.75" customHeigh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</row>
    <row r="172" spans="1:60" ht="15.75" customHeigh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</row>
    <row r="173" spans="1:60" ht="15.75" customHeigh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</row>
    <row r="174" spans="1:60" ht="15.75" customHeigh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</row>
    <row r="175" spans="1:60" ht="15.7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</row>
    <row r="176" spans="1:60" ht="15.75" customHeigh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</row>
    <row r="177" spans="1:60" ht="15.75" customHeigh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</row>
    <row r="178" spans="1:60" ht="15.75" customHeigh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</row>
    <row r="179" spans="1:60" ht="15.75" customHeigh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</row>
    <row r="180" spans="1:60" ht="15.75" customHeigh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</row>
    <row r="181" spans="1:60" ht="15.75" customHeigh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</row>
    <row r="182" spans="1:60" ht="15.75" customHeigh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</row>
    <row r="183" spans="1:60" ht="15.75" customHeigh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</row>
    <row r="184" spans="1:60" ht="15.75" customHeigh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</row>
    <row r="185" spans="1:60" ht="15.75" customHeigh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</row>
    <row r="186" spans="1:60" ht="15.75" customHeigh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</row>
    <row r="187" spans="1:60" ht="15.75" customHeigh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</row>
    <row r="188" spans="1:60" ht="15.75" customHeigh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</row>
    <row r="189" spans="1:60" ht="15.75" customHeigh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</row>
    <row r="190" spans="1:60" ht="15.75" customHeigh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</row>
    <row r="191" spans="1:60" ht="15.75" customHeigh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</row>
    <row r="192" spans="1:60" ht="15.75" customHeigh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</row>
    <row r="193" spans="1:60" ht="15.75" customHeigh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</row>
    <row r="194" spans="1:60" ht="15.75" customHeigh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</row>
    <row r="195" spans="1:60" ht="15.75" customHeigh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</row>
    <row r="196" spans="1:60" ht="15.75" customHeigh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</row>
    <row r="197" spans="1:60" ht="15.75" customHeigh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</row>
    <row r="198" spans="1:60" ht="15.75" customHeigh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</row>
    <row r="199" spans="1:60" ht="15.75" customHeigh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</row>
    <row r="200" spans="1:60" ht="15.75" customHeigh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</row>
    <row r="201" spans="1:60" ht="15.75" customHeigh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</row>
    <row r="202" spans="1:60" ht="15.75" customHeigh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</row>
    <row r="203" spans="1:60" ht="15.75" customHeigh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</row>
    <row r="204" spans="1:60" ht="15.75" customHeigh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</row>
    <row r="205" spans="1:60" ht="15.75" customHeigh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</row>
    <row r="206" spans="1:60" ht="15.75" customHeigh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</row>
    <row r="207" spans="1:60" ht="15.75" customHeigh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</row>
    <row r="208" spans="1:60" ht="15.75" customHeigh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</row>
    <row r="209" spans="1:60" ht="15.7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</row>
    <row r="210" spans="1:60" ht="15.75" customHeigh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</row>
    <row r="211" spans="1:60" ht="15.75" customHeigh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</row>
    <row r="212" spans="1:60" ht="15.75" customHeigh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</row>
    <row r="213" spans="1:60" ht="15.75" customHeigh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</row>
    <row r="214" spans="1:60" ht="15.75" customHeigh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</row>
    <row r="215" spans="1:60" ht="15.75" customHeigh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</row>
    <row r="216" spans="1:60" ht="15.75" customHeigh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</row>
    <row r="217" spans="1:60" ht="15.75" customHeigh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</row>
    <row r="218" spans="1:60" ht="15.75" customHeigh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</row>
    <row r="219" spans="1:60" ht="15.75" customHeigh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</row>
    <row r="220" spans="1:60" ht="15.75" customHeigh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</row>
    <row r="221" spans="1:60" ht="15.75" customHeigh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</row>
    <row r="222" spans="1:60" ht="15.75" customHeigh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</row>
    <row r="223" spans="1:60" ht="15.75" customHeigh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</row>
    <row r="224" spans="1:60" ht="15.75" customHeigh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</row>
    <row r="225" spans="1:60" ht="15.75" customHeigh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</row>
    <row r="226" spans="1:60" ht="15.75" customHeigh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</row>
    <row r="227" spans="1:60" ht="15.75" customHeigh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</row>
    <row r="228" spans="1:60" ht="15.75" customHeigh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</row>
    <row r="229" spans="1:60" ht="15.75" customHeigh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</row>
    <row r="230" spans="1:60" ht="15.75" customHeigh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</row>
    <row r="231" spans="1:60" ht="15.75" customHeigh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</row>
    <row r="232" spans="1:60" ht="15.75" customHeigh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</row>
    <row r="233" spans="1:60" ht="15.75" customHeigh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</row>
    <row r="234" spans="1:60" ht="15.75" customHeigh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</row>
    <row r="235" spans="1:60" ht="15.75" customHeigh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</row>
    <row r="236" spans="1:60" ht="15.75" customHeigh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</row>
    <row r="237" spans="1:60" ht="15.75" customHeigh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</row>
    <row r="238" spans="1:60" ht="15.75" customHeigh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</row>
    <row r="239" spans="1:60" ht="15.75" customHeigh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</row>
    <row r="240" spans="1:60" ht="15.75" customHeight="1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</row>
    <row r="241" spans="1:60" ht="15.75" customHeight="1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</row>
    <row r="242" spans="1:60" ht="15.75" customHeight="1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</row>
    <row r="243" spans="1:60" ht="15.75" customHeight="1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</row>
    <row r="244" spans="1:60" ht="15.7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</row>
    <row r="245" spans="1:60" ht="15.75" customHeight="1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</row>
    <row r="246" spans="1:60" ht="15.75" customHeight="1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</row>
    <row r="247" spans="1:60" ht="15.75" customHeight="1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</row>
    <row r="248" spans="1:60" ht="15.75" customHeight="1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</row>
    <row r="249" spans="1:60" ht="15.75" customHeight="1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</row>
    <row r="250" spans="1:60" ht="15.75" customHeight="1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</row>
    <row r="251" spans="1:60" ht="15.75" customHeight="1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</row>
    <row r="252" spans="1:60" ht="15.75" customHeight="1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</row>
    <row r="253" spans="1:60" ht="15.75" customHeight="1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</row>
    <row r="254" spans="1:60" ht="15.75" customHeight="1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</row>
    <row r="255" spans="1:60" ht="15.75" customHeight="1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</row>
    <row r="256" spans="1:60" ht="15.75" customHeight="1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</row>
    <row r="257" spans="1:60" ht="15.75" customHeight="1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</row>
    <row r="258" spans="1:60" ht="15.75" customHeight="1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</row>
    <row r="259" spans="1:60" ht="15.75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</row>
    <row r="260" spans="1:60" ht="15.75" customHeight="1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</row>
    <row r="261" spans="1:60" ht="15.75" customHeight="1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</row>
    <row r="262" spans="1:60" ht="15.75" customHeight="1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</row>
    <row r="263" spans="1:60" ht="15.75" customHeight="1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</row>
    <row r="264" spans="1:60" ht="15.75" customHeight="1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</row>
    <row r="265" spans="1:60" ht="15.75" customHeight="1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</row>
    <row r="266" spans="1:60" ht="15.75" customHeight="1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</row>
    <row r="267" spans="1:60" ht="15.75" customHeight="1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</row>
    <row r="268" spans="1:60" ht="15.75" customHeight="1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</row>
    <row r="269" spans="1:60" ht="15.75" customHeight="1"/>
    <row r="270" spans="1:60" ht="15.75" customHeight="1"/>
    <row r="271" spans="1:60" ht="15.75" customHeight="1"/>
    <row r="272" spans="1:60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BB1000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baseColWidth="10" defaultColWidth="11.1640625" defaultRowHeight="15" customHeight="1"/>
  <cols>
    <col min="1" max="1" width="22.83203125" customWidth="1"/>
    <col min="2" max="54" width="20" customWidth="1"/>
  </cols>
  <sheetData>
    <row r="1" spans="1:54" ht="33.75" customHeight="1">
      <c r="A1" s="2"/>
      <c r="B1" s="11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14"/>
      <c r="BB1" s="14"/>
    </row>
    <row r="2" spans="1:54" ht="15.75" customHeight="1">
      <c r="A2" s="9" t="s">
        <v>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8"/>
      <c r="BB2" s="18"/>
    </row>
    <row r="3" spans="1:54" ht="15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</row>
    <row r="4" spans="1:54" ht="32">
      <c r="A4" s="20" t="s">
        <v>7</v>
      </c>
      <c r="B4" s="21" t="s">
        <v>9</v>
      </c>
      <c r="C4" s="21" t="s">
        <v>10</v>
      </c>
      <c r="D4" s="21" t="s">
        <v>11</v>
      </c>
      <c r="E4" s="21" t="s">
        <v>12</v>
      </c>
      <c r="F4" s="21" t="s">
        <v>13</v>
      </c>
      <c r="G4" s="21" t="s">
        <v>14</v>
      </c>
      <c r="H4" s="21" t="s">
        <v>15</v>
      </c>
      <c r="I4" s="21" t="s">
        <v>16</v>
      </c>
      <c r="J4" s="21" t="s">
        <v>17</v>
      </c>
      <c r="K4" s="21" t="s">
        <v>18</v>
      </c>
      <c r="L4" s="21" t="s">
        <v>19</v>
      </c>
      <c r="M4" s="21" t="s">
        <v>20</v>
      </c>
      <c r="N4" s="21" t="s">
        <v>21</v>
      </c>
      <c r="O4" s="21" t="s">
        <v>22</v>
      </c>
      <c r="P4" s="21" t="s">
        <v>23</v>
      </c>
      <c r="Q4" s="21" t="s">
        <v>24</v>
      </c>
      <c r="R4" s="21" t="s">
        <v>25</v>
      </c>
      <c r="S4" s="21" t="s">
        <v>26</v>
      </c>
      <c r="T4" s="21" t="s">
        <v>27</v>
      </c>
      <c r="U4" s="21" t="s">
        <v>28</v>
      </c>
      <c r="V4" s="21" t="s">
        <v>29</v>
      </c>
      <c r="W4" s="21" t="s">
        <v>30</v>
      </c>
      <c r="X4" s="21" t="s">
        <v>31</v>
      </c>
      <c r="Y4" s="21" t="s">
        <v>32</v>
      </c>
      <c r="Z4" s="21" t="s">
        <v>33</v>
      </c>
      <c r="AA4" s="21" t="s">
        <v>34</v>
      </c>
      <c r="AB4" s="21" t="s">
        <v>35</v>
      </c>
      <c r="AC4" s="21" t="s">
        <v>36</v>
      </c>
      <c r="AD4" s="21" t="s">
        <v>37</v>
      </c>
      <c r="AE4" s="21" t="s">
        <v>38</v>
      </c>
      <c r="AF4" s="21" t="s">
        <v>39</v>
      </c>
      <c r="AG4" s="21" t="s">
        <v>40</v>
      </c>
      <c r="AH4" s="21" t="s">
        <v>41</v>
      </c>
      <c r="AI4" s="21" t="s">
        <v>42</v>
      </c>
      <c r="AJ4" s="21" t="s">
        <v>43</v>
      </c>
      <c r="AK4" s="21" t="s">
        <v>44</v>
      </c>
      <c r="AL4" s="21" t="s">
        <v>45</v>
      </c>
      <c r="AM4" s="21" t="s">
        <v>46</v>
      </c>
      <c r="AN4" s="21" t="s">
        <v>47</v>
      </c>
      <c r="AO4" s="21" t="s">
        <v>48</v>
      </c>
      <c r="AP4" s="21" t="s">
        <v>49</v>
      </c>
      <c r="AQ4" s="24" t="s">
        <v>50</v>
      </c>
      <c r="AR4" s="21" t="s">
        <v>51</v>
      </c>
      <c r="AS4" s="21" t="s">
        <v>52</v>
      </c>
      <c r="AT4" s="21" t="s">
        <v>53</v>
      </c>
      <c r="AU4" s="21" t="s">
        <v>54</v>
      </c>
      <c r="AV4" s="21" t="s">
        <v>55</v>
      </c>
      <c r="AW4" s="21" t="s">
        <v>56</v>
      </c>
      <c r="AX4" s="21" t="s">
        <v>57</v>
      </c>
      <c r="AY4" s="21" t="s">
        <v>58</v>
      </c>
      <c r="AZ4" s="21" t="s">
        <v>59</v>
      </c>
      <c r="BA4" s="26"/>
      <c r="BB4" s="26"/>
    </row>
    <row r="5" spans="1:54" ht="15.75" customHeight="1">
      <c r="A5" s="28" t="s">
        <v>60</v>
      </c>
      <c r="B5" s="30" t="s">
        <v>61</v>
      </c>
      <c r="C5" s="30" t="s">
        <v>61</v>
      </c>
      <c r="D5" s="30" t="s">
        <v>61</v>
      </c>
      <c r="E5" s="30" t="s">
        <v>61</v>
      </c>
      <c r="F5" s="30" t="s">
        <v>61</v>
      </c>
      <c r="G5" s="30" t="s">
        <v>62</v>
      </c>
      <c r="H5" s="30" t="s">
        <v>61</v>
      </c>
      <c r="I5" s="30" t="s">
        <v>63</v>
      </c>
      <c r="J5" s="30" t="s">
        <v>64</v>
      </c>
      <c r="K5" s="30" t="s">
        <v>65</v>
      </c>
      <c r="L5" s="30" t="s">
        <v>66</v>
      </c>
      <c r="M5" s="30" t="s">
        <v>67</v>
      </c>
      <c r="N5" s="30" t="s">
        <v>68</v>
      </c>
      <c r="O5" s="30" t="s">
        <v>69</v>
      </c>
      <c r="P5" s="30" t="s">
        <v>70</v>
      </c>
      <c r="Q5" s="30" t="s">
        <v>61</v>
      </c>
      <c r="R5" s="30" t="s">
        <v>71</v>
      </c>
      <c r="S5" s="30" t="s">
        <v>72</v>
      </c>
      <c r="T5" s="30" t="s">
        <v>61</v>
      </c>
      <c r="U5" s="30" t="s">
        <v>61</v>
      </c>
      <c r="V5" s="30" t="s">
        <v>73</v>
      </c>
      <c r="W5" s="30" t="s">
        <v>74</v>
      </c>
      <c r="X5" s="30" t="s">
        <v>75</v>
      </c>
      <c r="Y5" s="30" t="s">
        <v>74</v>
      </c>
      <c r="Z5" s="30" t="s">
        <v>61</v>
      </c>
      <c r="AA5" s="30" t="s">
        <v>74</v>
      </c>
      <c r="AB5" s="30" t="s">
        <v>74</v>
      </c>
      <c r="AC5" s="30" t="s">
        <v>76</v>
      </c>
      <c r="AD5" s="30" t="s">
        <v>77</v>
      </c>
      <c r="AE5" s="30" t="s">
        <v>73</v>
      </c>
      <c r="AF5" s="30" t="s">
        <v>78</v>
      </c>
      <c r="AG5" s="30" t="s">
        <v>79</v>
      </c>
      <c r="AH5" s="30" t="s">
        <v>80</v>
      </c>
      <c r="AI5" s="30" t="s">
        <v>81</v>
      </c>
      <c r="AJ5" s="30" t="s">
        <v>82</v>
      </c>
      <c r="AK5" s="30" t="s">
        <v>61</v>
      </c>
      <c r="AL5" s="30" t="s">
        <v>61</v>
      </c>
      <c r="AM5" s="30" t="s">
        <v>74</v>
      </c>
      <c r="AN5" s="30" t="s">
        <v>74</v>
      </c>
      <c r="AO5" s="30" t="s">
        <v>61</v>
      </c>
      <c r="AP5" s="30" t="s">
        <v>74</v>
      </c>
      <c r="AQ5" s="39" t="s">
        <v>61</v>
      </c>
      <c r="AR5" s="30" t="s">
        <v>83</v>
      </c>
      <c r="AS5" s="30" t="s">
        <v>84</v>
      </c>
      <c r="AT5" s="30" t="s">
        <v>74</v>
      </c>
      <c r="AU5" s="30" t="s">
        <v>85</v>
      </c>
      <c r="AV5" s="30" t="s">
        <v>74</v>
      </c>
      <c r="AW5" s="30" t="s">
        <v>74</v>
      </c>
      <c r="AX5" s="30" t="s">
        <v>74</v>
      </c>
      <c r="AY5" s="30" t="s">
        <v>74</v>
      </c>
      <c r="AZ5" s="30" t="s">
        <v>74</v>
      </c>
      <c r="BA5" s="44"/>
      <c r="BB5" s="45"/>
    </row>
    <row r="6" spans="1:54" ht="15.75" customHeight="1">
      <c r="A6" s="47">
        <v>1</v>
      </c>
      <c r="B6" s="51">
        <v>751000</v>
      </c>
      <c r="C6" s="52">
        <v>251000</v>
      </c>
      <c r="D6" s="51">
        <v>15000</v>
      </c>
      <c r="E6" s="52">
        <v>1200</v>
      </c>
      <c r="F6" s="52">
        <v>24000</v>
      </c>
      <c r="G6" s="51">
        <v>420</v>
      </c>
      <c r="H6" s="51">
        <v>1404000</v>
      </c>
      <c r="I6" s="52">
        <v>50000</v>
      </c>
      <c r="J6" s="52">
        <v>185000</v>
      </c>
      <c r="K6" s="51">
        <v>100000</v>
      </c>
      <c r="L6" s="51">
        <v>300</v>
      </c>
      <c r="M6" s="51">
        <v>375000</v>
      </c>
      <c r="N6" s="52">
        <v>121800</v>
      </c>
      <c r="O6" s="52">
        <v>7500</v>
      </c>
      <c r="P6" s="52">
        <v>160000</v>
      </c>
      <c r="Q6" s="52">
        <v>12000</v>
      </c>
      <c r="R6" s="52">
        <v>1200000</v>
      </c>
      <c r="S6" s="52">
        <v>640000</v>
      </c>
      <c r="T6" s="52">
        <v>160000</v>
      </c>
      <c r="U6" s="54" t="s">
        <v>133</v>
      </c>
      <c r="V6" s="52">
        <v>360000</v>
      </c>
      <c r="W6" s="52">
        <v>500</v>
      </c>
      <c r="X6" s="52">
        <v>400000</v>
      </c>
      <c r="Y6" s="52">
        <v>30000</v>
      </c>
      <c r="Z6" s="52">
        <v>1040</v>
      </c>
      <c r="AA6" s="51">
        <v>80000</v>
      </c>
      <c r="AB6" s="51">
        <v>1500</v>
      </c>
      <c r="AC6" s="52">
        <v>8200</v>
      </c>
      <c r="AD6" s="52">
        <v>1000</v>
      </c>
      <c r="AE6" s="51">
        <v>630000</v>
      </c>
      <c r="AF6" s="51">
        <v>250</v>
      </c>
      <c r="AG6" s="52">
        <v>2000</v>
      </c>
      <c r="AH6" s="52">
        <v>490000</v>
      </c>
      <c r="AI6" s="52">
        <v>800000</v>
      </c>
      <c r="AJ6" s="52">
        <v>10000</v>
      </c>
      <c r="AK6" s="56">
        <v>2</v>
      </c>
      <c r="AL6" s="56">
        <v>100</v>
      </c>
      <c r="AM6" s="60">
        <f>150+(2*$AM$44*Inputs!$AN$49)</f>
        <v>226.76923076923077</v>
      </c>
      <c r="AN6" s="56">
        <v>20</v>
      </c>
      <c r="AO6" s="60">
        <f>2*AO44*Inputs!AP49</f>
        <v>3.4597333333333333</v>
      </c>
      <c r="AP6" s="56">
        <v>14</v>
      </c>
      <c r="AQ6" s="62">
        <v>5</v>
      </c>
      <c r="AR6" s="52">
        <v>400000</v>
      </c>
      <c r="AS6" s="51">
        <v>148500</v>
      </c>
      <c r="AT6" s="51">
        <v>1000</v>
      </c>
      <c r="AU6" s="51">
        <v>60000</v>
      </c>
      <c r="AV6" s="51">
        <v>10000</v>
      </c>
      <c r="AW6" s="51">
        <v>2000</v>
      </c>
      <c r="AX6" s="56">
        <v>522</v>
      </c>
      <c r="AY6" s="51">
        <v>500000</v>
      </c>
      <c r="AZ6" s="51">
        <v>25000</v>
      </c>
      <c r="BA6" s="51"/>
      <c r="BB6" s="64"/>
    </row>
    <row r="7" spans="1:54" ht="15.75" customHeight="1">
      <c r="A7" s="47">
        <v>2</v>
      </c>
      <c r="B7" s="51">
        <v>502000</v>
      </c>
      <c r="C7" s="52">
        <v>127000</v>
      </c>
      <c r="D7" s="51">
        <v>35000</v>
      </c>
      <c r="E7" s="52">
        <v>6000</v>
      </c>
      <c r="F7" s="52">
        <v>31000</v>
      </c>
      <c r="G7" s="51">
        <v>560</v>
      </c>
      <c r="H7" s="51">
        <v>852000</v>
      </c>
      <c r="I7" s="52">
        <f>30*5000</f>
        <v>150000</v>
      </c>
      <c r="J7" s="52">
        <v>245000</v>
      </c>
      <c r="K7" s="51">
        <v>125000</v>
      </c>
      <c r="L7" s="51">
        <v>500</v>
      </c>
      <c r="M7" s="51">
        <v>787500</v>
      </c>
      <c r="N7" s="52">
        <v>457000</v>
      </c>
      <c r="O7" s="52">
        <v>7500</v>
      </c>
      <c r="P7" s="52">
        <v>210000</v>
      </c>
      <c r="Q7" s="52">
        <v>19200</v>
      </c>
      <c r="R7" s="52">
        <v>1200000</v>
      </c>
      <c r="S7" s="52">
        <v>640000</v>
      </c>
      <c r="T7" s="52">
        <v>220000</v>
      </c>
      <c r="U7" s="54" t="s">
        <v>135</v>
      </c>
      <c r="V7" s="52">
        <v>180000</v>
      </c>
      <c r="W7" s="52">
        <v>1000</v>
      </c>
      <c r="X7" s="52">
        <v>1100000</v>
      </c>
      <c r="Y7" s="52">
        <v>30000</v>
      </c>
      <c r="Z7" s="52">
        <v>580</v>
      </c>
      <c r="AA7" s="51">
        <v>85000</v>
      </c>
      <c r="AB7" s="51">
        <v>152</v>
      </c>
      <c r="AC7" s="52">
        <v>4900</v>
      </c>
      <c r="AD7" s="52">
        <v>1000</v>
      </c>
      <c r="AE7" s="51">
        <v>210000</v>
      </c>
      <c r="AF7" s="51">
        <v>700</v>
      </c>
      <c r="AG7" s="52">
        <v>4000</v>
      </c>
      <c r="AH7" s="52">
        <v>500000</v>
      </c>
      <c r="AI7" s="52">
        <v>90000</v>
      </c>
      <c r="AJ7" s="52">
        <v>20000</v>
      </c>
      <c r="AK7" s="60">
        <f>2000*AK44*Inputs!AL49</f>
        <v>22.681818181818183</v>
      </c>
      <c r="AL7" s="60">
        <f>5000*AL44*Inputs!AM49</f>
        <v>33.299999999999997</v>
      </c>
      <c r="AM7" s="60">
        <f>150+(2*$AM$44*Inputs!$AN$49)</f>
        <v>226.76923076923077</v>
      </c>
      <c r="AN7" s="56">
        <v>20</v>
      </c>
      <c r="AO7" s="56">
        <v>5</v>
      </c>
      <c r="AP7" s="56">
        <v>14</v>
      </c>
      <c r="AQ7" s="62">
        <v>12</v>
      </c>
      <c r="AR7" s="52">
        <v>300000</v>
      </c>
      <c r="AS7" s="52">
        <v>93600</v>
      </c>
      <c r="AT7" s="51">
        <v>1000</v>
      </c>
      <c r="AU7" s="51">
        <v>30000</v>
      </c>
      <c r="AV7" s="51">
        <v>15000</v>
      </c>
      <c r="AW7" s="51">
        <v>3000</v>
      </c>
      <c r="AX7" s="56">
        <v>522</v>
      </c>
      <c r="AY7" s="73">
        <f>(530286+((35*AY44)*Inputs!AZ49))</f>
        <v>1578186</v>
      </c>
      <c r="AZ7" s="51">
        <v>35000</v>
      </c>
      <c r="BA7" s="73"/>
      <c r="BB7" s="78"/>
    </row>
    <row r="8" spans="1:54" ht="15.75" customHeight="1">
      <c r="A8" s="47">
        <v>3</v>
      </c>
      <c r="B8" s="51">
        <v>778000</v>
      </c>
      <c r="C8" s="52">
        <v>53000</v>
      </c>
      <c r="D8" s="51">
        <v>40000</v>
      </c>
      <c r="E8" s="52">
        <v>20250</v>
      </c>
      <c r="F8" s="52">
        <v>7000</v>
      </c>
      <c r="G8" s="51">
        <v>490</v>
      </c>
      <c r="H8" s="51">
        <v>876000</v>
      </c>
      <c r="I8" s="52">
        <f>35*5200</f>
        <v>182000</v>
      </c>
      <c r="J8" s="52">
        <v>330000</v>
      </c>
      <c r="K8" s="51">
        <v>130000</v>
      </c>
      <c r="L8" s="51">
        <v>300</v>
      </c>
      <c r="M8" s="51">
        <v>1406250</v>
      </c>
      <c r="N8" s="52">
        <v>99000</v>
      </c>
      <c r="O8" s="52">
        <v>7500</v>
      </c>
      <c r="P8" s="52">
        <v>290000</v>
      </c>
      <c r="Q8" s="52">
        <v>25200</v>
      </c>
      <c r="R8" s="52">
        <v>1200000</v>
      </c>
      <c r="S8" s="52">
        <v>640000</v>
      </c>
      <c r="T8" s="52">
        <v>280000</v>
      </c>
      <c r="U8" s="54" t="s">
        <v>150</v>
      </c>
      <c r="V8" s="52">
        <v>360000</v>
      </c>
      <c r="W8" s="52">
        <v>1500</v>
      </c>
      <c r="X8" s="52">
        <v>900000</v>
      </c>
      <c r="Y8" s="52">
        <v>30000</v>
      </c>
      <c r="Z8" s="52">
        <v>1620</v>
      </c>
      <c r="AA8" s="51">
        <v>65000</v>
      </c>
      <c r="AB8" s="51">
        <v>197</v>
      </c>
      <c r="AC8" s="52">
        <v>7400</v>
      </c>
      <c r="AD8" s="52">
        <v>1000</v>
      </c>
      <c r="AE8" s="51">
        <v>630000</v>
      </c>
      <c r="AF8" s="51">
        <v>600</v>
      </c>
      <c r="AG8" s="52">
        <v>2500</v>
      </c>
      <c r="AH8" s="52">
        <v>510000</v>
      </c>
      <c r="AI8" s="52">
        <v>100000</v>
      </c>
      <c r="AJ8" s="52">
        <v>30000</v>
      </c>
      <c r="AK8" s="60">
        <f>2*AK54*Inputs!AL49</f>
        <v>7.5</v>
      </c>
      <c r="AL8" s="60">
        <f>2*AL49*Inputs!AM49</f>
        <v>39.92</v>
      </c>
      <c r="AM8" s="60">
        <f>150+(2*$AM$44*Inputs!$AN$49)</f>
        <v>226.76923076923077</v>
      </c>
      <c r="AN8" s="56">
        <v>20</v>
      </c>
      <c r="AO8" s="56">
        <v>3</v>
      </c>
      <c r="AP8" s="56">
        <v>14</v>
      </c>
      <c r="AQ8" s="62">
        <v>5</v>
      </c>
      <c r="AR8" s="52">
        <v>150000</v>
      </c>
      <c r="AS8" s="52">
        <v>487500</v>
      </c>
      <c r="AT8" s="51">
        <v>1000</v>
      </c>
      <c r="AU8" s="51">
        <v>60000</v>
      </c>
      <c r="AV8" s="51">
        <v>22500</v>
      </c>
      <c r="AW8" s="51">
        <v>5000</v>
      </c>
      <c r="AX8" s="56">
        <v>522</v>
      </c>
      <c r="AY8" s="51">
        <v>1000000</v>
      </c>
      <c r="AZ8" s="51">
        <v>45000</v>
      </c>
      <c r="BA8" s="51"/>
      <c r="BB8" s="64"/>
    </row>
    <row r="9" spans="1:54" ht="15.75" customHeight="1">
      <c r="A9" s="47">
        <v>4</v>
      </c>
      <c r="B9" s="51">
        <v>504000</v>
      </c>
      <c r="C9" s="52">
        <v>254000</v>
      </c>
      <c r="D9" s="51">
        <v>73000</v>
      </c>
      <c r="E9" s="52">
        <v>13500</v>
      </c>
      <c r="F9" s="52">
        <v>81000</v>
      </c>
      <c r="G9" s="51">
        <v>350</v>
      </c>
      <c r="H9" s="51">
        <v>916000</v>
      </c>
      <c r="I9" s="52">
        <f>40*5000</f>
        <v>200000</v>
      </c>
      <c r="J9" s="52">
        <v>445000</v>
      </c>
      <c r="K9" s="51">
        <v>140000</v>
      </c>
      <c r="L9" s="51">
        <v>2500</v>
      </c>
      <c r="M9" s="51">
        <v>1350000</v>
      </c>
      <c r="N9" s="52">
        <v>161000</v>
      </c>
      <c r="O9" s="52">
        <v>7500</v>
      </c>
      <c r="P9" s="52">
        <v>390000</v>
      </c>
      <c r="Q9" s="52">
        <v>79543</v>
      </c>
      <c r="R9" s="52">
        <v>1200000</v>
      </c>
      <c r="S9" s="52">
        <v>640000</v>
      </c>
      <c r="T9" s="52">
        <v>240000</v>
      </c>
      <c r="U9" s="54" t="s">
        <v>152</v>
      </c>
      <c r="V9" s="52">
        <v>360000</v>
      </c>
      <c r="W9" s="52">
        <v>2000</v>
      </c>
      <c r="X9" s="52">
        <v>4400000</v>
      </c>
      <c r="Y9" s="52">
        <v>30000</v>
      </c>
      <c r="Z9" s="52">
        <v>1660</v>
      </c>
      <c r="AA9" s="51">
        <v>85000</v>
      </c>
      <c r="AB9" s="51">
        <v>360</v>
      </c>
      <c r="AC9" s="52">
        <v>7400</v>
      </c>
      <c r="AD9" s="52">
        <v>1000</v>
      </c>
      <c r="AE9" s="51">
        <v>420000</v>
      </c>
      <c r="AF9" s="51">
        <v>350</v>
      </c>
      <c r="AG9" s="52">
        <v>3500</v>
      </c>
      <c r="AH9" s="52">
        <v>525000</v>
      </c>
      <c r="AI9" s="52">
        <v>100000</v>
      </c>
      <c r="AJ9" s="52">
        <v>40000</v>
      </c>
      <c r="AK9" s="60">
        <f>1*AK54*Inputs!AL49</f>
        <v>3.75</v>
      </c>
      <c r="AL9" s="56">
        <v>3</v>
      </c>
      <c r="AM9" s="60">
        <f>150+(2*$AM$44*Inputs!$AN$49)</f>
        <v>226.76923076923077</v>
      </c>
      <c r="AN9" s="56">
        <v>20</v>
      </c>
      <c r="AO9" s="56">
        <v>5</v>
      </c>
      <c r="AP9" s="56">
        <v>14</v>
      </c>
      <c r="AQ9" s="84">
        <f>1000*AQ44*Inputs!AR49</f>
        <v>9.98</v>
      </c>
      <c r="AR9" s="52">
        <v>350000</v>
      </c>
      <c r="AS9" s="52">
        <v>380625</v>
      </c>
      <c r="AT9" s="51">
        <v>1000</v>
      </c>
      <c r="AU9" s="51">
        <v>90000</v>
      </c>
      <c r="AV9" s="51">
        <v>30000</v>
      </c>
      <c r="AW9" s="51">
        <v>7000</v>
      </c>
      <c r="AX9" s="56">
        <v>522</v>
      </c>
      <c r="AY9" s="51">
        <v>1400000</v>
      </c>
      <c r="AZ9" s="51">
        <v>55000</v>
      </c>
      <c r="BA9" s="51"/>
      <c r="BB9" s="64"/>
    </row>
    <row r="10" spans="1:54" ht="15.75" customHeight="1">
      <c r="A10" s="47">
        <v>5</v>
      </c>
      <c r="B10" s="51">
        <v>1505000</v>
      </c>
      <c r="C10" s="52">
        <v>205000</v>
      </c>
      <c r="D10" s="51">
        <v>50000</v>
      </c>
      <c r="E10" s="52">
        <v>13500</v>
      </c>
      <c r="F10" s="52">
        <v>66000</v>
      </c>
      <c r="G10" s="51">
        <v>280</v>
      </c>
      <c r="H10" s="51">
        <v>964000</v>
      </c>
      <c r="I10" s="52">
        <f>40*7000</f>
        <v>280000</v>
      </c>
      <c r="J10" s="52">
        <v>600000</v>
      </c>
      <c r="K10" s="51">
        <v>155000</v>
      </c>
      <c r="L10" s="51">
        <v>300</v>
      </c>
      <c r="M10" s="51">
        <v>2343750</v>
      </c>
      <c r="N10" s="52">
        <v>102500</v>
      </c>
      <c r="O10" s="52">
        <v>7500</v>
      </c>
      <c r="P10" s="52">
        <v>520000</v>
      </c>
      <c r="Q10" s="52">
        <v>65100</v>
      </c>
      <c r="R10" s="52">
        <v>1200000</v>
      </c>
      <c r="S10" s="52">
        <v>640000</v>
      </c>
      <c r="T10" s="52">
        <v>1050000</v>
      </c>
      <c r="U10" s="54" t="s">
        <v>153</v>
      </c>
      <c r="V10" s="52">
        <v>540000</v>
      </c>
      <c r="W10" s="52">
        <v>2500</v>
      </c>
      <c r="X10" s="52">
        <v>1700000</v>
      </c>
      <c r="Y10" s="52">
        <v>30000</v>
      </c>
      <c r="Z10" s="52">
        <v>1200</v>
      </c>
      <c r="AA10" s="51">
        <v>157500</v>
      </c>
      <c r="AB10" s="51">
        <v>225</v>
      </c>
      <c r="AC10" s="52">
        <v>6200</v>
      </c>
      <c r="AD10" s="52">
        <v>1000</v>
      </c>
      <c r="AE10" s="51">
        <v>420000</v>
      </c>
      <c r="AF10" s="51">
        <v>900</v>
      </c>
      <c r="AG10" s="52">
        <v>5000</v>
      </c>
      <c r="AH10" s="52">
        <v>545000</v>
      </c>
      <c r="AI10" s="52">
        <v>20000</v>
      </c>
      <c r="AJ10" s="52">
        <v>50000</v>
      </c>
      <c r="AK10" s="60">
        <f>1*AK49*Inputs!AL49</f>
        <v>1.4925000000000002</v>
      </c>
      <c r="AL10" s="60">
        <f>5*AL49*Inputs!AM49</f>
        <v>99.800000000000011</v>
      </c>
      <c r="AM10" s="60">
        <f>150+(2*AM44*Inputs!AN49)</f>
        <v>226.76923076923077</v>
      </c>
      <c r="AN10" s="56">
        <v>20</v>
      </c>
      <c r="AO10" s="56">
        <v>3</v>
      </c>
      <c r="AP10" s="56">
        <v>14</v>
      </c>
      <c r="AQ10" s="62">
        <v>50</v>
      </c>
      <c r="AR10" s="52">
        <v>125000</v>
      </c>
      <c r="AS10" s="52">
        <v>720000</v>
      </c>
      <c r="AT10" s="51">
        <v>1000</v>
      </c>
      <c r="AU10" s="51">
        <v>90000</v>
      </c>
      <c r="AV10" s="86">
        <v>100000</v>
      </c>
      <c r="AW10" s="51">
        <v>10000</v>
      </c>
      <c r="AX10" s="56">
        <v>522</v>
      </c>
      <c r="AY10" s="51">
        <f>40*AY44*Inputs!AZ49</f>
        <v>1197600.0000000002</v>
      </c>
      <c r="AZ10" s="51">
        <v>90000</v>
      </c>
      <c r="BA10" s="51"/>
      <c r="BB10" s="64"/>
    </row>
    <row r="11" spans="1:54" ht="15.75" customHeight="1">
      <c r="A11" s="47"/>
      <c r="B11" s="56"/>
      <c r="C11" s="56"/>
      <c r="D11" s="56"/>
      <c r="E11" s="56"/>
      <c r="F11" s="88"/>
      <c r="G11" s="56"/>
      <c r="H11" s="56"/>
      <c r="I11" s="88"/>
      <c r="J11" s="72"/>
      <c r="K11" s="56"/>
      <c r="L11" s="56"/>
      <c r="M11" s="72"/>
      <c r="N11" s="88"/>
      <c r="O11" s="72"/>
      <c r="P11" s="88"/>
      <c r="Q11" s="56"/>
      <c r="R11" s="88"/>
      <c r="S11" s="88"/>
      <c r="T11" s="88"/>
      <c r="U11" s="56"/>
      <c r="V11" s="56"/>
      <c r="W11" s="56"/>
      <c r="X11" s="56"/>
      <c r="Y11" s="88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88"/>
      <c r="AK11" s="56"/>
      <c r="AL11" s="56"/>
      <c r="AM11" s="56"/>
      <c r="AN11" s="56"/>
      <c r="AO11" s="56"/>
      <c r="AP11" s="56"/>
      <c r="AQ11" s="90"/>
      <c r="AR11" s="56"/>
      <c r="AS11" s="56"/>
      <c r="AT11" s="56"/>
      <c r="AU11" s="56"/>
      <c r="AV11" s="56"/>
      <c r="AW11" s="56"/>
      <c r="AX11" s="56"/>
      <c r="AY11" s="56"/>
      <c r="AZ11" s="72"/>
      <c r="BA11" s="56"/>
      <c r="BB11" s="92"/>
    </row>
    <row r="12" spans="1:54" ht="15.75" customHeight="1">
      <c r="A12" s="94" t="s">
        <v>155</v>
      </c>
      <c r="B12" s="95" t="s">
        <v>156</v>
      </c>
      <c r="C12" s="95" t="s">
        <v>157</v>
      </c>
      <c r="D12" s="95" t="s">
        <v>158</v>
      </c>
      <c r="E12" s="95" t="s">
        <v>159</v>
      </c>
      <c r="F12" s="95" t="s">
        <v>160</v>
      </c>
      <c r="G12" s="95" t="s">
        <v>161</v>
      </c>
      <c r="H12" s="95" t="s">
        <v>162</v>
      </c>
      <c r="I12" s="95" t="s">
        <v>163</v>
      </c>
      <c r="J12" s="97" t="s">
        <v>164</v>
      </c>
      <c r="K12" s="95" t="s">
        <v>165</v>
      </c>
      <c r="L12" s="95" t="s">
        <v>166</v>
      </c>
      <c r="M12" s="97" t="s">
        <v>83</v>
      </c>
      <c r="N12" s="95" t="s">
        <v>167</v>
      </c>
      <c r="O12" s="97" t="s">
        <v>168</v>
      </c>
      <c r="P12" s="95" t="s">
        <v>169</v>
      </c>
      <c r="Q12" s="95" t="s">
        <v>170</v>
      </c>
      <c r="R12" s="95" t="s">
        <v>171</v>
      </c>
      <c r="S12" s="95" t="s">
        <v>157</v>
      </c>
      <c r="T12" s="95" t="s">
        <v>158</v>
      </c>
      <c r="U12" s="95" t="s">
        <v>172</v>
      </c>
      <c r="V12" s="95" t="s">
        <v>167</v>
      </c>
      <c r="W12" s="95" t="s">
        <v>173</v>
      </c>
      <c r="X12" s="95" t="s">
        <v>174</v>
      </c>
      <c r="Y12" s="95" t="s">
        <v>160</v>
      </c>
      <c r="Z12" s="95" t="s">
        <v>175</v>
      </c>
      <c r="AA12" s="95" t="s">
        <v>176</v>
      </c>
      <c r="AB12" s="95" t="s">
        <v>177</v>
      </c>
      <c r="AC12" s="95" t="s">
        <v>160</v>
      </c>
      <c r="AD12" s="95" t="s">
        <v>178</v>
      </c>
      <c r="AE12" s="95" t="s">
        <v>160</v>
      </c>
      <c r="AF12" s="95" t="s">
        <v>179</v>
      </c>
      <c r="AG12" s="95" t="s">
        <v>173</v>
      </c>
      <c r="AH12" s="95" t="s">
        <v>162</v>
      </c>
      <c r="AI12" s="95" t="s">
        <v>180</v>
      </c>
      <c r="AJ12" s="95" t="s">
        <v>181</v>
      </c>
      <c r="AK12" s="95" t="s">
        <v>74</v>
      </c>
      <c r="AL12" s="95" t="s">
        <v>182</v>
      </c>
      <c r="AM12" s="95" t="s">
        <v>157</v>
      </c>
      <c r="AN12" s="95" t="s">
        <v>183</v>
      </c>
      <c r="AO12" s="95" t="s">
        <v>184</v>
      </c>
      <c r="AP12" s="95" t="s">
        <v>157</v>
      </c>
      <c r="AQ12" s="98" t="s">
        <v>185</v>
      </c>
      <c r="AR12" s="95" t="s">
        <v>162</v>
      </c>
      <c r="AS12" s="95" t="s">
        <v>157</v>
      </c>
      <c r="AT12" s="95" t="s">
        <v>186</v>
      </c>
      <c r="AU12" s="95" t="s">
        <v>82</v>
      </c>
      <c r="AV12" s="95" t="s">
        <v>187</v>
      </c>
      <c r="AW12" s="95" t="s">
        <v>157</v>
      </c>
      <c r="AX12" s="95" t="s">
        <v>157</v>
      </c>
      <c r="AY12" s="95" t="s">
        <v>188</v>
      </c>
      <c r="AZ12" s="95" t="s">
        <v>189</v>
      </c>
      <c r="BA12" s="56"/>
      <c r="BB12" s="92"/>
    </row>
    <row r="13" spans="1:54" ht="15.75" customHeight="1">
      <c r="A13" s="47">
        <v>1</v>
      </c>
      <c r="B13" s="51">
        <v>100000</v>
      </c>
      <c r="C13" s="88" t="s">
        <v>190</v>
      </c>
      <c r="D13" s="51">
        <v>7700</v>
      </c>
      <c r="E13" s="51">
        <v>25000</v>
      </c>
      <c r="F13" s="52">
        <v>30000</v>
      </c>
      <c r="G13" s="51">
        <v>500</v>
      </c>
      <c r="H13" s="52">
        <v>200000</v>
      </c>
      <c r="I13" s="52">
        <v>70000</v>
      </c>
      <c r="J13" s="51">
        <v>600000</v>
      </c>
      <c r="K13" s="51">
        <v>500000</v>
      </c>
      <c r="L13" s="51">
        <v>1000</v>
      </c>
      <c r="M13" s="51">
        <v>500000</v>
      </c>
      <c r="N13" s="52">
        <v>55000</v>
      </c>
      <c r="O13" s="51">
        <v>9350</v>
      </c>
      <c r="P13" s="52">
        <v>980000</v>
      </c>
      <c r="Q13" s="52">
        <v>8000</v>
      </c>
      <c r="R13" s="88">
        <v>0</v>
      </c>
      <c r="S13" s="88" t="s">
        <v>190</v>
      </c>
      <c r="T13" s="52">
        <v>200000</v>
      </c>
      <c r="U13" s="52">
        <v>2000</v>
      </c>
      <c r="V13" s="52">
        <v>1166000</v>
      </c>
      <c r="W13" s="52">
        <v>500</v>
      </c>
      <c r="X13" s="52">
        <v>2793750</v>
      </c>
      <c r="Y13" s="52">
        <v>7500</v>
      </c>
      <c r="Z13" s="52">
        <v>60</v>
      </c>
      <c r="AA13" s="52">
        <v>120000</v>
      </c>
      <c r="AB13" s="52">
        <v>200</v>
      </c>
      <c r="AC13" s="52">
        <v>4140</v>
      </c>
      <c r="AD13" s="52">
        <v>1500</v>
      </c>
      <c r="AE13" s="52">
        <v>1534000</v>
      </c>
      <c r="AF13" s="52">
        <v>500</v>
      </c>
      <c r="AG13" s="52">
        <v>100</v>
      </c>
      <c r="AH13" s="52">
        <v>150000</v>
      </c>
      <c r="AI13" s="52">
        <v>20000</v>
      </c>
      <c r="AJ13" s="52">
        <v>30000</v>
      </c>
      <c r="AK13" s="56">
        <v>16</v>
      </c>
      <c r="AL13" s="99">
        <f>17+(600*$AL$44*Inputs!$AM$49)</f>
        <v>20.995999999999999</v>
      </c>
      <c r="AM13" s="88" t="s">
        <v>190</v>
      </c>
      <c r="AN13" s="99">
        <f>5*$AN$44*Inputs!$AO$49</f>
        <v>1.37225</v>
      </c>
      <c r="AO13" s="56">
        <v>5</v>
      </c>
      <c r="AP13" s="88" t="s">
        <v>190</v>
      </c>
      <c r="AQ13" s="84">
        <f>18+(500*$AQ$44*Inputs!$AR$49)</f>
        <v>22.990000000000002</v>
      </c>
      <c r="AR13" s="51">
        <v>50000</v>
      </c>
      <c r="AS13" s="88" t="s">
        <v>190</v>
      </c>
      <c r="AT13" s="51">
        <v>7200</v>
      </c>
      <c r="AU13" s="51">
        <v>1000000</v>
      </c>
      <c r="AV13" s="51">
        <v>15000</v>
      </c>
      <c r="AW13" s="88" t="s">
        <v>190</v>
      </c>
      <c r="AX13" s="88" t="s">
        <v>190</v>
      </c>
      <c r="AY13" s="51">
        <v>250000</v>
      </c>
      <c r="AZ13" s="52">
        <v>25000</v>
      </c>
      <c r="BA13" s="51"/>
      <c r="BB13" s="64"/>
    </row>
    <row r="14" spans="1:54" ht="15.75" customHeight="1">
      <c r="A14" s="47">
        <v>2</v>
      </c>
      <c r="B14" s="51">
        <v>100000</v>
      </c>
      <c r="C14" s="88" t="s">
        <v>190</v>
      </c>
      <c r="D14" s="51">
        <v>7000</v>
      </c>
      <c r="E14" s="51">
        <v>2500</v>
      </c>
      <c r="F14" s="52">
        <v>30000</v>
      </c>
      <c r="G14" s="51">
        <v>500</v>
      </c>
      <c r="H14" s="52">
        <v>200000</v>
      </c>
      <c r="I14" s="52">
        <v>70000</v>
      </c>
      <c r="J14" s="51">
        <v>600000</v>
      </c>
      <c r="K14" s="51">
        <v>400000</v>
      </c>
      <c r="L14" s="51">
        <v>1000</v>
      </c>
      <c r="M14" s="51">
        <v>500000</v>
      </c>
      <c r="N14" s="52">
        <v>60000</v>
      </c>
      <c r="O14" s="51">
        <v>10625</v>
      </c>
      <c r="P14" s="52">
        <v>1100000</v>
      </c>
      <c r="Q14" s="52">
        <v>8000</v>
      </c>
      <c r="R14" s="52">
        <v>150000</v>
      </c>
      <c r="S14" s="88" t="s">
        <v>190</v>
      </c>
      <c r="T14" s="52">
        <v>193750</v>
      </c>
      <c r="U14" s="52">
        <v>2000</v>
      </c>
      <c r="V14" s="52">
        <v>1189000</v>
      </c>
      <c r="W14" s="52">
        <v>500</v>
      </c>
      <c r="X14" s="52">
        <v>930000</v>
      </c>
      <c r="Y14" s="52">
        <v>7500</v>
      </c>
      <c r="Z14" s="52">
        <v>60</v>
      </c>
      <c r="AA14" s="52">
        <v>120000</v>
      </c>
      <c r="AB14" s="52">
        <v>200</v>
      </c>
      <c r="AC14" s="52">
        <v>4140</v>
      </c>
      <c r="AD14" s="52">
        <v>2000</v>
      </c>
      <c r="AE14" s="52">
        <v>1520000</v>
      </c>
      <c r="AF14" s="52">
        <v>500</v>
      </c>
      <c r="AG14" s="52">
        <v>100</v>
      </c>
      <c r="AH14" s="52">
        <v>150000</v>
      </c>
      <c r="AI14" s="52">
        <v>45000</v>
      </c>
      <c r="AJ14" s="52">
        <v>160000</v>
      </c>
      <c r="AK14" s="56">
        <v>16</v>
      </c>
      <c r="AL14" s="99">
        <f>17+(600*$AL$44*Inputs!$AM$49)</f>
        <v>20.995999999999999</v>
      </c>
      <c r="AM14" s="88" t="s">
        <v>190</v>
      </c>
      <c r="AN14" s="99">
        <f>5*$AN$44*Inputs!$AO$49</f>
        <v>1.37225</v>
      </c>
      <c r="AO14" s="56">
        <v>6</v>
      </c>
      <c r="AP14" s="88" t="s">
        <v>190</v>
      </c>
      <c r="AQ14" s="84">
        <f>18+(500*$AQ$44*Inputs!$AR$49)</f>
        <v>22.990000000000002</v>
      </c>
      <c r="AR14" s="51">
        <v>50000</v>
      </c>
      <c r="AS14" s="88" t="s">
        <v>190</v>
      </c>
      <c r="AT14" s="51">
        <v>9300</v>
      </c>
      <c r="AU14" s="51">
        <v>13500000</v>
      </c>
      <c r="AV14" s="51">
        <v>30000</v>
      </c>
      <c r="AW14" s="88" t="s">
        <v>190</v>
      </c>
      <c r="AX14" s="88" t="s">
        <v>190</v>
      </c>
      <c r="AY14" s="51">
        <v>500000</v>
      </c>
      <c r="AZ14" s="52">
        <v>25000</v>
      </c>
      <c r="BA14" s="51"/>
      <c r="BB14" s="64"/>
    </row>
    <row r="15" spans="1:54" ht="15.75" customHeight="1">
      <c r="A15" s="47">
        <v>3</v>
      </c>
      <c r="B15" s="51">
        <v>100000</v>
      </c>
      <c r="C15" s="88" t="s">
        <v>190</v>
      </c>
      <c r="D15" s="51">
        <v>7350</v>
      </c>
      <c r="E15" s="56">
        <v>500</v>
      </c>
      <c r="F15" s="52">
        <v>30000</v>
      </c>
      <c r="G15" s="51">
        <v>500</v>
      </c>
      <c r="H15" s="52">
        <v>200000</v>
      </c>
      <c r="I15" s="52">
        <v>70000</v>
      </c>
      <c r="J15" s="51">
        <v>600000</v>
      </c>
      <c r="K15" s="51">
        <v>300000</v>
      </c>
      <c r="L15" s="51">
        <v>1000</v>
      </c>
      <c r="M15" s="51">
        <v>750000</v>
      </c>
      <c r="N15" s="52">
        <v>75000</v>
      </c>
      <c r="O15" s="51">
        <v>11550</v>
      </c>
      <c r="P15" s="52">
        <v>1300000</v>
      </c>
      <c r="Q15" s="52">
        <v>8000</v>
      </c>
      <c r="R15" s="52">
        <v>300000</v>
      </c>
      <c r="S15" s="88" t="s">
        <v>190</v>
      </c>
      <c r="T15" s="52">
        <v>181250</v>
      </c>
      <c r="U15" s="52">
        <v>2000</v>
      </c>
      <c r="V15" s="52">
        <v>867000</v>
      </c>
      <c r="W15" s="52">
        <v>500</v>
      </c>
      <c r="X15" s="52">
        <v>1390000</v>
      </c>
      <c r="Y15" s="52">
        <v>7500</v>
      </c>
      <c r="Z15" s="52">
        <v>60</v>
      </c>
      <c r="AA15" s="52">
        <v>120000</v>
      </c>
      <c r="AB15" s="52">
        <v>200</v>
      </c>
      <c r="AC15" s="52">
        <v>4140</v>
      </c>
      <c r="AD15" s="52">
        <v>1000</v>
      </c>
      <c r="AE15" s="52">
        <v>484000</v>
      </c>
      <c r="AF15" s="52">
        <v>500</v>
      </c>
      <c r="AG15" s="52">
        <v>100</v>
      </c>
      <c r="AH15" s="52">
        <v>150000</v>
      </c>
      <c r="AI15" s="52">
        <v>35000</v>
      </c>
      <c r="AJ15" s="52">
        <v>450000</v>
      </c>
      <c r="AK15" s="56">
        <v>16</v>
      </c>
      <c r="AL15" s="99">
        <f>17+(600*$AL$44*Inputs!$AM$49)</f>
        <v>20.995999999999999</v>
      </c>
      <c r="AM15" s="88" t="s">
        <v>190</v>
      </c>
      <c r="AN15" s="99">
        <f>5*$AN$44*Inputs!$AO$49</f>
        <v>1.37225</v>
      </c>
      <c r="AO15" s="56">
        <v>7</v>
      </c>
      <c r="AP15" s="88" t="s">
        <v>190</v>
      </c>
      <c r="AQ15" s="84">
        <f>18+(500*$AQ$44*Inputs!$AR$49)</f>
        <v>22.990000000000002</v>
      </c>
      <c r="AR15" s="51">
        <v>50000</v>
      </c>
      <c r="AS15" s="88" t="s">
        <v>190</v>
      </c>
      <c r="AT15" s="51">
        <v>7200</v>
      </c>
      <c r="AU15" s="51">
        <v>1600000</v>
      </c>
      <c r="AV15" s="51">
        <v>15000</v>
      </c>
      <c r="AW15" s="88" t="s">
        <v>190</v>
      </c>
      <c r="AX15" s="88" t="s">
        <v>190</v>
      </c>
      <c r="AY15" s="51">
        <v>400000</v>
      </c>
      <c r="AZ15" s="52">
        <v>25000</v>
      </c>
      <c r="BA15" s="51"/>
      <c r="BB15" s="64"/>
    </row>
    <row r="16" spans="1:54" ht="15.75" customHeight="1">
      <c r="A16" s="47">
        <v>4</v>
      </c>
      <c r="B16" s="51">
        <v>100000</v>
      </c>
      <c r="C16" s="88" t="s">
        <v>190</v>
      </c>
      <c r="D16" s="51">
        <v>7350</v>
      </c>
      <c r="E16" s="56">
        <v>100</v>
      </c>
      <c r="F16" s="52">
        <v>30000</v>
      </c>
      <c r="G16" s="51">
        <v>500</v>
      </c>
      <c r="H16" s="52">
        <v>200000</v>
      </c>
      <c r="I16" s="52">
        <v>100000</v>
      </c>
      <c r="J16" s="51">
        <v>600000</v>
      </c>
      <c r="K16" s="51">
        <v>600000</v>
      </c>
      <c r="L16" s="51">
        <v>1000</v>
      </c>
      <c r="M16" s="52">
        <v>500000</v>
      </c>
      <c r="N16" s="52">
        <v>55000</v>
      </c>
      <c r="O16" s="51">
        <v>14725</v>
      </c>
      <c r="P16" s="51">
        <f>5*700000</f>
        <v>3500000</v>
      </c>
      <c r="Q16" s="52">
        <v>8000</v>
      </c>
      <c r="R16" s="52">
        <v>450000</v>
      </c>
      <c r="S16" s="88" t="s">
        <v>190</v>
      </c>
      <c r="T16" s="52">
        <v>193750</v>
      </c>
      <c r="U16" s="52">
        <v>2000</v>
      </c>
      <c r="V16" s="52">
        <v>1027000</v>
      </c>
      <c r="W16" s="52">
        <v>500</v>
      </c>
      <c r="X16" s="52">
        <v>1820000</v>
      </c>
      <c r="Y16" s="52">
        <v>7500</v>
      </c>
      <c r="Z16" s="52">
        <v>60</v>
      </c>
      <c r="AA16" s="52">
        <v>120000</v>
      </c>
      <c r="AB16" s="52">
        <v>200</v>
      </c>
      <c r="AC16" s="52">
        <v>4140</v>
      </c>
      <c r="AD16" s="52">
        <v>3000</v>
      </c>
      <c r="AE16" s="52">
        <v>722000</v>
      </c>
      <c r="AF16" s="52">
        <v>500</v>
      </c>
      <c r="AG16" s="52">
        <v>100</v>
      </c>
      <c r="AH16" s="52">
        <v>150000</v>
      </c>
      <c r="AI16" s="52">
        <v>45000</v>
      </c>
      <c r="AJ16" s="52">
        <v>200000</v>
      </c>
      <c r="AK16" s="56">
        <v>16</v>
      </c>
      <c r="AL16" s="99">
        <f>17+(600*$AL$44*Inputs!$AM$49)</f>
        <v>20.995999999999999</v>
      </c>
      <c r="AM16" s="88" t="s">
        <v>190</v>
      </c>
      <c r="AN16" s="99">
        <f>5*$AN$44*Inputs!$AO$49</f>
        <v>1.37225</v>
      </c>
      <c r="AO16" s="56">
        <v>8</v>
      </c>
      <c r="AP16" s="88" t="s">
        <v>190</v>
      </c>
      <c r="AQ16" s="84">
        <f>18+(500*$AQ$44*Inputs!$AR$49)</f>
        <v>22.990000000000002</v>
      </c>
      <c r="AR16" s="51">
        <v>50000</v>
      </c>
      <c r="AS16" s="88" t="s">
        <v>190</v>
      </c>
      <c r="AT16" s="51">
        <v>5100</v>
      </c>
      <c r="AU16" s="51">
        <v>2250000</v>
      </c>
      <c r="AV16" s="51">
        <v>12000</v>
      </c>
      <c r="AW16" s="88" t="s">
        <v>190</v>
      </c>
      <c r="AX16" s="88" t="s">
        <v>190</v>
      </c>
      <c r="AY16" s="51">
        <v>300000</v>
      </c>
      <c r="AZ16" s="52">
        <v>25000</v>
      </c>
      <c r="BA16" s="51"/>
      <c r="BB16" s="64"/>
    </row>
    <row r="17" spans="1:54" ht="15.75" customHeight="1">
      <c r="A17" s="47">
        <v>5</v>
      </c>
      <c r="B17" s="51">
        <v>100000</v>
      </c>
      <c r="C17" s="88" t="s">
        <v>190</v>
      </c>
      <c r="D17" s="51">
        <v>7350</v>
      </c>
      <c r="E17" s="51">
        <v>1000</v>
      </c>
      <c r="F17" s="52">
        <v>30000</v>
      </c>
      <c r="G17" s="51">
        <v>500</v>
      </c>
      <c r="H17" s="52">
        <v>200000</v>
      </c>
      <c r="I17" s="52">
        <v>100000</v>
      </c>
      <c r="J17" s="51">
        <v>600000</v>
      </c>
      <c r="K17" s="52">
        <v>630000</v>
      </c>
      <c r="L17" s="51">
        <v>1000</v>
      </c>
      <c r="M17" s="51">
        <v>500000</v>
      </c>
      <c r="N17" s="52">
        <v>95000</v>
      </c>
      <c r="O17" s="51">
        <v>48450</v>
      </c>
      <c r="P17" s="52">
        <v>1500000</v>
      </c>
      <c r="Q17" s="52">
        <v>8000</v>
      </c>
      <c r="R17" s="52">
        <v>600000</v>
      </c>
      <c r="S17" s="88" t="s">
        <v>190</v>
      </c>
      <c r="T17" s="51">
        <v>175000</v>
      </c>
      <c r="U17" s="52">
        <v>2000</v>
      </c>
      <c r="V17" s="52">
        <v>663000</v>
      </c>
      <c r="W17" s="52">
        <v>500</v>
      </c>
      <c r="X17" s="52">
        <v>1160000</v>
      </c>
      <c r="Y17" s="52">
        <v>7500</v>
      </c>
      <c r="Z17" s="52">
        <v>60</v>
      </c>
      <c r="AA17" s="52">
        <v>120000</v>
      </c>
      <c r="AB17" s="52">
        <v>200</v>
      </c>
      <c r="AC17" s="52">
        <v>4140</v>
      </c>
      <c r="AD17" s="52">
        <v>2500</v>
      </c>
      <c r="AE17" s="52">
        <v>2815000</v>
      </c>
      <c r="AF17" s="52">
        <v>500</v>
      </c>
      <c r="AG17" s="52">
        <v>100</v>
      </c>
      <c r="AH17" s="52">
        <v>150000</v>
      </c>
      <c r="AI17" s="52">
        <v>45000</v>
      </c>
      <c r="AJ17" s="52">
        <v>500000</v>
      </c>
      <c r="AK17" s="56">
        <v>16</v>
      </c>
      <c r="AL17" s="99">
        <f>17+(600*$AL$44*Inputs!$AM$49)</f>
        <v>20.995999999999999</v>
      </c>
      <c r="AM17" s="88" t="s">
        <v>190</v>
      </c>
      <c r="AN17" s="99">
        <f>5*$AN$44*Inputs!$AO$49</f>
        <v>1.37225</v>
      </c>
      <c r="AO17" s="56">
        <v>9</v>
      </c>
      <c r="AP17" s="88" t="s">
        <v>190</v>
      </c>
      <c r="AQ17" s="84">
        <f>18+(500*$AQ$44*Inputs!$AR$49)</f>
        <v>22.990000000000002</v>
      </c>
      <c r="AR17" s="51">
        <v>50000</v>
      </c>
      <c r="AS17" s="88" t="s">
        <v>190</v>
      </c>
      <c r="AT17" s="51">
        <v>8400</v>
      </c>
      <c r="AU17" s="51">
        <v>2100000</v>
      </c>
      <c r="AV17" s="51">
        <v>40000</v>
      </c>
      <c r="AW17" s="88" t="s">
        <v>190</v>
      </c>
      <c r="AX17" s="88" t="s">
        <v>190</v>
      </c>
      <c r="AY17" s="51">
        <v>200000</v>
      </c>
      <c r="AZ17" s="52">
        <v>25000</v>
      </c>
      <c r="BA17" s="51"/>
      <c r="BB17" s="64"/>
    </row>
    <row r="18" spans="1:54" ht="15.75" customHeight="1">
      <c r="A18" s="47"/>
      <c r="B18" s="56"/>
      <c r="C18" s="56"/>
      <c r="D18" s="56"/>
      <c r="E18" s="56"/>
      <c r="F18" s="88"/>
      <c r="G18" s="56"/>
      <c r="H18" s="56"/>
      <c r="I18" s="88"/>
      <c r="J18" s="72"/>
      <c r="K18" s="56"/>
      <c r="L18" s="56"/>
      <c r="M18" s="72"/>
      <c r="N18" s="88"/>
      <c r="O18" s="72"/>
      <c r="P18" s="88"/>
      <c r="Q18" s="56"/>
      <c r="R18" s="88"/>
      <c r="S18" s="88"/>
      <c r="T18" s="88"/>
      <c r="U18" s="56"/>
      <c r="V18" s="88"/>
      <c r="W18" s="88"/>
      <c r="X18" s="56"/>
      <c r="Y18" s="88"/>
      <c r="Z18" s="88"/>
      <c r="AA18" s="56"/>
      <c r="AB18" s="88"/>
      <c r="AC18" s="56"/>
      <c r="AD18" s="56"/>
      <c r="AE18" s="88"/>
      <c r="AF18" s="88"/>
      <c r="AG18" s="88"/>
      <c r="AH18" s="88"/>
      <c r="AI18" s="56"/>
      <c r="AJ18" s="56"/>
      <c r="AK18" s="56"/>
      <c r="AL18" s="56"/>
      <c r="AM18" s="56"/>
      <c r="AN18" s="56"/>
      <c r="AO18" s="56"/>
      <c r="AP18" s="56"/>
      <c r="AQ18" s="90"/>
      <c r="AR18" s="56"/>
      <c r="AS18" s="56"/>
      <c r="AT18" s="56"/>
      <c r="AU18" s="56"/>
      <c r="AV18" s="56"/>
      <c r="AW18" s="56"/>
      <c r="AX18" s="56"/>
      <c r="AY18" s="56"/>
      <c r="AZ18" s="72"/>
      <c r="BA18" s="56"/>
      <c r="BB18" s="92"/>
    </row>
    <row r="19" spans="1:54" ht="15.75" customHeight="1">
      <c r="A19" s="94" t="s">
        <v>191</v>
      </c>
      <c r="B19" s="95" t="s">
        <v>192</v>
      </c>
      <c r="C19" s="95" t="s">
        <v>157</v>
      </c>
      <c r="D19" s="95" t="s">
        <v>193</v>
      </c>
      <c r="E19" s="95" t="s">
        <v>157</v>
      </c>
      <c r="F19" s="95" t="s">
        <v>157</v>
      </c>
      <c r="G19" s="95" t="s">
        <v>162</v>
      </c>
      <c r="H19" s="95" t="s">
        <v>157</v>
      </c>
      <c r="I19" s="95" t="s">
        <v>194</v>
      </c>
      <c r="J19" s="95" t="s">
        <v>195</v>
      </c>
      <c r="K19" s="95" t="s">
        <v>157</v>
      </c>
      <c r="L19" s="95" t="s">
        <v>83</v>
      </c>
      <c r="M19" s="95" t="s">
        <v>160</v>
      </c>
      <c r="N19" s="95" t="s">
        <v>157</v>
      </c>
      <c r="O19" s="97" t="s">
        <v>71</v>
      </c>
      <c r="P19" s="95" t="s">
        <v>195</v>
      </c>
      <c r="Q19" s="95" t="s">
        <v>196</v>
      </c>
      <c r="R19" s="95" t="s">
        <v>197</v>
      </c>
      <c r="S19" s="95" t="s">
        <v>157</v>
      </c>
      <c r="T19" s="95" t="s">
        <v>198</v>
      </c>
      <c r="U19" s="95" t="s">
        <v>199</v>
      </c>
      <c r="V19" s="95" t="s">
        <v>157</v>
      </c>
      <c r="W19" s="95" t="s">
        <v>157</v>
      </c>
      <c r="X19" s="95" t="s">
        <v>160</v>
      </c>
      <c r="Y19" s="95" t="s">
        <v>157</v>
      </c>
      <c r="Z19" s="95" t="s">
        <v>157</v>
      </c>
      <c r="AA19" s="95" t="s">
        <v>157</v>
      </c>
      <c r="AB19" s="95" t="s">
        <v>157</v>
      </c>
      <c r="AC19" s="95" t="s">
        <v>157</v>
      </c>
      <c r="AD19" s="95" t="s">
        <v>200</v>
      </c>
      <c r="AE19" s="95" t="s">
        <v>157</v>
      </c>
      <c r="AF19" s="95" t="s">
        <v>157</v>
      </c>
      <c r="AG19" s="95" t="s">
        <v>157</v>
      </c>
      <c r="AH19" s="95" t="s">
        <v>157</v>
      </c>
      <c r="AI19" s="95" t="s">
        <v>201</v>
      </c>
      <c r="AJ19" s="95" t="s">
        <v>202</v>
      </c>
      <c r="AK19" s="95" t="s">
        <v>157</v>
      </c>
      <c r="AL19" s="95" t="s">
        <v>157</v>
      </c>
      <c r="AM19" s="95" t="s">
        <v>157</v>
      </c>
      <c r="AN19" s="95" t="s">
        <v>157</v>
      </c>
      <c r="AO19" s="95" t="s">
        <v>203</v>
      </c>
      <c r="AP19" s="95" t="s">
        <v>157</v>
      </c>
      <c r="AQ19" s="98" t="s">
        <v>157</v>
      </c>
      <c r="AR19" s="95" t="s">
        <v>157</v>
      </c>
      <c r="AS19" s="95" t="s">
        <v>157</v>
      </c>
      <c r="AT19" s="95" t="s">
        <v>204</v>
      </c>
      <c r="AU19" s="95" t="s">
        <v>173</v>
      </c>
      <c r="AV19" s="95" t="s">
        <v>205</v>
      </c>
      <c r="AW19" s="95" t="s">
        <v>157</v>
      </c>
      <c r="AX19" s="95" t="s">
        <v>157</v>
      </c>
      <c r="AY19" s="95" t="s">
        <v>157</v>
      </c>
      <c r="AZ19" s="95" t="s">
        <v>157</v>
      </c>
      <c r="BA19" s="56"/>
      <c r="BB19" s="92"/>
    </row>
    <row r="20" spans="1:54" ht="15.75" customHeight="1">
      <c r="A20" s="47">
        <v>1</v>
      </c>
      <c r="B20" s="51">
        <f>Inputs!$C$49*$B$44</f>
        <v>270000</v>
      </c>
      <c r="C20" s="88" t="s">
        <v>190</v>
      </c>
      <c r="D20" s="51">
        <v>2500</v>
      </c>
      <c r="E20" s="88" t="s">
        <v>190</v>
      </c>
      <c r="F20" s="88" t="s">
        <v>190</v>
      </c>
      <c r="G20" s="51">
        <v>140</v>
      </c>
      <c r="H20" s="88" t="s">
        <v>190</v>
      </c>
      <c r="I20" s="52">
        <v>452000</v>
      </c>
      <c r="J20" s="52">
        <v>1200000</v>
      </c>
      <c r="K20" s="88" t="s">
        <v>190</v>
      </c>
      <c r="L20" s="56">
        <v>550</v>
      </c>
      <c r="M20" s="52">
        <v>250000</v>
      </c>
      <c r="N20" s="88" t="s">
        <v>190</v>
      </c>
      <c r="O20" s="51">
        <v>2250</v>
      </c>
      <c r="P20" s="52">
        <v>2500000</v>
      </c>
      <c r="Q20" s="52" t="e">
        <f>5*#REF!</f>
        <v>#REF!</v>
      </c>
      <c r="R20" s="52">
        <v>712857</v>
      </c>
      <c r="S20" s="88" t="s">
        <v>190</v>
      </c>
      <c r="T20" s="52">
        <v>94500</v>
      </c>
      <c r="U20" s="52">
        <v>33000</v>
      </c>
      <c r="V20" s="88" t="s">
        <v>190</v>
      </c>
      <c r="W20" s="88" t="s">
        <v>190</v>
      </c>
      <c r="X20" s="52">
        <v>400000</v>
      </c>
      <c r="Y20" s="88" t="s">
        <v>190</v>
      </c>
      <c r="Z20" s="88" t="s">
        <v>190</v>
      </c>
      <c r="AA20" s="88" t="s">
        <v>190</v>
      </c>
      <c r="AB20" s="56" t="s">
        <v>190</v>
      </c>
      <c r="AC20" s="88" t="s">
        <v>190</v>
      </c>
      <c r="AD20" s="52">
        <v>2800</v>
      </c>
      <c r="AE20" s="88" t="s">
        <v>190</v>
      </c>
      <c r="AF20" s="88" t="s">
        <v>190</v>
      </c>
      <c r="AG20" s="88" t="s">
        <v>190</v>
      </c>
      <c r="AH20" s="88" t="s">
        <v>190</v>
      </c>
      <c r="AI20" s="52">
        <v>44000</v>
      </c>
      <c r="AJ20" s="52">
        <v>20000</v>
      </c>
      <c r="AK20" s="88" t="s">
        <v>190</v>
      </c>
      <c r="AL20" s="88" t="s">
        <v>190</v>
      </c>
      <c r="AM20" s="88" t="s">
        <v>190</v>
      </c>
      <c r="AN20" s="88" t="s">
        <v>190</v>
      </c>
      <c r="AO20" s="56">
        <v>4</v>
      </c>
      <c r="AP20" s="88" t="s">
        <v>190</v>
      </c>
      <c r="AQ20" s="101" t="s">
        <v>190</v>
      </c>
      <c r="AR20" s="88" t="s">
        <v>190</v>
      </c>
      <c r="AS20" s="88" t="s">
        <v>190</v>
      </c>
      <c r="AT20" s="52">
        <v>4100</v>
      </c>
      <c r="AU20" s="51">
        <v>181000</v>
      </c>
      <c r="AV20" s="51">
        <v>5000</v>
      </c>
      <c r="AW20" s="88" t="s">
        <v>190</v>
      </c>
      <c r="AX20" s="88" t="s">
        <v>190</v>
      </c>
      <c r="AY20" s="88" t="s">
        <v>190</v>
      </c>
      <c r="AZ20" s="88" t="s">
        <v>190</v>
      </c>
      <c r="BA20" s="56"/>
      <c r="BB20" s="92"/>
    </row>
    <row r="21" spans="1:54" ht="15.75" customHeight="1">
      <c r="A21" s="47">
        <v>2</v>
      </c>
      <c r="B21" s="51">
        <f>Inputs!$C$49*$B$44</f>
        <v>270000</v>
      </c>
      <c r="C21" s="88" t="s">
        <v>190</v>
      </c>
      <c r="D21" s="51">
        <v>2500</v>
      </c>
      <c r="E21" s="88" t="s">
        <v>190</v>
      </c>
      <c r="F21" s="88" t="s">
        <v>190</v>
      </c>
      <c r="G21" s="51">
        <v>140</v>
      </c>
      <c r="H21" s="88" t="s">
        <v>190</v>
      </c>
      <c r="I21" s="52">
        <v>722000</v>
      </c>
      <c r="J21" s="52">
        <v>1200000</v>
      </c>
      <c r="K21" s="88" t="s">
        <v>190</v>
      </c>
      <c r="L21" s="56">
        <v>660</v>
      </c>
      <c r="M21" s="52">
        <v>250000</v>
      </c>
      <c r="N21" s="88" t="s">
        <v>190</v>
      </c>
      <c r="O21" s="51">
        <v>12000</v>
      </c>
      <c r="P21" s="52">
        <v>2500000</v>
      </c>
      <c r="Q21" s="52" t="e">
        <f>5*#REF!</f>
        <v>#REF!</v>
      </c>
      <c r="R21" s="52">
        <v>712857</v>
      </c>
      <c r="S21" s="88" t="s">
        <v>190</v>
      </c>
      <c r="T21" s="52">
        <v>90000</v>
      </c>
      <c r="U21" s="52">
        <v>33000</v>
      </c>
      <c r="V21" s="88" t="s">
        <v>190</v>
      </c>
      <c r="W21" s="88" t="s">
        <v>190</v>
      </c>
      <c r="X21" s="52">
        <v>400000</v>
      </c>
      <c r="Y21" s="88" t="s">
        <v>190</v>
      </c>
      <c r="Z21" s="88" t="s">
        <v>190</v>
      </c>
      <c r="AA21" s="88" t="s">
        <v>190</v>
      </c>
      <c r="AB21" s="56" t="s">
        <v>190</v>
      </c>
      <c r="AC21" s="88" t="s">
        <v>190</v>
      </c>
      <c r="AD21" s="52">
        <v>6000</v>
      </c>
      <c r="AE21" s="88" t="s">
        <v>190</v>
      </c>
      <c r="AF21" s="88" t="s">
        <v>190</v>
      </c>
      <c r="AG21" s="88" t="s">
        <v>190</v>
      </c>
      <c r="AH21" s="88" t="s">
        <v>190</v>
      </c>
      <c r="AI21" s="52">
        <v>38000</v>
      </c>
      <c r="AJ21" s="52">
        <v>20000</v>
      </c>
      <c r="AK21" s="88" t="s">
        <v>190</v>
      </c>
      <c r="AL21" s="88" t="s">
        <v>190</v>
      </c>
      <c r="AM21" s="88" t="s">
        <v>190</v>
      </c>
      <c r="AN21" s="88" t="s">
        <v>190</v>
      </c>
      <c r="AO21" s="56">
        <v>4</v>
      </c>
      <c r="AP21" s="88" t="s">
        <v>190</v>
      </c>
      <c r="AQ21" s="101" t="s">
        <v>190</v>
      </c>
      <c r="AR21" s="88" t="s">
        <v>190</v>
      </c>
      <c r="AS21" s="88" t="s">
        <v>190</v>
      </c>
      <c r="AT21" s="52">
        <v>4100</v>
      </c>
      <c r="AU21" s="51">
        <v>55000</v>
      </c>
      <c r="AV21" s="51">
        <v>5000</v>
      </c>
      <c r="AW21" s="88" t="s">
        <v>190</v>
      </c>
      <c r="AX21" s="88" t="s">
        <v>190</v>
      </c>
      <c r="AY21" s="88" t="s">
        <v>190</v>
      </c>
      <c r="AZ21" s="88" t="s">
        <v>190</v>
      </c>
      <c r="BA21" s="56"/>
      <c r="BB21" s="92"/>
    </row>
    <row r="22" spans="1:54" ht="15.75" customHeight="1">
      <c r="A22" s="47">
        <v>3</v>
      </c>
      <c r="B22" s="51">
        <f>Inputs!$C$49*$B$44</f>
        <v>270000</v>
      </c>
      <c r="C22" s="88" t="s">
        <v>190</v>
      </c>
      <c r="D22" s="51">
        <v>2400</v>
      </c>
      <c r="E22" s="88" t="s">
        <v>190</v>
      </c>
      <c r="F22" s="88" t="s">
        <v>190</v>
      </c>
      <c r="G22" s="51">
        <v>140</v>
      </c>
      <c r="H22" s="88" t="s">
        <v>190</v>
      </c>
      <c r="I22" s="52">
        <v>182000</v>
      </c>
      <c r="J22" s="52">
        <v>1200000</v>
      </c>
      <c r="K22" s="88" t="s">
        <v>190</v>
      </c>
      <c r="L22" s="56">
        <v>770</v>
      </c>
      <c r="M22" s="52">
        <v>250000</v>
      </c>
      <c r="N22" s="88" t="s">
        <v>190</v>
      </c>
      <c r="O22" s="51">
        <v>7600</v>
      </c>
      <c r="P22" s="52">
        <v>2500000</v>
      </c>
      <c r="Q22" s="52" t="e">
        <f>5*#REF!</f>
        <v>#REF!</v>
      </c>
      <c r="R22" s="52">
        <v>712857</v>
      </c>
      <c r="S22" s="88" t="s">
        <v>190</v>
      </c>
      <c r="T22" s="52">
        <v>96750</v>
      </c>
      <c r="U22" s="52">
        <v>33000</v>
      </c>
      <c r="V22" s="88" t="s">
        <v>190</v>
      </c>
      <c r="W22" s="88" t="s">
        <v>190</v>
      </c>
      <c r="X22" s="52">
        <v>400000</v>
      </c>
      <c r="Y22" s="88" t="s">
        <v>190</v>
      </c>
      <c r="Z22" s="88" t="s">
        <v>190</v>
      </c>
      <c r="AA22" s="88" t="s">
        <v>190</v>
      </c>
      <c r="AB22" s="56" t="s">
        <v>190</v>
      </c>
      <c r="AC22" s="88" t="s">
        <v>190</v>
      </c>
      <c r="AD22" s="52">
        <v>4000</v>
      </c>
      <c r="AE22" s="88" t="s">
        <v>190</v>
      </c>
      <c r="AF22" s="88" t="s">
        <v>190</v>
      </c>
      <c r="AG22" s="88" t="s">
        <v>190</v>
      </c>
      <c r="AH22" s="88" t="s">
        <v>190</v>
      </c>
      <c r="AI22" s="52">
        <v>20000</v>
      </c>
      <c r="AJ22" s="52">
        <v>20000</v>
      </c>
      <c r="AK22" s="88" t="s">
        <v>190</v>
      </c>
      <c r="AL22" s="88" t="s">
        <v>190</v>
      </c>
      <c r="AM22" s="88" t="s">
        <v>190</v>
      </c>
      <c r="AN22" s="88" t="s">
        <v>190</v>
      </c>
      <c r="AO22" s="56">
        <v>4</v>
      </c>
      <c r="AP22" s="88" t="s">
        <v>190</v>
      </c>
      <c r="AQ22" s="101" t="s">
        <v>190</v>
      </c>
      <c r="AR22" s="88" t="s">
        <v>190</v>
      </c>
      <c r="AS22" s="88" t="s">
        <v>190</v>
      </c>
      <c r="AT22" s="52">
        <v>4100</v>
      </c>
      <c r="AU22" s="51">
        <v>85000</v>
      </c>
      <c r="AV22" s="51">
        <v>5000</v>
      </c>
      <c r="AW22" s="88" t="s">
        <v>190</v>
      </c>
      <c r="AX22" s="88" t="s">
        <v>190</v>
      </c>
      <c r="AY22" s="88" t="s">
        <v>190</v>
      </c>
      <c r="AZ22" s="88" t="s">
        <v>190</v>
      </c>
      <c r="BA22" s="56"/>
      <c r="BB22" s="92"/>
    </row>
    <row r="23" spans="1:54" ht="15.75" customHeight="1">
      <c r="A23" s="47">
        <v>4</v>
      </c>
      <c r="B23" s="51">
        <f>Inputs!$C$49*$B$44</f>
        <v>270000</v>
      </c>
      <c r="C23" s="88" t="s">
        <v>190</v>
      </c>
      <c r="D23" s="51">
        <v>2500</v>
      </c>
      <c r="E23" s="88" t="s">
        <v>190</v>
      </c>
      <c r="F23" s="88" t="s">
        <v>190</v>
      </c>
      <c r="G23" s="51">
        <v>140</v>
      </c>
      <c r="H23" s="88" t="s">
        <v>190</v>
      </c>
      <c r="I23" s="52">
        <v>722000</v>
      </c>
      <c r="J23" s="52">
        <v>1200000</v>
      </c>
      <c r="K23" s="88" t="s">
        <v>190</v>
      </c>
      <c r="L23" s="56">
        <v>550</v>
      </c>
      <c r="M23" s="52">
        <v>250000</v>
      </c>
      <c r="N23" s="88" t="s">
        <v>190</v>
      </c>
      <c r="O23" s="52">
        <v>5200</v>
      </c>
      <c r="P23" s="52">
        <v>2500000</v>
      </c>
      <c r="Q23" s="52" t="e">
        <f>5*#REF!</f>
        <v>#REF!</v>
      </c>
      <c r="R23" s="52">
        <v>712857</v>
      </c>
      <c r="S23" s="88" t="s">
        <v>190</v>
      </c>
      <c r="T23" s="52">
        <v>78750</v>
      </c>
      <c r="U23" s="52">
        <v>33000</v>
      </c>
      <c r="V23" s="88" t="s">
        <v>190</v>
      </c>
      <c r="W23" s="88" t="s">
        <v>190</v>
      </c>
      <c r="X23" s="52">
        <v>400000</v>
      </c>
      <c r="Y23" s="88" t="s">
        <v>190</v>
      </c>
      <c r="Z23" s="88" t="s">
        <v>190</v>
      </c>
      <c r="AA23" s="88" t="s">
        <v>190</v>
      </c>
      <c r="AB23" s="56" t="s">
        <v>190</v>
      </c>
      <c r="AC23" s="88" t="s">
        <v>190</v>
      </c>
      <c r="AD23" s="51">
        <v>1400</v>
      </c>
      <c r="AE23" s="88" t="s">
        <v>190</v>
      </c>
      <c r="AF23" s="88" t="s">
        <v>190</v>
      </c>
      <c r="AG23" s="88" t="s">
        <v>190</v>
      </c>
      <c r="AH23" s="88" t="s">
        <v>190</v>
      </c>
      <c r="AI23" s="52">
        <v>70000</v>
      </c>
      <c r="AJ23" s="52">
        <v>20000</v>
      </c>
      <c r="AK23" s="88" t="s">
        <v>190</v>
      </c>
      <c r="AL23" s="88" t="s">
        <v>190</v>
      </c>
      <c r="AM23" s="88" t="s">
        <v>190</v>
      </c>
      <c r="AN23" s="88" t="s">
        <v>190</v>
      </c>
      <c r="AO23" s="56">
        <v>4</v>
      </c>
      <c r="AP23" s="88" t="s">
        <v>190</v>
      </c>
      <c r="AQ23" s="101" t="s">
        <v>190</v>
      </c>
      <c r="AR23" s="88" t="s">
        <v>190</v>
      </c>
      <c r="AS23" s="88" t="s">
        <v>190</v>
      </c>
      <c r="AT23" s="52">
        <v>4100</v>
      </c>
      <c r="AU23" s="51">
        <v>41000</v>
      </c>
      <c r="AV23" s="51">
        <v>5000</v>
      </c>
      <c r="AW23" s="88" t="s">
        <v>190</v>
      </c>
      <c r="AX23" s="88" t="s">
        <v>190</v>
      </c>
      <c r="AY23" s="88" t="s">
        <v>190</v>
      </c>
      <c r="AZ23" s="88" t="s">
        <v>190</v>
      </c>
      <c r="BA23" s="56"/>
      <c r="BB23" s="92"/>
    </row>
    <row r="24" spans="1:54" ht="15.75" customHeight="1">
      <c r="A24" s="47">
        <v>5</v>
      </c>
      <c r="B24" s="51">
        <f>Inputs!$C$49*$B$44</f>
        <v>270000</v>
      </c>
      <c r="C24" s="88" t="s">
        <v>190</v>
      </c>
      <c r="D24" s="51">
        <v>2600</v>
      </c>
      <c r="E24" s="88" t="s">
        <v>190</v>
      </c>
      <c r="F24" s="88" t="s">
        <v>190</v>
      </c>
      <c r="G24" s="51">
        <v>140</v>
      </c>
      <c r="H24" s="88" t="s">
        <v>190</v>
      </c>
      <c r="I24" s="52">
        <v>342000</v>
      </c>
      <c r="J24" s="52">
        <v>1200000</v>
      </c>
      <c r="K24" s="88" t="s">
        <v>190</v>
      </c>
      <c r="L24" s="56">
        <v>660</v>
      </c>
      <c r="M24" s="52">
        <v>250000</v>
      </c>
      <c r="N24" s="88" t="s">
        <v>190</v>
      </c>
      <c r="O24" s="51">
        <v>4400</v>
      </c>
      <c r="P24" s="52">
        <v>2500000</v>
      </c>
      <c r="Q24" s="52" t="e">
        <f>5*#REF!</f>
        <v>#REF!</v>
      </c>
      <c r="R24" s="52">
        <v>712857</v>
      </c>
      <c r="S24" s="88" t="s">
        <v>190</v>
      </c>
      <c r="T24" s="52">
        <v>78750</v>
      </c>
      <c r="U24" s="52">
        <v>33000</v>
      </c>
      <c r="V24" s="88" t="s">
        <v>190</v>
      </c>
      <c r="W24" s="88" t="s">
        <v>190</v>
      </c>
      <c r="X24" s="52">
        <v>400000</v>
      </c>
      <c r="Y24" s="88" t="s">
        <v>190</v>
      </c>
      <c r="Z24" s="88" t="s">
        <v>190</v>
      </c>
      <c r="AA24" s="88" t="s">
        <v>190</v>
      </c>
      <c r="AB24" s="56" t="s">
        <v>190</v>
      </c>
      <c r="AC24" s="88" t="s">
        <v>190</v>
      </c>
      <c r="AD24" s="51">
        <v>3200</v>
      </c>
      <c r="AE24" s="88" t="s">
        <v>190</v>
      </c>
      <c r="AF24" s="88" t="s">
        <v>190</v>
      </c>
      <c r="AG24" s="88" t="s">
        <v>190</v>
      </c>
      <c r="AH24" s="88" t="s">
        <v>190</v>
      </c>
      <c r="AI24" s="52">
        <v>20000</v>
      </c>
      <c r="AJ24" s="52">
        <v>20000</v>
      </c>
      <c r="AK24" s="88" t="s">
        <v>190</v>
      </c>
      <c r="AL24" s="88" t="s">
        <v>190</v>
      </c>
      <c r="AM24" s="88" t="s">
        <v>190</v>
      </c>
      <c r="AN24" s="88" t="s">
        <v>190</v>
      </c>
      <c r="AO24" s="56">
        <v>4</v>
      </c>
      <c r="AP24" s="88" t="s">
        <v>190</v>
      </c>
      <c r="AQ24" s="101" t="s">
        <v>190</v>
      </c>
      <c r="AR24" s="88" t="s">
        <v>190</v>
      </c>
      <c r="AS24" s="88" t="s">
        <v>190</v>
      </c>
      <c r="AT24" s="52">
        <v>4100</v>
      </c>
      <c r="AU24" s="51">
        <v>99000</v>
      </c>
      <c r="AV24" s="51">
        <v>5000</v>
      </c>
      <c r="AW24" s="88" t="s">
        <v>190</v>
      </c>
      <c r="AX24" s="88" t="s">
        <v>190</v>
      </c>
      <c r="AY24" s="88" t="s">
        <v>190</v>
      </c>
      <c r="AZ24" s="88" t="s">
        <v>190</v>
      </c>
      <c r="BA24" s="56"/>
      <c r="BB24" s="92"/>
    </row>
    <row r="25" spans="1:54" ht="15.75" customHeight="1">
      <c r="A25" s="47"/>
      <c r="B25" s="56"/>
      <c r="C25" s="56"/>
      <c r="D25" s="56"/>
      <c r="E25" s="56"/>
      <c r="F25" s="88"/>
      <c r="G25" s="56"/>
      <c r="H25" s="88"/>
      <c r="I25" s="88"/>
      <c r="J25" s="88"/>
      <c r="K25" s="88"/>
      <c r="L25" s="56"/>
      <c r="M25" s="88"/>
      <c r="N25" s="88"/>
      <c r="O25" s="72"/>
      <c r="P25" s="88"/>
      <c r="Q25" s="56"/>
      <c r="R25" s="88"/>
      <c r="S25" s="88"/>
      <c r="T25" s="88"/>
      <c r="U25" s="56"/>
      <c r="V25" s="88"/>
      <c r="W25" s="88"/>
      <c r="X25" s="88"/>
      <c r="Y25" s="88"/>
      <c r="Z25" s="88"/>
      <c r="AA25" s="88"/>
      <c r="AB25" s="88"/>
      <c r="AC25" s="88"/>
      <c r="AD25" s="56"/>
      <c r="AE25" s="88"/>
      <c r="AF25" s="88"/>
      <c r="AG25" s="88"/>
      <c r="AH25" s="88"/>
      <c r="AI25" s="56"/>
      <c r="AJ25" s="88"/>
      <c r="AK25" s="56"/>
      <c r="AL25" s="56"/>
      <c r="AM25" s="56"/>
      <c r="AN25" s="56"/>
      <c r="AO25" s="56"/>
      <c r="AP25" s="56"/>
      <c r="AQ25" s="90"/>
      <c r="AR25" s="56"/>
      <c r="AS25" s="56"/>
      <c r="AT25" s="56"/>
      <c r="AU25" s="56"/>
      <c r="AV25" s="56"/>
      <c r="AW25" s="56"/>
      <c r="AX25" s="56"/>
      <c r="AY25" s="56"/>
      <c r="AZ25" s="88"/>
      <c r="BA25" s="56"/>
      <c r="BB25" s="92"/>
    </row>
    <row r="26" spans="1:54" ht="15.75" customHeight="1">
      <c r="A26" s="94" t="s">
        <v>206</v>
      </c>
      <c r="B26" s="95" t="s">
        <v>160</v>
      </c>
      <c r="C26" s="95" t="s">
        <v>157</v>
      </c>
      <c r="D26" s="95" t="s">
        <v>207</v>
      </c>
      <c r="E26" s="95" t="s">
        <v>157</v>
      </c>
      <c r="F26" s="95" t="s">
        <v>157</v>
      </c>
      <c r="G26" s="95" t="s">
        <v>157</v>
      </c>
      <c r="H26" s="95" t="s">
        <v>157</v>
      </c>
      <c r="I26" s="95" t="s">
        <v>157</v>
      </c>
      <c r="J26" s="95" t="s">
        <v>157</v>
      </c>
      <c r="K26" s="95" t="s">
        <v>157</v>
      </c>
      <c r="L26" s="95" t="s">
        <v>204</v>
      </c>
      <c r="M26" s="95" t="s">
        <v>157</v>
      </c>
      <c r="N26" s="95" t="s">
        <v>157</v>
      </c>
      <c r="O26" s="95" t="s">
        <v>160</v>
      </c>
      <c r="P26" s="95" t="s">
        <v>157</v>
      </c>
      <c r="Q26" s="95" t="s">
        <v>157</v>
      </c>
      <c r="R26" s="95" t="s">
        <v>160</v>
      </c>
      <c r="S26" s="95" t="s">
        <v>157</v>
      </c>
      <c r="T26" s="95" t="s">
        <v>207</v>
      </c>
      <c r="U26" s="95" t="s">
        <v>157</v>
      </c>
      <c r="V26" s="95" t="s">
        <v>157</v>
      </c>
      <c r="W26" s="95" t="s">
        <v>157</v>
      </c>
      <c r="X26" s="95" t="s">
        <v>157</v>
      </c>
      <c r="Y26" s="95" t="s">
        <v>157</v>
      </c>
      <c r="Z26" s="95" t="s">
        <v>157</v>
      </c>
      <c r="AA26" s="95" t="s">
        <v>157</v>
      </c>
      <c r="AB26" s="95" t="s">
        <v>157</v>
      </c>
      <c r="AC26" s="95" t="s">
        <v>157</v>
      </c>
      <c r="AD26" s="95" t="s">
        <v>160</v>
      </c>
      <c r="AE26" s="95" t="s">
        <v>157</v>
      </c>
      <c r="AF26" s="95" t="s">
        <v>157</v>
      </c>
      <c r="AG26" s="95" t="s">
        <v>157</v>
      </c>
      <c r="AH26" s="95" t="s">
        <v>157</v>
      </c>
      <c r="AI26" s="95" t="s">
        <v>157</v>
      </c>
      <c r="AJ26" s="95" t="s">
        <v>157</v>
      </c>
      <c r="AK26" s="95" t="s">
        <v>157</v>
      </c>
      <c r="AL26" s="95" t="s">
        <v>157</v>
      </c>
      <c r="AM26" s="95" t="s">
        <v>157</v>
      </c>
      <c r="AN26" s="95" t="s">
        <v>157</v>
      </c>
      <c r="AO26" s="95" t="s">
        <v>157</v>
      </c>
      <c r="AP26" s="95" t="s">
        <v>157</v>
      </c>
      <c r="AQ26" s="98" t="s">
        <v>157</v>
      </c>
      <c r="AR26" s="95" t="s">
        <v>157</v>
      </c>
      <c r="AS26" s="95" t="s">
        <v>157</v>
      </c>
      <c r="AT26" s="95" t="s">
        <v>157</v>
      </c>
      <c r="AU26" s="95" t="s">
        <v>157</v>
      </c>
      <c r="AV26" s="95" t="s">
        <v>157</v>
      </c>
      <c r="AW26" s="95" t="s">
        <v>157</v>
      </c>
      <c r="AX26" s="95" t="s">
        <v>157</v>
      </c>
      <c r="AY26" s="95" t="s">
        <v>157</v>
      </c>
      <c r="AZ26" s="95" t="s">
        <v>157</v>
      </c>
      <c r="BA26" s="56"/>
      <c r="BB26" s="92"/>
    </row>
    <row r="27" spans="1:54" ht="15.75" customHeight="1">
      <c r="A27" s="47">
        <v>1</v>
      </c>
      <c r="B27" s="51">
        <v>100000</v>
      </c>
      <c r="C27" s="88" t="s">
        <v>190</v>
      </c>
      <c r="D27" s="51">
        <v>2000</v>
      </c>
      <c r="E27" s="88" t="s">
        <v>190</v>
      </c>
      <c r="F27" s="88" t="s">
        <v>190</v>
      </c>
      <c r="G27" s="88" t="s">
        <v>190</v>
      </c>
      <c r="H27" s="88" t="s">
        <v>190</v>
      </c>
      <c r="I27" s="88" t="s">
        <v>190</v>
      </c>
      <c r="J27" s="88" t="s">
        <v>190</v>
      </c>
      <c r="K27" s="88" t="s">
        <v>190</v>
      </c>
      <c r="L27" s="56">
        <v>100</v>
      </c>
      <c r="M27" s="88" t="s">
        <v>190</v>
      </c>
      <c r="N27" s="88" t="s">
        <v>190</v>
      </c>
      <c r="O27" s="52">
        <v>1000</v>
      </c>
      <c r="P27" s="88" t="s">
        <v>190</v>
      </c>
      <c r="Q27" s="88" t="s">
        <v>190</v>
      </c>
      <c r="R27" s="52">
        <v>600000</v>
      </c>
      <c r="S27" s="88" t="s">
        <v>190</v>
      </c>
      <c r="T27" s="52">
        <v>61875</v>
      </c>
      <c r="U27" s="88" t="s">
        <v>190</v>
      </c>
      <c r="V27" s="88" t="s">
        <v>190</v>
      </c>
      <c r="W27" s="88" t="s">
        <v>190</v>
      </c>
      <c r="X27" s="88" t="s">
        <v>190</v>
      </c>
      <c r="Y27" s="88" t="s">
        <v>190</v>
      </c>
      <c r="Z27" s="88" t="s">
        <v>190</v>
      </c>
      <c r="AA27" s="88" t="s">
        <v>190</v>
      </c>
      <c r="AB27" s="88" t="s">
        <v>190</v>
      </c>
      <c r="AC27" s="88" t="s">
        <v>190</v>
      </c>
      <c r="AD27" s="56">
        <v>500</v>
      </c>
      <c r="AE27" s="88" t="s">
        <v>190</v>
      </c>
      <c r="AF27" s="88" t="s">
        <v>190</v>
      </c>
      <c r="AG27" s="88" t="s">
        <v>190</v>
      </c>
      <c r="AH27" s="88" t="s">
        <v>190</v>
      </c>
      <c r="AI27" s="88" t="s">
        <v>190</v>
      </c>
      <c r="AJ27" s="88" t="s">
        <v>190</v>
      </c>
      <c r="AK27" s="88" t="s">
        <v>190</v>
      </c>
      <c r="AL27" s="88" t="s">
        <v>190</v>
      </c>
      <c r="AM27" s="88" t="s">
        <v>190</v>
      </c>
      <c r="AN27" s="88" t="s">
        <v>190</v>
      </c>
      <c r="AO27" s="88" t="s">
        <v>190</v>
      </c>
      <c r="AP27" s="88" t="s">
        <v>190</v>
      </c>
      <c r="AQ27" s="101" t="s">
        <v>190</v>
      </c>
      <c r="AR27" s="88" t="s">
        <v>190</v>
      </c>
      <c r="AS27" s="88" t="s">
        <v>190</v>
      </c>
      <c r="AT27" s="88" t="s">
        <v>190</v>
      </c>
      <c r="AU27" s="88" t="s">
        <v>190</v>
      </c>
      <c r="AV27" s="88" t="s">
        <v>190</v>
      </c>
      <c r="AW27" s="88" t="s">
        <v>190</v>
      </c>
      <c r="AX27" s="88" t="s">
        <v>190</v>
      </c>
      <c r="AY27" s="88" t="s">
        <v>190</v>
      </c>
      <c r="AZ27" s="88" t="s">
        <v>190</v>
      </c>
      <c r="BA27" s="56"/>
      <c r="BB27" s="92"/>
    </row>
    <row r="28" spans="1:54" ht="15.75" customHeight="1">
      <c r="A28" s="47">
        <v>2</v>
      </c>
      <c r="B28" s="51">
        <v>100000</v>
      </c>
      <c r="C28" s="88" t="s">
        <v>190</v>
      </c>
      <c r="D28" s="51">
        <v>2800</v>
      </c>
      <c r="E28" s="88" t="s">
        <v>190</v>
      </c>
      <c r="F28" s="88" t="s">
        <v>190</v>
      </c>
      <c r="G28" s="88" t="s">
        <v>190</v>
      </c>
      <c r="H28" s="88" t="s">
        <v>190</v>
      </c>
      <c r="I28" s="88" t="s">
        <v>190</v>
      </c>
      <c r="J28" s="88" t="s">
        <v>190</v>
      </c>
      <c r="K28" s="88" t="s">
        <v>190</v>
      </c>
      <c r="L28" s="56">
        <v>100</v>
      </c>
      <c r="M28" s="88" t="s">
        <v>190</v>
      </c>
      <c r="N28" s="88" t="s">
        <v>190</v>
      </c>
      <c r="O28" s="52">
        <v>1000</v>
      </c>
      <c r="P28" s="88" t="s">
        <v>190</v>
      </c>
      <c r="Q28" s="88" t="s">
        <v>190</v>
      </c>
      <c r="R28" s="52">
        <v>600000</v>
      </c>
      <c r="S28" s="88" t="s">
        <v>190</v>
      </c>
      <c r="T28" s="52">
        <v>56250</v>
      </c>
      <c r="U28" s="88" t="s">
        <v>190</v>
      </c>
      <c r="V28" s="88" t="s">
        <v>190</v>
      </c>
      <c r="W28" s="88" t="s">
        <v>190</v>
      </c>
      <c r="X28" s="88" t="s">
        <v>190</v>
      </c>
      <c r="Y28" s="88" t="s">
        <v>190</v>
      </c>
      <c r="Z28" s="88" t="s">
        <v>190</v>
      </c>
      <c r="AA28" s="88" t="s">
        <v>190</v>
      </c>
      <c r="AB28" s="88" t="s">
        <v>190</v>
      </c>
      <c r="AC28" s="88" t="s">
        <v>190</v>
      </c>
      <c r="AD28" s="56">
        <v>500</v>
      </c>
      <c r="AE28" s="88" t="s">
        <v>190</v>
      </c>
      <c r="AF28" s="88" t="s">
        <v>190</v>
      </c>
      <c r="AG28" s="88" t="s">
        <v>190</v>
      </c>
      <c r="AH28" s="88" t="s">
        <v>190</v>
      </c>
      <c r="AI28" s="88" t="s">
        <v>190</v>
      </c>
      <c r="AJ28" s="88" t="s">
        <v>190</v>
      </c>
      <c r="AK28" s="88" t="s">
        <v>190</v>
      </c>
      <c r="AL28" s="88" t="s">
        <v>190</v>
      </c>
      <c r="AM28" s="88" t="s">
        <v>190</v>
      </c>
      <c r="AN28" s="88" t="s">
        <v>190</v>
      </c>
      <c r="AO28" s="88" t="s">
        <v>190</v>
      </c>
      <c r="AP28" s="88" t="s">
        <v>190</v>
      </c>
      <c r="AQ28" s="101" t="s">
        <v>190</v>
      </c>
      <c r="AR28" s="88" t="s">
        <v>190</v>
      </c>
      <c r="AS28" s="88" t="s">
        <v>190</v>
      </c>
      <c r="AT28" s="88" t="s">
        <v>190</v>
      </c>
      <c r="AU28" s="88" t="s">
        <v>190</v>
      </c>
      <c r="AV28" s="88" t="s">
        <v>190</v>
      </c>
      <c r="AW28" s="88" t="s">
        <v>190</v>
      </c>
      <c r="AX28" s="88" t="s">
        <v>190</v>
      </c>
      <c r="AY28" s="88" t="s">
        <v>190</v>
      </c>
      <c r="AZ28" s="88" t="s">
        <v>190</v>
      </c>
      <c r="BA28" s="56"/>
      <c r="BB28" s="92"/>
    </row>
    <row r="29" spans="1:54" ht="15.75" customHeight="1">
      <c r="A29" s="47">
        <v>3</v>
      </c>
      <c r="B29" s="51">
        <v>100000</v>
      </c>
      <c r="C29" s="88" t="s">
        <v>190</v>
      </c>
      <c r="D29" s="51">
        <v>2000</v>
      </c>
      <c r="E29" s="88" t="s">
        <v>190</v>
      </c>
      <c r="F29" s="88" t="s">
        <v>190</v>
      </c>
      <c r="G29" s="88" t="s">
        <v>190</v>
      </c>
      <c r="H29" s="88" t="s">
        <v>190</v>
      </c>
      <c r="I29" s="88" t="s">
        <v>190</v>
      </c>
      <c r="J29" s="88" t="s">
        <v>190</v>
      </c>
      <c r="K29" s="88" t="s">
        <v>190</v>
      </c>
      <c r="L29" s="56">
        <v>100</v>
      </c>
      <c r="M29" s="88" t="s">
        <v>190</v>
      </c>
      <c r="N29" s="88" t="s">
        <v>190</v>
      </c>
      <c r="O29" s="52">
        <v>1000</v>
      </c>
      <c r="P29" s="88" t="s">
        <v>190</v>
      </c>
      <c r="Q29" s="88" t="s">
        <v>190</v>
      </c>
      <c r="R29" s="52">
        <v>600000</v>
      </c>
      <c r="S29" s="88" t="s">
        <v>190</v>
      </c>
      <c r="T29" s="52">
        <v>39375</v>
      </c>
      <c r="U29" s="88" t="s">
        <v>190</v>
      </c>
      <c r="V29" s="88" t="s">
        <v>190</v>
      </c>
      <c r="W29" s="88" t="s">
        <v>190</v>
      </c>
      <c r="X29" s="88" t="s">
        <v>190</v>
      </c>
      <c r="Y29" s="88" t="s">
        <v>190</v>
      </c>
      <c r="Z29" s="88" t="s">
        <v>190</v>
      </c>
      <c r="AA29" s="88" t="s">
        <v>190</v>
      </c>
      <c r="AB29" s="88" t="s">
        <v>190</v>
      </c>
      <c r="AC29" s="88" t="s">
        <v>190</v>
      </c>
      <c r="AD29" s="56">
        <v>500</v>
      </c>
      <c r="AE29" s="88" t="s">
        <v>190</v>
      </c>
      <c r="AF29" s="88" t="s">
        <v>190</v>
      </c>
      <c r="AG29" s="88" t="s">
        <v>190</v>
      </c>
      <c r="AH29" s="88" t="s">
        <v>190</v>
      </c>
      <c r="AI29" s="88" t="s">
        <v>190</v>
      </c>
      <c r="AJ29" s="88" t="s">
        <v>190</v>
      </c>
      <c r="AK29" s="88" t="s">
        <v>190</v>
      </c>
      <c r="AL29" s="88" t="s">
        <v>190</v>
      </c>
      <c r="AM29" s="88" t="s">
        <v>190</v>
      </c>
      <c r="AN29" s="88" t="s">
        <v>190</v>
      </c>
      <c r="AO29" s="88" t="s">
        <v>190</v>
      </c>
      <c r="AP29" s="88" t="s">
        <v>190</v>
      </c>
      <c r="AQ29" s="101" t="s">
        <v>190</v>
      </c>
      <c r="AR29" s="88" t="s">
        <v>190</v>
      </c>
      <c r="AS29" s="88" t="s">
        <v>190</v>
      </c>
      <c r="AT29" s="88" t="s">
        <v>190</v>
      </c>
      <c r="AU29" s="88" t="s">
        <v>190</v>
      </c>
      <c r="AV29" s="88" t="s">
        <v>190</v>
      </c>
      <c r="AW29" s="88" t="s">
        <v>190</v>
      </c>
      <c r="AX29" s="88" t="s">
        <v>190</v>
      </c>
      <c r="AY29" s="88" t="s">
        <v>190</v>
      </c>
      <c r="AZ29" s="88" t="s">
        <v>190</v>
      </c>
      <c r="BA29" s="56"/>
      <c r="BB29" s="92"/>
    </row>
    <row r="30" spans="1:54" ht="15.75" customHeight="1">
      <c r="A30" s="47">
        <v>4</v>
      </c>
      <c r="B30" s="51">
        <v>100000</v>
      </c>
      <c r="C30" s="88" t="s">
        <v>190</v>
      </c>
      <c r="D30" s="51">
        <v>2000</v>
      </c>
      <c r="E30" s="88" t="s">
        <v>190</v>
      </c>
      <c r="F30" s="88" t="s">
        <v>190</v>
      </c>
      <c r="G30" s="88" t="s">
        <v>190</v>
      </c>
      <c r="H30" s="88" t="s">
        <v>190</v>
      </c>
      <c r="I30" s="88" t="s">
        <v>190</v>
      </c>
      <c r="J30" s="88" t="s">
        <v>190</v>
      </c>
      <c r="K30" s="88" t="s">
        <v>190</v>
      </c>
      <c r="L30" s="56">
        <v>100</v>
      </c>
      <c r="M30" s="88" t="s">
        <v>190</v>
      </c>
      <c r="N30" s="88" t="s">
        <v>190</v>
      </c>
      <c r="O30" s="52">
        <v>1000</v>
      </c>
      <c r="P30" s="88" t="s">
        <v>190</v>
      </c>
      <c r="Q30" s="88" t="s">
        <v>190</v>
      </c>
      <c r="R30" s="52">
        <v>600000</v>
      </c>
      <c r="S30" s="88" t="s">
        <v>190</v>
      </c>
      <c r="T30" s="52">
        <v>45000</v>
      </c>
      <c r="U30" s="88" t="s">
        <v>190</v>
      </c>
      <c r="V30" s="88" t="s">
        <v>190</v>
      </c>
      <c r="W30" s="88" t="s">
        <v>190</v>
      </c>
      <c r="X30" s="88" t="s">
        <v>190</v>
      </c>
      <c r="Y30" s="88" t="s">
        <v>190</v>
      </c>
      <c r="Z30" s="88" t="s">
        <v>190</v>
      </c>
      <c r="AA30" s="88" t="s">
        <v>190</v>
      </c>
      <c r="AB30" s="88" t="s">
        <v>190</v>
      </c>
      <c r="AC30" s="88" t="s">
        <v>190</v>
      </c>
      <c r="AD30" s="56">
        <v>500</v>
      </c>
      <c r="AE30" s="88" t="s">
        <v>190</v>
      </c>
      <c r="AF30" s="88" t="s">
        <v>190</v>
      </c>
      <c r="AG30" s="88" t="s">
        <v>190</v>
      </c>
      <c r="AH30" s="88" t="s">
        <v>190</v>
      </c>
      <c r="AI30" s="88" t="s">
        <v>190</v>
      </c>
      <c r="AJ30" s="88" t="s">
        <v>190</v>
      </c>
      <c r="AK30" s="88" t="s">
        <v>190</v>
      </c>
      <c r="AL30" s="88" t="s">
        <v>190</v>
      </c>
      <c r="AM30" s="88" t="s">
        <v>190</v>
      </c>
      <c r="AN30" s="88" t="s">
        <v>190</v>
      </c>
      <c r="AO30" s="88" t="s">
        <v>190</v>
      </c>
      <c r="AP30" s="88" t="s">
        <v>190</v>
      </c>
      <c r="AQ30" s="101" t="s">
        <v>190</v>
      </c>
      <c r="AR30" s="88" t="s">
        <v>190</v>
      </c>
      <c r="AS30" s="88" t="s">
        <v>190</v>
      </c>
      <c r="AT30" s="88" t="s">
        <v>190</v>
      </c>
      <c r="AU30" s="88" t="s">
        <v>190</v>
      </c>
      <c r="AV30" s="88" t="s">
        <v>190</v>
      </c>
      <c r="AW30" s="88" t="s">
        <v>190</v>
      </c>
      <c r="AX30" s="88" t="s">
        <v>190</v>
      </c>
      <c r="AY30" s="88" t="s">
        <v>190</v>
      </c>
      <c r="AZ30" s="88" t="s">
        <v>190</v>
      </c>
      <c r="BA30" s="56"/>
      <c r="BB30" s="92"/>
    </row>
    <row r="31" spans="1:54" ht="15.75" customHeight="1">
      <c r="A31" s="47">
        <v>5</v>
      </c>
      <c r="B31" s="51">
        <v>100000</v>
      </c>
      <c r="C31" s="88" t="s">
        <v>190</v>
      </c>
      <c r="D31" s="51">
        <v>1550</v>
      </c>
      <c r="E31" s="88" t="s">
        <v>190</v>
      </c>
      <c r="F31" s="88" t="s">
        <v>190</v>
      </c>
      <c r="G31" s="88" t="s">
        <v>190</v>
      </c>
      <c r="H31" s="88" t="s">
        <v>190</v>
      </c>
      <c r="I31" s="88" t="s">
        <v>190</v>
      </c>
      <c r="J31" s="88" t="s">
        <v>190</v>
      </c>
      <c r="K31" s="88" t="s">
        <v>190</v>
      </c>
      <c r="L31" s="56">
        <v>100</v>
      </c>
      <c r="M31" s="88" t="s">
        <v>190</v>
      </c>
      <c r="N31" s="88" t="s">
        <v>190</v>
      </c>
      <c r="O31" s="52">
        <v>1000</v>
      </c>
      <c r="P31" s="88" t="s">
        <v>190</v>
      </c>
      <c r="Q31" s="88" t="s">
        <v>190</v>
      </c>
      <c r="R31" s="52">
        <v>600000</v>
      </c>
      <c r="S31" s="88" t="s">
        <v>190</v>
      </c>
      <c r="T31" s="52">
        <v>45000</v>
      </c>
      <c r="U31" s="88" t="s">
        <v>190</v>
      </c>
      <c r="V31" s="88" t="s">
        <v>190</v>
      </c>
      <c r="W31" s="88" t="s">
        <v>190</v>
      </c>
      <c r="X31" s="88" t="s">
        <v>190</v>
      </c>
      <c r="Y31" s="88" t="s">
        <v>190</v>
      </c>
      <c r="Z31" s="88" t="s">
        <v>190</v>
      </c>
      <c r="AA31" s="88" t="s">
        <v>190</v>
      </c>
      <c r="AB31" s="88" t="s">
        <v>190</v>
      </c>
      <c r="AC31" s="88" t="s">
        <v>190</v>
      </c>
      <c r="AD31" s="56">
        <v>500</v>
      </c>
      <c r="AE31" s="88" t="s">
        <v>190</v>
      </c>
      <c r="AF31" s="88" t="s">
        <v>190</v>
      </c>
      <c r="AG31" s="88" t="s">
        <v>190</v>
      </c>
      <c r="AH31" s="88" t="s">
        <v>190</v>
      </c>
      <c r="AI31" s="88" t="s">
        <v>190</v>
      </c>
      <c r="AJ31" s="88" t="s">
        <v>190</v>
      </c>
      <c r="AK31" s="88" t="s">
        <v>190</v>
      </c>
      <c r="AL31" s="88" t="s">
        <v>190</v>
      </c>
      <c r="AM31" s="88" t="s">
        <v>190</v>
      </c>
      <c r="AN31" s="88" t="s">
        <v>190</v>
      </c>
      <c r="AO31" s="88" t="s">
        <v>190</v>
      </c>
      <c r="AP31" s="88" t="s">
        <v>190</v>
      </c>
      <c r="AQ31" s="101" t="s">
        <v>190</v>
      </c>
      <c r="AR31" s="88" t="s">
        <v>190</v>
      </c>
      <c r="AS31" s="88" t="s">
        <v>190</v>
      </c>
      <c r="AT31" s="88" t="s">
        <v>190</v>
      </c>
      <c r="AU31" s="88" t="s">
        <v>190</v>
      </c>
      <c r="AV31" s="88" t="s">
        <v>190</v>
      </c>
      <c r="AW31" s="88" t="s">
        <v>190</v>
      </c>
      <c r="AX31" s="88" t="s">
        <v>190</v>
      </c>
      <c r="AY31" s="88" t="s">
        <v>190</v>
      </c>
      <c r="AZ31" s="88" t="s">
        <v>190</v>
      </c>
      <c r="BA31" s="56"/>
      <c r="BB31" s="92"/>
    </row>
    <row r="32" spans="1:54" ht="15.75" customHeight="1">
      <c r="A32" s="47"/>
      <c r="B32" s="56"/>
      <c r="C32" s="56"/>
      <c r="D32" s="56"/>
      <c r="E32" s="56"/>
      <c r="F32" s="88"/>
      <c r="G32" s="56"/>
      <c r="H32" s="56"/>
      <c r="I32" s="88"/>
      <c r="J32" s="72"/>
      <c r="K32" s="56"/>
      <c r="L32" s="56"/>
      <c r="M32" s="88"/>
      <c r="N32" s="88"/>
      <c r="O32" s="72"/>
      <c r="P32" s="72"/>
      <c r="Q32" s="56"/>
      <c r="R32" s="88"/>
      <c r="S32" s="88"/>
      <c r="T32" s="72"/>
      <c r="U32" s="56"/>
      <c r="V32" s="88"/>
      <c r="W32" s="88"/>
      <c r="X32" s="88"/>
      <c r="Y32" s="88"/>
      <c r="Z32" s="88"/>
      <c r="AA32" s="88"/>
      <c r="AB32" s="56"/>
      <c r="AC32" s="88"/>
      <c r="AD32" s="56"/>
      <c r="AE32" s="88"/>
      <c r="AF32" s="56"/>
      <c r="AG32" s="56"/>
      <c r="AH32" s="88"/>
      <c r="AI32" s="88"/>
      <c r="AJ32" s="88"/>
      <c r="AK32" s="56"/>
      <c r="AL32" s="56"/>
      <c r="AM32" s="56"/>
      <c r="AN32" s="56"/>
      <c r="AO32" s="56"/>
      <c r="AP32" s="56"/>
      <c r="AQ32" s="90"/>
      <c r="AR32" s="56"/>
      <c r="AS32" s="56"/>
      <c r="AT32" s="56"/>
      <c r="AU32" s="56"/>
      <c r="AV32" s="56"/>
      <c r="AW32" s="56"/>
      <c r="AX32" s="56"/>
      <c r="AY32" s="56"/>
      <c r="AZ32" s="72"/>
      <c r="BA32" s="56"/>
      <c r="BB32" s="92"/>
    </row>
    <row r="33" spans="1:54" ht="15.75" customHeight="1">
      <c r="A33" s="94" t="s">
        <v>209</v>
      </c>
      <c r="B33" s="102">
        <v>100000</v>
      </c>
      <c r="C33" s="95">
        <v>0</v>
      </c>
      <c r="D33" s="102">
        <f>AVERAGE(D27:D31)</f>
        <v>2070</v>
      </c>
      <c r="E33" s="102">
        <v>5000</v>
      </c>
      <c r="F33" s="95">
        <v>0</v>
      </c>
      <c r="G33" s="102">
        <v>0</v>
      </c>
      <c r="H33" s="102">
        <v>200000</v>
      </c>
      <c r="I33" s="102">
        <v>0</v>
      </c>
      <c r="J33" s="102">
        <v>10000000</v>
      </c>
      <c r="K33" s="102">
        <v>3000000</v>
      </c>
      <c r="L33" s="102">
        <v>0</v>
      </c>
      <c r="M33" s="102">
        <v>0</v>
      </c>
      <c r="N33" s="102">
        <v>0</v>
      </c>
      <c r="O33" s="102">
        <v>0</v>
      </c>
      <c r="P33" s="102">
        <v>3600000</v>
      </c>
      <c r="Q33" s="102">
        <v>35000</v>
      </c>
      <c r="R33" s="95">
        <v>0</v>
      </c>
      <c r="S33" s="95">
        <v>1677000</v>
      </c>
      <c r="T33" s="102">
        <f>AVERAGE(T27:T31)</f>
        <v>49500</v>
      </c>
      <c r="U33" s="102">
        <v>30000</v>
      </c>
      <c r="V33" s="102">
        <v>0</v>
      </c>
      <c r="W33" s="102">
        <v>0</v>
      </c>
      <c r="X33" s="102">
        <v>0</v>
      </c>
      <c r="Y33" s="102">
        <v>0</v>
      </c>
      <c r="Z33" s="102">
        <v>0</v>
      </c>
      <c r="AA33" s="95">
        <v>0</v>
      </c>
      <c r="AB33" s="102">
        <v>500</v>
      </c>
      <c r="AC33" s="102">
        <v>0</v>
      </c>
      <c r="AD33" s="102">
        <v>10000</v>
      </c>
      <c r="AE33" s="102">
        <v>0</v>
      </c>
      <c r="AF33" s="102">
        <v>1000</v>
      </c>
      <c r="AG33" s="102">
        <v>1000</v>
      </c>
      <c r="AH33" s="102">
        <v>0</v>
      </c>
      <c r="AI33" s="102">
        <v>0</v>
      </c>
      <c r="AJ33" s="102">
        <v>7500</v>
      </c>
      <c r="AK33" s="95">
        <v>4</v>
      </c>
      <c r="AL33" s="95">
        <v>0</v>
      </c>
      <c r="AM33" s="95">
        <v>30</v>
      </c>
      <c r="AN33" s="103">
        <f>5*$AN$44*Inputs!$AO$49</f>
        <v>1.37225</v>
      </c>
      <c r="AO33" s="95">
        <v>0</v>
      </c>
      <c r="AP33" s="95">
        <v>3</v>
      </c>
      <c r="AQ33" s="98"/>
      <c r="AR33" s="95">
        <v>0</v>
      </c>
      <c r="AS33" s="95">
        <v>0</v>
      </c>
      <c r="AT33" s="95">
        <v>0</v>
      </c>
      <c r="AU33" s="95">
        <v>0</v>
      </c>
      <c r="AV33" s="95">
        <v>5000</v>
      </c>
      <c r="AW33" s="95">
        <v>2000</v>
      </c>
      <c r="AX33" s="95">
        <v>0</v>
      </c>
      <c r="AY33" s="95">
        <v>0</v>
      </c>
      <c r="AZ33" s="95">
        <v>0</v>
      </c>
      <c r="BA33" s="56"/>
      <c r="BB33" s="92"/>
    </row>
    <row r="34" spans="1:54" ht="15.75" customHeight="1">
      <c r="A34" s="104" t="s">
        <v>210</v>
      </c>
      <c r="B34" s="105">
        <f>IFERROR(B33/Inputs!C49,0)</f>
        <v>5.5555555555555552E-2</v>
      </c>
      <c r="C34" s="105">
        <f>IFERROR(C33/Inputs!D49,0)</f>
        <v>0</v>
      </c>
      <c r="D34" s="105">
        <f>IFERROR(D33/Inputs!E49,0)</f>
        <v>0.18818181818181817</v>
      </c>
      <c r="E34" s="105">
        <f>IFERROR(E33/Inputs!F49,0)</f>
        <v>0.43859649122807015</v>
      </c>
      <c r="F34" s="105">
        <f>IFERROR(F33/Inputs!G49,0)</f>
        <v>0</v>
      </c>
      <c r="G34" s="105">
        <f>IFERROR(G33/Inputs!H49,0)</f>
        <v>0</v>
      </c>
      <c r="H34" s="105">
        <f>IFERROR(H33/Inputs!I49,0)</f>
        <v>0.1</v>
      </c>
      <c r="I34" s="105">
        <f>IFERROR(I33/Inputs!J49,0)</f>
        <v>0</v>
      </c>
      <c r="J34" s="105">
        <f>IFERROR(J33/Inputs!K49,0)</f>
        <v>0.90909090909090906</v>
      </c>
      <c r="K34" s="105">
        <f>IFERROR(K33/Inputs!L49,0)</f>
        <v>31.578947368421051</v>
      </c>
      <c r="L34" s="105">
        <f>IFERROR(L33/Inputs!M49,0)</f>
        <v>0</v>
      </c>
      <c r="M34" s="105">
        <f>IFERROR(M33/Inputs!N49,0)</f>
        <v>0</v>
      </c>
      <c r="N34" s="105">
        <f>IFERROR(N33/Inputs!O49,0)</f>
        <v>0</v>
      </c>
      <c r="O34" s="105">
        <f>IFERROR(O33/Inputs!P49,0)</f>
        <v>0</v>
      </c>
      <c r="P34" s="105">
        <f>IFERROR(P33/Inputs!Q49,0)</f>
        <v>3</v>
      </c>
      <c r="Q34" s="105">
        <f>IFERROR(Q33/Inputs!R49,0)</f>
        <v>0.14583333333333334</v>
      </c>
      <c r="R34" s="105">
        <f>IFERROR(R33/Inputs!S49,0)</f>
        <v>0</v>
      </c>
      <c r="S34" s="105">
        <f>IFERROR(S33/Inputs!T49,0)</f>
        <v>1.1645833333333333</v>
      </c>
      <c r="T34" s="105">
        <f>IFERROR(T33/Inputs!U49,0)</f>
        <v>0.2475</v>
      </c>
      <c r="U34" s="105">
        <f>IFERROR(U33/Inputs!V49,0)</f>
        <v>0.5714285714285714</v>
      </c>
      <c r="V34" s="105">
        <f>IFERROR(V33/Inputs!W49,0)</f>
        <v>0</v>
      </c>
      <c r="W34" s="105">
        <f>IFERROR(W33/Inputs!X49,0)</f>
        <v>0</v>
      </c>
      <c r="X34" s="105">
        <f>IFERROR(X33/Inputs!Y49,0)</f>
        <v>0</v>
      </c>
      <c r="Y34" s="105">
        <f>IFERROR(Y33/Inputs!Z49,0)</f>
        <v>0</v>
      </c>
      <c r="Z34" s="105">
        <f>IFERROR(Z33/Inputs!AA49,0)</f>
        <v>0</v>
      </c>
      <c r="AA34" s="105">
        <f>IFERROR(AA33/Inputs!AB49,0)</f>
        <v>0</v>
      </c>
      <c r="AB34" s="105">
        <f>IFERROR(AB33/Inputs!AC49,0)</f>
        <v>1.3888888888888888E-2</v>
      </c>
      <c r="AC34" s="105">
        <f>IFERROR(AC33/Inputs!AD49,0)</f>
        <v>0</v>
      </c>
      <c r="AD34" s="105">
        <f>IFERROR(AD33/Inputs!AE49,0)</f>
        <v>2</v>
      </c>
      <c r="AE34" s="105">
        <f>IFERROR(AE33/Inputs!AF49,0)</f>
        <v>0</v>
      </c>
      <c r="AF34" s="105">
        <f>IFERROR(AF33/Inputs!AG49,0)</f>
        <v>0.30864197530864196</v>
      </c>
      <c r="AG34" s="105">
        <f>IFERROR(AG33/Inputs!AH49,0)</f>
        <v>0.5</v>
      </c>
      <c r="AH34" s="105">
        <f>IFERROR(AH33/Inputs!AI49,0)</f>
        <v>0</v>
      </c>
      <c r="AI34" s="105">
        <f>IFERROR(AI33/Inputs!AJ49,0)</f>
        <v>0</v>
      </c>
      <c r="AJ34" s="105">
        <f>IFERROR(AJ33/Inputs!AK49,0)</f>
        <v>1.4999999999999999E-2</v>
      </c>
      <c r="AK34" s="105">
        <f>IFERROR(AK33/Inputs!AL49,0)</f>
        <v>0.26666666666666666</v>
      </c>
      <c r="AL34" s="105">
        <f>IFERROR(AL33/Inputs!AM49,0)</f>
        <v>0</v>
      </c>
      <c r="AM34" s="105">
        <f>IFERROR(AM33/Inputs!AN49,0)</f>
        <v>0.3</v>
      </c>
      <c r="AN34" s="105">
        <f>IFERROR(AN33/Inputs!AO49,0)</f>
        <v>0.20791666666666667</v>
      </c>
      <c r="AO34" s="105">
        <f>IFERROR(AO33/Inputs!AP49,0)</f>
        <v>0</v>
      </c>
      <c r="AP34" s="105">
        <f>IFERROR(AP33/Inputs!AQ49,0)</f>
        <v>0.375</v>
      </c>
      <c r="AQ34" s="110"/>
      <c r="AR34" s="105">
        <f>IFERROR(AR33/Inputs!AS49,0)</f>
        <v>0</v>
      </c>
      <c r="AS34" s="105">
        <f>IFERROR(AS33/Inputs!AT49,0)</f>
        <v>0</v>
      </c>
      <c r="AT34" s="105">
        <f>IFERROR(AT33/Inputs!AU49,0)</f>
        <v>0</v>
      </c>
      <c r="AU34" s="105">
        <f>IFERROR(AU33/Inputs!AV49,0)</f>
        <v>0</v>
      </c>
      <c r="AV34" s="105">
        <f>IFERROR(AV33/Inputs!AW49,0)</f>
        <v>1.6666666666666668E-3</v>
      </c>
      <c r="AW34" s="105">
        <f>IFERROR(AW33/Inputs!AX49,0)</f>
        <v>2E-3</v>
      </c>
      <c r="AX34" s="105">
        <f>IFERROR(AX33/Inputs!AY49,0)</f>
        <v>0</v>
      </c>
      <c r="AY34" s="105">
        <f>IFERROR(AY33/Inputs!AZ49,0)</f>
        <v>0</v>
      </c>
      <c r="AZ34" s="105">
        <f>IFERROR(AZ33/Inputs!BA49,0)</f>
        <v>0</v>
      </c>
      <c r="BA34" s="113"/>
      <c r="BB34" s="115"/>
    </row>
    <row r="35" spans="1:54" ht="15.75" customHeight="1">
      <c r="A35" s="47"/>
      <c r="B35" s="56"/>
      <c r="C35" s="56"/>
      <c r="D35" s="56"/>
      <c r="E35" s="56"/>
      <c r="F35" s="56"/>
      <c r="G35" s="56"/>
      <c r="H35" s="56"/>
      <c r="I35" s="72"/>
      <c r="J35" s="72"/>
      <c r="K35" s="56"/>
      <c r="L35" s="56"/>
      <c r="M35" s="88"/>
      <c r="N35" s="88"/>
      <c r="O35" s="72"/>
      <c r="P35" s="72"/>
      <c r="Q35" s="56"/>
      <c r="R35" s="88"/>
      <c r="S35" s="88"/>
      <c r="T35" s="72"/>
      <c r="U35" s="56"/>
      <c r="V35" s="56"/>
      <c r="W35" s="56"/>
      <c r="X35" s="88"/>
      <c r="Y35" s="56"/>
      <c r="Z35" s="88"/>
      <c r="AA35" s="88"/>
      <c r="AB35" s="56"/>
      <c r="AC35" s="56"/>
      <c r="AD35" s="56"/>
      <c r="AE35" s="56"/>
      <c r="AF35" s="56"/>
      <c r="AG35" s="56"/>
      <c r="AH35" s="56"/>
      <c r="AI35" s="88"/>
      <c r="AJ35" s="88"/>
      <c r="AK35" s="56"/>
      <c r="AL35" s="56"/>
      <c r="AM35" s="56"/>
      <c r="AN35" s="56"/>
      <c r="AO35" s="56"/>
      <c r="AP35" s="56"/>
      <c r="AQ35" s="90"/>
      <c r="AR35" s="56"/>
      <c r="AS35" s="56"/>
      <c r="AT35" s="56"/>
      <c r="AU35" s="56"/>
      <c r="AV35" s="56"/>
      <c r="AW35" s="56"/>
      <c r="AX35" s="56"/>
      <c r="AY35" s="56"/>
      <c r="AZ35" s="72"/>
      <c r="BA35" s="56"/>
      <c r="BB35" s="92"/>
    </row>
    <row r="36" spans="1:54" ht="15.75" customHeight="1">
      <c r="A36" s="116" t="s">
        <v>8</v>
      </c>
      <c r="B36" s="117" t="s">
        <v>212</v>
      </c>
      <c r="C36" s="117"/>
      <c r="D36" s="73" t="s">
        <v>213</v>
      </c>
      <c r="E36" s="117"/>
      <c r="F36" s="117"/>
      <c r="G36" s="118"/>
      <c r="H36" s="118"/>
      <c r="I36" s="73" t="s">
        <v>214</v>
      </c>
      <c r="J36" s="119" t="s">
        <v>215</v>
      </c>
      <c r="K36" s="72"/>
      <c r="L36" s="72"/>
      <c r="M36" s="54" t="s">
        <v>216</v>
      </c>
      <c r="N36" s="120"/>
      <c r="O36" s="73" t="s">
        <v>217</v>
      </c>
      <c r="P36" s="117" t="s">
        <v>218</v>
      </c>
      <c r="Q36" s="117" t="s">
        <v>219</v>
      </c>
      <c r="R36" s="121"/>
      <c r="S36" s="122" t="s">
        <v>220</v>
      </c>
      <c r="T36" s="73" t="s">
        <v>221</v>
      </c>
      <c r="U36" s="117"/>
      <c r="V36" s="117"/>
      <c r="W36" s="117"/>
      <c r="X36" s="117"/>
      <c r="Y36" s="117"/>
      <c r="Z36" s="117" t="s">
        <v>222</v>
      </c>
      <c r="AA36" s="72"/>
      <c r="AB36" s="117"/>
      <c r="AC36" s="117"/>
      <c r="AD36" s="117" t="s">
        <v>223</v>
      </c>
      <c r="AE36" s="117"/>
      <c r="AF36" s="117"/>
      <c r="AG36" s="117" t="s">
        <v>224</v>
      </c>
      <c r="AH36" s="117"/>
      <c r="AI36" s="123"/>
      <c r="AJ36" s="123" t="s">
        <v>225</v>
      </c>
      <c r="AK36" s="117"/>
      <c r="AL36" s="117"/>
      <c r="AM36" s="117"/>
      <c r="AN36" s="117" t="s">
        <v>226</v>
      </c>
      <c r="AO36" s="117"/>
      <c r="AP36" s="117" t="s">
        <v>227</v>
      </c>
      <c r="AQ36" s="90"/>
      <c r="AR36" s="117"/>
      <c r="AS36" s="117" t="s">
        <v>228</v>
      </c>
      <c r="AT36" s="117" t="s">
        <v>229</v>
      </c>
      <c r="AU36" s="117" t="s">
        <v>230</v>
      </c>
      <c r="AV36" s="117" t="s">
        <v>231</v>
      </c>
      <c r="AW36" s="117" t="s">
        <v>232</v>
      </c>
      <c r="AX36" s="117"/>
      <c r="AY36" s="117" t="s">
        <v>233</v>
      </c>
      <c r="AZ36" s="73" t="s">
        <v>234</v>
      </c>
      <c r="BA36" s="117"/>
      <c r="BB36" s="124"/>
    </row>
    <row r="37" spans="1:54" ht="15.75" customHeight="1">
      <c r="A37" s="47"/>
      <c r="B37" s="56"/>
      <c r="C37" s="56"/>
      <c r="D37" s="56"/>
      <c r="E37" s="56"/>
      <c r="F37" s="56"/>
      <c r="G37" s="56"/>
      <c r="H37" s="56"/>
      <c r="I37" s="72"/>
      <c r="J37" s="72"/>
      <c r="K37" s="56"/>
      <c r="L37" s="56"/>
      <c r="M37" s="72"/>
      <c r="N37" s="88"/>
      <c r="O37" s="72"/>
      <c r="P37" s="72"/>
      <c r="Q37" s="56"/>
      <c r="R37" s="72"/>
      <c r="S37" s="72"/>
      <c r="T37" s="72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88"/>
      <c r="AJ37" s="88"/>
      <c r="AK37" s="56"/>
      <c r="AL37" s="56"/>
      <c r="AM37" s="56"/>
      <c r="AN37" s="56"/>
      <c r="AO37" s="56"/>
      <c r="AP37" s="56"/>
      <c r="AQ37" s="90"/>
      <c r="AR37" s="56"/>
      <c r="AS37" s="56"/>
      <c r="AT37" s="56"/>
      <c r="AU37" s="56"/>
      <c r="AV37" s="56"/>
      <c r="AW37" s="56"/>
      <c r="AX37" s="56"/>
      <c r="AY37" s="56"/>
      <c r="AZ37" s="72"/>
      <c r="BA37" s="56"/>
      <c r="BB37" s="92"/>
    </row>
    <row r="38" spans="1:54" ht="15.75" customHeight="1">
      <c r="A38" s="116" t="s">
        <v>235</v>
      </c>
      <c r="B38" s="117" t="s">
        <v>236</v>
      </c>
      <c r="C38" s="119">
        <v>1000000</v>
      </c>
      <c r="D38" s="119">
        <v>100000</v>
      </c>
      <c r="E38" s="119">
        <v>12500</v>
      </c>
      <c r="F38" s="119">
        <v>2000000</v>
      </c>
      <c r="G38" s="119">
        <v>1000</v>
      </c>
      <c r="H38" s="119">
        <v>6000000</v>
      </c>
      <c r="I38" s="119">
        <v>1000000</v>
      </c>
      <c r="J38" s="125">
        <v>5500000</v>
      </c>
      <c r="K38" s="125">
        <v>10000000</v>
      </c>
      <c r="L38" s="119">
        <v>20000</v>
      </c>
      <c r="M38" s="125">
        <v>3500000</v>
      </c>
      <c r="N38" s="125">
        <v>1250000</v>
      </c>
      <c r="O38" s="125">
        <v>40000</v>
      </c>
      <c r="P38" s="125">
        <v>10000000</v>
      </c>
      <c r="Q38" s="119" t="s">
        <v>102</v>
      </c>
      <c r="R38" s="125">
        <v>6000000</v>
      </c>
      <c r="S38" s="125">
        <v>5000000</v>
      </c>
      <c r="T38" s="125">
        <v>1000000</v>
      </c>
      <c r="U38" s="119" t="s">
        <v>104</v>
      </c>
      <c r="V38" s="119" t="s">
        <v>105</v>
      </c>
      <c r="W38" s="119">
        <v>2000</v>
      </c>
      <c r="X38" s="119">
        <v>3000000</v>
      </c>
      <c r="Y38" s="119" t="s">
        <v>108</v>
      </c>
      <c r="Z38" s="119">
        <v>10000</v>
      </c>
      <c r="AA38" s="125">
        <v>1400000</v>
      </c>
      <c r="AB38" s="119">
        <v>5000</v>
      </c>
      <c r="AC38" s="119">
        <v>40000</v>
      </c>
      <c r="AD38" s="119" t="s">
        <v>111</v>
      </c>
      <c r="AE38" s="119" t="s">
        <v>105</v>
      </c>
      <c r="AF38" s="119" t="s">
        <v>112</v>
      </c>
      <c r="AG38" s="119">
        <v>15000</v>
      </c>
      <c r="AH38" s="119">
        <v>2000000</v>
      </c>
      <c r="AI38" s="125">
        <v>2000000</v>
      </c>
      <c r="AJ38" s="125">
        <v>200000</v>
      </c>
      <c r="AK38" s="126" t="s">
        <v>115</v>
      </c>
      <c r="AL38" s="117" t="s">
        <v>116</v>
      </c>
      <c r="AM38" s="117" t="s">
        <v>117</v>
      </c>
      <c r="AN38" s="117" t="s">
        <v>237</v>
      </c>
      <c r="AO38" s="117" t="s">
        <v>119</v>
      </c>
      <c r="AP38" s="117" t="s">
        <v>120</v>
      </c>
      <c r="AQ38" s="127" t="s">
        <v>121</v>
      </c>
      <c r="AR38" s="117" t="s">
        <v>238</v>
      </c>
      <c r="AS38" s="119" t="s">
        <v>124</v>
      </c>
      <c r="AT38" s="117" t="s">
        <v>125</v>
      </c>
      <c r="AU38" s="117" t="s">
        <v>126</v>
      </c>
      <c r="AV38" s="117" t="s">
        <v>239</v>
      </c>
      <c r="AW38" s="117" t="s">
        <v>128</v>
      </c>
      <c r="AX38" s="117" t="s">
        <v>129</v>
      </c>
      <c r="AY38" s="119" t="s">
        <v>240</v>
      </c>
      <c r="AZ38" s="125" t="s">
        <v>241</v>
      </c>
      <c r="BA38" s="119"/>
      <c r="BB38" s="128"/>
    </row>
    <row r="39" spans="1:54" ht="15.75" customHeight="1">
      <c r="A39" s="47"/>
      <c r="B39" s="56"/>
      <c r="C39" s="56"/>
      <c r="D39" s="56"/>
      <c r="E39" s="56"/>
      <c r="F39" s="56"/>
      <c r="G39" s="56"/>
      <c r="H39" s="56"/>
      <c r="I39" s="72"/>
      <c r="J39" s="72"/>
      <c r="K39" s="56"/>
      <c r="L39" s="56"/>
      <c r="M39" s="72"/>
      <c r="N39" s="88"/>
      <c r="O39" s="72"/>
      <c r="P39" s="72"/>
      <c r="Q39" s="56"/>
      <c r="R39" s="72"/>
      <c r="S39" s="72"/>
      <c r="T39" s="72"/>
      <c r="U39" s="56"/>
      <c r="V39" s="56">
        <f>50*V44</f>
        <v>12.475</v>
      </c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88"/>
      <c r="AJ39" s="88"/>
      <c r="AK39" s="56"/>
      <c r="AL39" s="56"/>
      <c r="AM39" s="56"/>
      <c r="AN39" s="56"/>
      <c r="AO39" s="56"/>
      <c r="AP39" s="56"/>
      <c r="AQ39" s="90"/>
      <c r="AR39" s="56"/>
      <c r="AS39" s="56"/>
      <c r="AT39" s="56"/>
      <c r="AU39" s="56"/>
      <c r="AV39" s="56"/>
      <c r="AW39" s="56"/>
      <c r="AX39" s="56"/>
      <c r="AY39" s="56"/>
      <c r="AZ39" s="72"/>
      <c r="BA39" s="56"/>
      <c r="BB39" s="92"/>
    </row>
    <row r="40" spans="1:54" ht="15.75" customHeight="1">
      <c r="A40" s="104" t="s">
        <v>242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30"/>
      <c r="BB40" s="131"/>
    </row>
    <row r="41" spans="1:54" ht="15.75" customHeight="1">
      <c r="A41" s="47" t="s">
        <v>243</v>
      </c>
      <c r="B41" s="56" t="s">
        <v>244</v>
      </c>
      <c r="C41" s="56" t="s">
        <v>157</v>
      </c>
      <c r="D41" s="56" t="s">
        <v>157</v>
      </c>
      <c r="E41" s="56" t="s">
        <v>157</v>
      </c>
      <c r="F41" s="56" t="s">
        <v>157</v>
      </c>
      <c r="G41" s="56" t="s">
        <v>157</v>
      </c>
      <c r="H41" s="56" t="s">
        <v>157</v>
      </c>
      <c r="I41" s="56" t="s">
        <v>157</v>
      </c>
      <c r="J41" s="56" t="s">
        <v>157</v>
      </c>
      <c r="K41" s="56" t="s">
        <v>157</v>
      </c>
      <c r="L41" s="56" t="s">
        <v>157</v>
      </c>
      <c r="M41" s="56" t="s">
        <v>157</v>
      </c>
      <c r="N41" s="56" t="s">
        <v>157</v>
      </c>
      <c r="O41" s="56" t="s">
        <v>157</v>
      </c>
      <c r="P41" s="56" t="s">
        <v>157</v>
      </c>
      <c r="Q41" s="56" t="s">
        <v>157</v>
      </c>
      <c r="R41" s="56" t="s">
        <v>245</v>
      </c>
      <c r="S41" s="56" t="s">
        <v>157</v>
      </c>
      <c r="T41" s="56" t="s">
        <v>157</v>
      </c>
      <c r="U41" s="56" t="s">
        <v>157</v>
      </c>
      <c r="V41" s="56" t="s">
        <v>246</v>
      </c>
      <c r="W41" s="56" t="s">
        <v>157</v>
      </c>
      <c r="X41" s="56" t="s">
        <v>157</v>
      </c>
      <c r="Y41" s="56" t="s">
        <v>157</v>
      </c>
      <c r="Z41" s="56" t="s">
        <v>157</v>
      </c>
      <c r="AA41" s="56" t="s">
        <v>157</v>
      </c>
      <c r="AB41" s="56" t="s">
        <v>157</v>
      </c>
      <c r="AC41" s="56" t="s">
        <v>157</v>
      </c>
      <c r="AD41" s="56" t="s">
        <v>246</v>
      </c>
      <c r="AE41" s="56" t="s">
        <v>246</v>
      </c>
      <c r="AF41" s="56" t="s">
        <v>247</v>
      </c>
      <c r="AG41" s="56" t="s">
        <v>157</v>
      </c>
      <c r="AH41" s="56" t="s">
        <v>157</v>
      </c>
      <c r="AI41" s="56" t="s">
        <v>157</v>
      </c>
      <c r="AJ41" s="56" t="s">
        <v>157</v>
      </c>
      <c r="AK41" s="56" t="s">
        <v>248</v>
      </c>
      <c r="AL41" s="56" t="s">
        <v>248</v>
      </c>
      <c r="AM41" s="56" t="s">
        <v>249</v>
      </c>
      <c r="AN41" s="56" t="s">
        <v>246</v>
      </c>
      <c r="AO41" s="56" t="s">
        <v>249</v>
      </c>
      <c r="AP41" s="56" t="s">
        <v>248</v>
      </c>
      <c r="AQ41" s="56" t="s">
        <v>248</v>
      </c>
      <c r="AR41" s="56" t="s">
        <v>157</v>
      </c>
      <c r="AS41" s="56" t="s">
        <v>250</v>
      </c>
      <c r="AT41" s="56" t="s">
        <v>157</v>
      </c>
      <c r="AU41" s="56" t="s">
        <v>246</v>
      </c>
      <c r="AV41" s="56" t="s">
        <v>251</v>
      </c>
      <c r="AW41" s="56" t="s">
        <v>250</v>
      </c>
      <c r="AX41" s="56" t="s">
        <v>157</v>
      </c>
      <c r="AY41" s="56" t="s">
        <v>246</v>
      </c>
      <c r="AZ41" s="56" t="s">
        <v>252</v>
      </c>
      <c r="BA41" s="56"/>
      <c r="BB41" s="92"/>
    </row>
    <row r="42" spans="1:54" ht="15.75" customHeight="1">
      <c r="A42" s="47" t="s">
        <v>253</v>
      </c>
      <c r="B42" s="56">
        <v>40</v>
      </c>
      <c r="C42" s="56" t="s">
        <v>157</v>
      </c>
      <c r="D42" s="56" t="s">
        <v>157</v>
      </c>
      <c r="E42" s="56" t="s">
        <v>157</v>
      </c>
      <c r="F42" s="56" t="s">
        <v>157</v>
      </c>
      <c r="G42" s="56" t="s">
        <v>157</v>
      </c>
      <c r="H42" s="56" t="s">
        <v>157</v>
      </c>
      <c r="I42" s="56" t="s">
        <v>157</v>
      </c>
      <c r="J42" s="56" t="s">
        <v>157</v>
      </c>
      <c r="K42" s="56" t="s">
        <v>157</v>
      </c>
      <c r="L42" s="56" t="s">
        <v>157</v>
      </c>
      <c r="M42" s="56" t="s">
        <v>157</v>
      </c>
      <c r="N42" s="56" t="s">
        <v>157</v>
      </c>
      <c r="O42" s="56" t="s">
        <v>157</v>
      </c>
      <c r="P42" s="56" t="s">
        <v>157</v>
      </c>
      <c r="Q42" s="56" t="s">
        <v>157</v>
      </c>
      <c r="R42" s="56">
        <v>7</v>
      </c>
      <c r="S42" s="56" t="s">
        <v>157</v>
      </c>
      <c r="T42" s="56" t="s">
        <v>157</v>
      </c>
      <c r="U42" s="56" t="s">
        <v>157</v>
      </c>
      <c r="V42" s="56">
        <v>20</v>
      </c>
      <c r="W42" s="56" t="s">
        <v>157</v>
      </c>
      <c r="X42" s="56" t="s">
        <v>157</v>
      </c>
      <c r="Y42" s="56" t="s">
        <v>157</v>
      </c>
      <c r="Z42" s="56" t="s">
        <v>157</v>
      </c>
      <c r="AA42" s="56" t="s">
        <v>157</v>
      </c>
      <c r="AB42" s="56" t="s">
        <v>157</v>
      </c>
      <c r="AC42" s="56" t="s">
        <v>157</v>
      </c>
      <c r="AD42" s="56">
        <v>100</v>
      </c>
      <c r="AE42" s="56">
        <v>20</v>
      </c>
      <c r="AF42" s="56">
        <v>24</v>
      </c>
      <c r="AG42" s="56" t="s">
        <v>157</v>
      </c>
      <c r="AH42" s="56" t="s">
        <v>157</v>
      </c>
      <c r="AI42" s="56" t="s">
        <v>157</v>
      </c>
      <c r="AJ42" s="56" t="s">
        <v>157</v>
      </c>
      <c r="AK42" s="56">
        <v>6600</v>
      </c>
      <c r="AL42" s="56">
        <v>30000</v>
      </c>
      <c r="AM42" s="56">
        <v>13</v>
      </c>
      <c r="AN42" s="56">
        <v>120</v>
      </c>
      <c r="AO42" s="56">
        <v>30</v>
      </c>
      <c r="AP42" s="56">
        <v>5000</v>
      </c>
      <c r="AQ42" s="56">
        <v>5000</v>
      </c>
      <c r="AR42" s="56" t="s">
        <v>157</v>
      </c>
      <c r="AS42" s="56">
        <v>83</v>
      </c>
      <c r="AT42" s="56" t="s">
        <v>157</v>
      </c>
      <c r="AU42" s="56">
        <v>20</v>
      </c>
      <c r="AV42" s="56">
        <v>100</v>
      </c>
      <c r="AW42" s="56">
        <v>200</v>
      </c>
      <c r="AX42" s="56" t="s">
        <v>157</v>
      </c>
      <c r="AY42" s="56">
        <v>250</v>
      </c>
      <c r="AZ42" s="56" t="s">
        <v>157</v>
      </c>
      <c r="BA42" s="56"/>
      <c r="BB42" s="92"/>
    </row>
    <row r="43" spans="1:54" ht="15.75" customHeight="1">
      <c r="A43" s="47" t="s">
        <v>254</v>
      </c>
      <c r="B43" s="132">
        <v>6</v>
      </c>
      <c r="C43" s="132" t="s">
        <v>157</v>
      </c>
      <c r="D43" s="132" t="s">
        <v>157</v>
      </c>
      <c r="E43" s="132" t="s">
        <v>157</v>
      </c>
      <c r="F43" s="132" t="s">
        <v>157</v>
      </c>
      <c r="G43" s="132" t="s">
        <v>157</v>
      </c>
      <c r="H43" s="132" t="s">
        <v>157</v>
      </c>
      <c r="I43" s="132" t="s">
        <v>157</v>
      </c>
      <c r="J43" s="132" t="s">
        <v>157</v>
      </c>
      <c r="K43" s="132" t="s">
        <v>157</v>
      </c>
      <c r="L43" s="132" t="s">
        <v>157</v>
      </c>
      <c r="M43" s="132" t="s">
        <v>157</v>
      </c>
      <c r="N43" s="132" t="s">
        <v>157</v>
      </c>
      <c r="O43" s="132" t="s">
        <v>157</v>
      </c>
      <c r="P43" s="132" t="s">
        <v>157</v>
      </c>
      <c r="Q43" s="132" t="s">
        <v>157</v>
      </c>
      <c r="R43" s="132">
        <v>4.99</v>
      </c>
      <c r="S43" s="132" t="s">
        <v>157</v>
      </c>
      <c r="T43" s="132" t="s">
        <v>157</v>
      </c>
      <c r="U43" s="132" t="s">
        <v>157</v>
      </c>
      <c r="V43" s="132">
        <v>4.99</v>
      </c>
      <c r="W43" s="132" t="s">
        <v>157</v>
      </c>
      <c r="X43" s="132" t="s">
        <v>157</v>
      </c>
      <c r="Y43" s="132" t="s">
        <v>157</v>
      </c>
      <c r="Z43" s="132" t="s">
        <v>157</v>
      </c>
      <c r="AA43" s="132" t="s">
        <v>157</v>
      </c>
      <c r="AB43" s="132" t="s">
        <v>157</v>
      </c>
      <c r="AC43" s="132" t="s">
        <v>157</v>
      </c>
      <c r="AD43" s="132">
        <v>9.99</v>
      </c>
      <c r="AE43" s="132">
        <v>4.99</v>
      </c>
      <c r="AF43" s="132">
        <v>4.99</v>
      </c>
      <c r="AG43" s="132" t="s">
        <v>157</v>
      </c>
      <c r="AH43" s="132" t="s">
        <v>157</v>
      </c>
      <c r="AI43" s="132" t="s">
        <v>157</v>
      </c>
      <c r="AJ43" s="132" t="s">
        <v>157</v>
      </c>
      <c r="AK43" s="132">
        <v>4.99</v>
      </c>
      <c r="AL43" s="132">
        <v>9.99</v>
      </c>
      <c r="AM43" s="132">
        <v>4.99</v>
      </c>
      <c r="AN43" s="132">
        <v>4.99</v>
      </c>
      <c r="AO43" s="132">
        <v>4.99</v>
      </c>
      <c r="AP43" s="132">
        <v>4.99</v>
      </c>
      <c r="AQ43" s="132">
        <v>4.99</v>
      </c>
      <c r="AR43" s="132" t="s">
        <v>157</v>
      </c>
      <c r="AS43" s="132">
        <v>4.99</v>
      </c>
      <c r="AT43" s="132" t="s">
        <v>157</v>
      </c>
      <c r="AU43" s="132">
        <v>4.99</v>
      </c>
      <c r="AV43" s="132">
        <v>9.99</v>
      </c>
      <c r="AW43" s="132">
        <v>4.99</v>
      </c>
      <c r="AX43" s="132" t="s">
        <v>157</v>
      </c>
      <c r="AY43" s="132">
        <v>4.99</v>
      </c>
      <c r="AZ43" s="132" t="s">
        <v>157</v>
      </c>
      <c r="BA43" s="56"/>
      <c r="BB43" s="92"/>
    </row>
    <row r="44" spans="1:54" ht="15.75" customHeight="1">
      <c r="A44" s="47" t="s">
        <v>255</v>
      </c>
      <c r="B44" s="132">
        <f>IFERROR(B43/B42,0)</f>
        <v>0.15</v>
      </c>
      <c r="C44" s="132" t="s">
        <v>157</v>
      </c>
      <c r="D44" s="132" t="s">
        <v>157</v>
      </c>
      <c r="E44" s="132" t="s">
        <v>157</v>
      </c>
      <c r="F44" s="132" t="s">
        <v>157</v>
      </c>
      <c r="G44" s="132" t="s">
        <v>157</v>
      </c>
      <c r="H44" s="132" t="s">
        <v>157</v>
      </c>
      <c r="I44" s="132" t="s">
        <v>157</v>
      </c>
      <c r="J44" s="132" t="s">
        <v>157</v>
      </c>
      <c r="K44" s="132" t="s">
        <v>157</v>
      </c>
      <c r="L44" s="132" t="s">
        <v>157</v>
      </c>
      <c r="M44" s="132" t="s">
        <v>157</v>
      </c>
      <c r="N44" s="132" t="s">
        <v>157</v>
      </c>
      <c r="O44" s="132" t="s">
        <v>157</v>
      </c>
      <c r="P44" s="132" t="s">
        <v>157</v>
      </c>
      <c r="Q44" s="132" t="s">
        <v>157</v>
      </c>
      <c r="R44" s="132">
        <f>IFERROR(R43/R42,0)</f>
        <v>0.71285714285714286</v>
      </c>
      <c r="S44" s="132" t="s">
        <v>157</v>
      </c>
      <c r="T44" s="132" t="s">
        <v>157</v>
      </c>
      <c r="U44" s="132" t="s">
        <v>157</v>
      </c>
      <c r="V44" s="132">
        <f>IFERROR(V43/V42,0)</f>
        <v>0.2495</v>
      </c>
      <c r="W44" s="132" t="s">
        <v>157</v>
      </c>
      <c r="X44" s="132" t="s">
        <v>157</v>
      </c>
      <c r="Y44" s="132" t="s">
        <v>157</v>
      </c>
      <c r="Z44" s="132" t="s">
        <v>157</v>
      </c>
      <c r="AA44" s="132" t="s">
        <v>157</v>
      </c>
      <c r="AB44" s="132" t="s">
        <v>157</v>
      </c>
      <c r="AC44" s="132" t="s">
        <v>157</v>
      </c>
      <c r="AD44" s="132">
        <f t="shared" ref="AD44:AF44" si="0">IFERROR(AD43/AD42,0)</f>
        <v>9.9900000000000003E-2</v>
      </c>
      <c r="AE44" s="132">
        <f t="shared" si="0"/>
        <v>0.2495</v>
      </c>
      <c r="AF44" s="132">
        <f t="shared" si="0"/>
        <v>0.20791666666666667</v>
      </c>
      <c r="AG44" s="132" t="s">
        <v>157</v>
      </c>
      <c r="AH44" s="132" t="s">
        <v>157</v>
      </c>
      <c r="AI44" s="132" t="s">
        <v>157</v>
      </c>
      <c r="AJ44" s="132" t="s">
        <v>157</v>
      </c>
      <c r="AK44" s="132">
        <f t="shared" ref="AK44:AP44" si="1">IFERROR(AK43/AK42,0)</f>
        <v>7.5606060606060613E-4</v>
      </c>
      <c r="AL44" s="132">
        <f t="shared" si="1"/>
        <v>3.3300000000000002E-4</v>
      </c>
      <c r="AM44" s="132">
        <f t="shared" si="1"/>
        <v>0.38384615384615384</v>
      </c>
      <c r="AN44" s="132">
        <f t="shared" si="1"/>
        <v>4.1583333333333333E-2</v>
      </c>
      <c r="AO44" s="132">
        <f t="shared" si="1"/>
        <v>0.16633333333333333</v>
      </c>
      <c r="AP44" s="132">
        <f t="shared" si="1"/>
        <v>9.9799999999999997E-4</v>
      </c>
      <c r="AQ44" s="132">
        <f>IFERROR(AQ43/AQ42,0)</f>
        <v>9.9799999999999997E-4</v>
      </c>
      <c r="AR44" s="132" t="s">
        <v>157</v>
      </c>
      <c r="AS44" s="132">
        <f>IFERROR(AS43/AS42,0)</f>
        <v>6.0120481927710849E-2</v>
      </c>
      <c r="AT44" s="132" t="s">
        <v>157</v>
      </c>
      <c r="AU44" s="132">
        <f t="shared" ref="AU44:AW44" si="2">IFERROR(AU43/AU42,0)</f>
        <v>0.2495</v>
      </c>
      <c r="AV44" s="132">
        <f t="shared" si="2"/>
        <v>9.9900000000000003E-2</v>
      </c>
      <c r="AW44" s="132">
        <f t="shared" si="2"/>
        <v>2.495E-2</v>
      </c>
      <c r="AX44" s="132" t="s">
        <v>157</v>
      </c>
      <c r="AY44" s="132">
        <f>IFERROR(AY43/AY42,0)</f>
        <v>1.9960000000000002E-2</v>
      </c>
      <c r="AZ44" s="132" t="s">
        <v>157</v>
      </c>
      <c r="BA44" s="132"/>
      <c r="BB44" s="133"/>
    </row>
    <row r="45" spans="1:54" ht="15.75" customHeight="1">
      <c r="A45" s="47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92"/>
    </row>
    <row r="46" spans="1:54" ht="15.75" customHeight="1">
      <c r="A46" s="47" t="s">
        <v>243</v>
      </c>
      <c r="B46" s="56" t="s">
        <v>247</v>
      </c>
      <c r="C46" s="56" t="s">
        <v>157</v>
      </c>
      <c r="D46" s="56" t="s">
        <v>157</v>
      </c>
      <c r="E46" s="56" t="s">
        <v>157</v>
      </c>
      <c r="F46" s="56" t="s">
        <v>157</v>
      </c>
      <c r="G46" s="56" t="s">
        <v>157</v>
      </c>
      <c r="H46" s="56" t="s">
        <v>157</v>
      </c>
      <c r="I46" s="56" t="s">
        <v>157</v>
      </c>
      <c r="J46" s="56" t="s">
        <v>157</v>
      </c>
      <c r="K46" s="56" t="s">
        <v>157</v>
      </c>
      <c r="L46" s="56" t="s">
        <v>157</v>
      </c>
      <c r="M46" s="56" t="s">
        <v>157</v>
      </c>
      <c r="N46" s="56" t="s">
        <v>157</v>
      </c>
      <c r="O46" s="56" t="s">
        <v>157</v>
      </c>
      <c r="P46" s="56" t="s">
        <v>157</v>
      </c>
      <c r="Q46" s="56" t="s">
        <v>157</v>
      </c>
      <c r="R46" s="56" t="s">
        <v>157</v>
      </c>
      <c r="S46" s="56" t="s">
        <v>157</v>
      </c>
      <c r="T46" s="56" t="s">
        <v>157</v>
      </c>
      <c r="U46" s="56" t="s">
        <v>157</v>
      </c>
      <c r="V46" s="56" t="s">
        <v>157</v>
      </c>
      <c r="W46" s="56" t="s">
        <v>157</v>
      </c>
      <c r="X46" s="56" t="s">
        <v>157</v>
      </c>
      <c r="Y46" s="56" t="s">
        <v>157</v>
      </c>
      <c r="Z46" s="56" t="s">
        <v>157</v>
      </c>
      <c r="AA46" s="56" t="s">
        <v>157</v>
      </c>
      <c r="AB46" s="56" t="s">
        <v>157</v>
      </c>
      <c r="AC46" s="56" t="s">
        <v>157</v>
      </c>
      <c r="AD46" s="56" t="s">
        <v>256</v>
      </c>
      <c r="AE46" s="56" t="s">
        <v>157</v>
      </c>
      <c r="AF46" s="56" t="s">
        <v>157</v>
      </c>
      <c r="AG46" s="56" t="s">
        <v>157</v>
      </c>
      <c r="AH46" s="56" t="s">
        <v>157</v>
      </c>
      <c r="AI46" s="56" t="s">
        <v>157</v>
      </c>
      <c r="AJ46" s="56" t="s">
        <v>157</v>
      </c>
      <c r="AK46" s="56" t="s">
        <v>249</v>
      </c>
      <c r="AL46" s="56" t="s">
        <v>249</v>
      </c>
      <c r="AM46" s="56" t="s">
        <v>157</v>
      </c>
      <c r="AN46" s="56" t="s">
        <v>257</v>
      </c>
      <c r="AO46" s="56" t="s">
        <v>258</v>
      </c>
      <c r="AP46" s="56" t="s">
        <v>157</v>
      </c>
      <c r="AQ46" s="56" t="s">
        <v>259</v>
      </c>
      <c r="AR46" s="56" t="s">
        <v>157</v>
      </c>
      <c r="AS46" s="56" t="s">
        <v>157</v>
      </c>
      <c r="AT46" s="56" t="s">
        <v>157</v>
      </c>
      <c r="AU46" s="56" t="s">
        <v>157</v>
      </c>
      <c r="AV46" s="56" t="s">
        <v>157</v>
      </c>
      <c r="AW46" s="56" t="s">
        <v>157</v>
      </c>
      <c r="AX46" s="56" t="s">
        <v>157</v>
      </c>
      <c r="AY46" s="56" t="s">
        <v>157</v>
      </c>
      <c r="AZ46" s="56" t="s">
        <v>157</v>
      </c>
      <c r="BA46" s="56"/>
      <c r="BB46" s="92"/>
    </row>
    <row r="47" spans="1:54" ht="15.75" customHeight="1">
      <c r="A47" s="47" t="s">
        <v>253</v>
      </c>
      <c r="B47" s="56">
        <v>93</v>
      </c>
      <c r="C47" s="56" t="s">
        <v>157</v>
      </c>
      <c r="D47" s="56" t="s">
        <v>157</v>
      </c>
      <c r="E47" s="56" t="s">
        <v>157</v>
      </c>
      <c r="F47" s="56" t="s">
        <v>157</v>
      </c>
      <c r="G47" s="56" t="s">
        <v>157</v>
      </c>
      <c r="H47" s="56" t="s">
        <v>157</v>
      </c>
      <c r="I47" s="56" t="s">
        <v>157</v>
      </c>
      <c r="J47" s="56" t="s">
        <v>157</v>
      </c>
      <c r="K47" s="56" t="s">
        <v>157</v>
      </c>
      <c r="L47" s="56" t="s">
        <v>157</v>
      </c>
      <c r="M47" s="56" t="s">
        <v>157</v>
      </c>
      <c r="N47" s="56" t="s">
        <v>157</v>
      </c>
      <c r="O47" s="56" t="s">
        <v>157</v>
      </c>
      <c r="P47" s="56" t="s">
        <v>157</v>
      </c>
      <c r="Q47" s="56" t="s">
        <v>157</v>
      </c>
      <c r="R47" s="56" t="s">
        <v>157</v>
      </c>
      <c r="S47" s="56" t="s">
        <v>157</v>
      </c>
      <c r="T47" s="56" t="s">
        <v>157</v>
      </c>
      <c r="U47" s="56" t="s">
        <v>157</v>
      </c>
      <c r="V47" s="56" t="s">
        <v>157</v>
      </c>
      <c r="W47" s="56" t="s">
        <v>157</v>
      </c>
      <c r="X47" s="56" t="s">
        <v>157</v>
      </c>
      <c r="Y47" s="56" t="s">
        <v>157</v>
      </c>
      <c r="Z47" s="56" t="s">
        <v>157</v>
      </c>
      <c r="AA47" s="56" t="s">
        <v>157</v>
      </c>
      <c r="AB47" s="56" t="s">
        <v>157</v>
      </c>
      <c r="AC47" s="56" t="s">
        <v>157</v>
      </c>
      <c r="AD47" s="56">
        <v>1000</v>
      </c>
      <c r="AE47" s="56" t="s">
        <v>157</v>
      </c>
      <c r="AF47" s="56" t="s">
        <v>157</v>
      </c>
      <c r="AG47" s="56" t="s">
        <v>157</v>
      </c>
      <c r="AH47" s="56" t="s">
        <v>157</v>
      </c>
      <c r="AI47" s="56" t="s">
        <v>157</v>
      </c>
      <c r="AJ47" s="56" t="s">
        <v>157</v>
      </c>
      <c r="AK47" s="56">
        <v>20</v>
      </c>
      <c r="AL47" s="56">
        <v>5</v>
      </c>
      <c r="AM47" s="56" t="s">
        <v>157</v>
      </c>
      <c r="AN47" s="56">
        <v>2900</v>
      </c>
      <c r="AO47" s="56" t="s">
        <v>157</v>
      </c>
      <c r="AP47" s="56" t="s">
        <v>157</v>
      </c>
      <c r="AQ47" s="56">
        <v>10</v>
      </c>
      <c r="AR47" s="56" t="s">
        <v>157</v>
      </c>
      <c r="AS47" s="56" t="s">
        <v>157</v>
      </c>
      <c r="AT47" s="56" t="s">
        <v>157</v>
      </c>
      <c r="AU47" s="56" t="s">
        <v>157</v>
      </c>
      <c r="AV47" s="56" t="s">
        <v>157</v>
      </c>
      <c r="AW47" s="56" t="s">
        <v>157</v>
      </c>
      <c r="AX47" s="56" t="s">
        <v>157</v>
      </c>
      <c r="AY47" s="56" t="s">
        <v>157</v>
      </c>
      <c r="AZ47" s="56" t="s">
        <v>157</v>
      </c>
      <c r="BA47" s="56"/>
      <c r="BB47" s="92"/>
    </row>
    <row r="48" spans="1:54" ht="15.75" customHeight="1">
      <c r="A48" s="47" t="s">
        <v>254</v>
      </c>
      <c r="B48" s="132">
        <v>5</v>
      </c>
      <c r="C48" s="132" t="s">
        <v>157</v>
      </c>
      <c r="D48" s="132" t="s">
        <v>157</v>
      </c>
      <c r="E48" s="132" t="s">
        <v>157</v>
      </c>
      <c r="F48" s="132" t="s">
        <v>157</v>
      </c>
      <c r="G48" s="132" t="s">
        <v>157</v>
      </c>
      <c r="H48" s="132" t="s">
        <v>157</v>
      </c>
      <c r="I48" s="132" t="s">
        <v>157</v>
      </c>
      <c r="J48" s="132" t="s">
        <v>157</v>
      </c>
      <c r="K48" s="132" t="s">
        <v>157</v>
      </c>
      <c r="L48" s="132" t="s">
        <v>157</v>
      </c>
      <c r="M48" s="132" t="s">
        <v>157</v>
      </c>
      <c r="N48" s="132" t="s">
        <v>157</v>
      </c>
      <c r="O48" s="132" t="s">
        <v>157</v>
      </c>
      <c r="P48" s="132" t="s">
        <v>157</v>
      </c>
      <c r="Q48" s="132" t="s">
        <v>157</v>
      </c>
      <c r="R48" s="132" t="s">
        <v>157</v>
      </c>
      <c r="S48" s="132" t="s">
        <v>157</v>
      </c>
      <c r="T48" s="132" t="s">
        <v>157</v>
      </c>
      <c r="U48" s="132" t="s">
        <v>157</v>
      </c>
      <c r="V48" s="132" t="s">
        <v>157</v>
      </c>
      <c r="W48" s="132" t="s">
        <v>157</v>
      </c>
      <c r="X48" s="132" t="s">
        <v>157</v>
      </c>
      <c r="Y48" s="132" t="s">
        <v>157</v>
      </c>
      <c r="Z48" s="132" t="s">
        <v>157</v>
      </c>
      <c r="AA48" s="132" t="s">
        <v>157</v>
      </c>
      <c r="AB48" s="132" t="s">
        <v>157</v>
      </c>
      <c r="AC48" s="132" t="s">
        <v>157</v>
      </c>
      <c r="AD48" s="132">
        <v>14.99</v>
      </c>
      <c r="AE48" s="132" t="s">
        <v>157</v>
      </c>
      <c r="AF48" s="132" t="s">
        <v>157</v>
      </c>
      <c r="AG48" s="132" t="s">
        <v>157</v>
      </c>
      <c r="AH48" s="132" t="s">
        <v>157</v>
      </c>
      <c r="AI48" s="132" t="s">
        <v>157</v>
      </c>
      <c r="AJ48" s="132" t="s">
        <v>157</v>
      </c>
      <c r="AK48" s="132">
        <v>1.99</v>
      </c>
      <c r="AL48" s="132">
        <v>4.99</v>
      </c>
      <c r="AM48" s="132" t="s">
        <v>157</v>
      </c>
      <c r="AN48" s="132">
        <v>4.99</v>
      </c>
      <c r="AO48" s="132" t="s">
        <v>157</v>
      </c>
      <c r="AP48" s="132" t="s">
        <v>157</v>
      </c>
      <c r="AQ48" s="132">
        <v>2.99</v>
      </c>
      <c r="AR48" s="132" t="s">
        <v>157</v>
      </c>
      <c r="AS48" s="132" t="s">
        <v>157</v>
      </c>
      <c r="AT48" s="132" t="s">
        <v>157</v>
      </c>
      <c r="AU48" s="132" t="s">
        <v>157</v>
      </c>
      <c r="AV48" s="132" t="s">
        <v>157</v>
      </c>
      <c r="AW48" s="132" t="s">
        <v>157</v>
      </c>
      <c r="AX48" s="132" t="s">
        <v>157</v>
      </c>
      <c r="AY48" s="132" t="s">
        <v>157</v>
      </c>
      <c r="AZ48" s="132" t="s">
        <v>157</v>
      </c>
      <c r="BA48" s="56"/>
      <c r="BB48" s="92"/>
    </row>
    <row r="49" spans="1:54" ht="15.75" customHeight="1">
      <c r="A49" s="47" t="s">
        <v>255</v>
      </c>
      <c r="B49" s="132">
        <f>IFERROR(B48/B47,0)</f>
        <v>5.3763440860215055E-2</v>
      </c>
      <c r="C49" s="132" t="s">
        <v>157</v>
      </c>
      <c r="D49" s="132" t="s">
        <v>157</v>
      </c>
      <c r="E49" s="132" t="s">
        <v>157</v>
      </c>
      <c r="F49" s="132" t="s">
        <v>157</v>
      </c>
      <c r="G49" s="132" t="s">
        <v>157</v>
      </c>
      <c r="H49" s="132" t="s">
        <v>157</v>
      </c>
      <c r="I49" s="132" t="s">
        <v>157</v>
      </c>
      <c r="J49" s="132" t="s">
        <v>157</v>
      </c>
      <c r="K49" s="132" t="s">
        <v>157</v>
      </c>
      <c r="L49" s="132" t="s">
        <v>157</v>
      </c>
      <c r="M49" s="132" t="s">
        <v>157</v>
      </c>
      <c r="N49" s="132" t="s">
        <v>157</v>
      </c>
      <c r="O49" s="132" t="s">
        <v>157</v>
      </c>
      <c r="P49" s="132" t="s">
        <v>157</v>
      </c>
      <c r="Q49" s="132" t="s">
        <v>157</v>
      </c>
      <c r="R49" s="132" t="s">
        <v>157</v>
      </c>
      <c r="S49" s="132" t="s">
        <v>157</v>
      </c>
      <c r="T49" s="132" t="s">
        <v>157</v>
      </c>
      <c r="U49" s="132" t="s">
        <v>157</v>
      </c>
      <c r="V49" s="132" t="s">
        <v>157</v>
      </c>
      <c r="W49" s="132" t="s">
        <v>157</v>
      </c>
      <c r="X49" s="132" t="s">
        <v>157</v>
      </c>
      <c r="Y49" s="132" t="s">
        <v>157</v>
      </c>
      <c r="Z49" s="132" t="s">
        <v>157</v>
      </c>
      <c r="AA49" s="132" t="s">
        <v>157</v>
      </c>
      <c r="AB49" s="132" t="s">
        <v>157</v>
      </c>
      <c r="AC49" s="132" t="s">
        <v>157</v>
      </c>
      <c r="AD49" s="132">
        <f>IFERROR(AD48/AD47,0)</f>
        <v>1.499E-2</v>
      </c>
      <c r="AE49" s="132" t="s">
        <v>157</v>
      </c>
      <c r="AF49" s="132" t="s">
        <v>157</v>
      </c>
      <c r="AG49" s="132" t="s">
        <v>157</v>
      </c>
      <c r="AH49" s="132" t="s">
        <v>157</v>
      </c>
      <c r="AI49" s="132" t="s">
        <v>157</v>
      </c>
      <c r="AJ49" s="132" t="s">
        <v>157</v>
      </c>
      <c r="AK49" s="132">
        <f t="shared" ref="AK49:AL49" si="3">IFERROR(AK48/AK47,0)</f>
        <v>9.9500000000000005E-2</v>
      </c>
      <c r="AL49" s="132">
        <f t="shared" si="3"/>
        <v>0.998</v>
      </c>
      <c r="AM49" s="132" t="s">
        <v>157</v>
      </c>
      <c r="AN49" s="132">
        <f>IFERROR(AN48/AN47,0)</f>
        <v>1.7206896551724138E-3</v>
      </c>
      <c r="AO49" s="132" t="s">
        <v>157</v>
      </c>
      <c r="AP49" s="132" t="s">
        <v>157</v>
      </c>
      <c r="AQ49" s="132">
        <f>IFERROR(AQ48/AQ47,0)</f>
        <v>0.29900000000000004</v>
      </c>
      <c r="AR49" s="132" t="s">
        <v>157</v>
      </c>
      <c r="AS49" s="132" t="s">
        <v>157</v>
      </c>
      <c r="AT49" s="132" t="s">
        <v>157</v>
      </c>
      <c r="AU49" s="132" t="s">
        <v>157</v>
      </c>
      <c r="AV49" s="132" t="s">
        <v>157</v>
      </c>
      <c r="AW49" s="132" t="s">
        <v>157</v>
      </c>
      <c r="AX49" s="132" t="s">
        <v>157</v>
      </c>
      <c r="AY49" s="132" t="s">
        <v>157</v>
      </c>
      <c r="AZ49" s="132" t="s">
        <v>157</v>
      </c>
      <c r="BA49" s="56"/>
      <c r="BB49" s="92"/>
    </row>
    <row r="50" spans="1:54" ht="15.75" customHeight="1">
      <c r="A50" s="47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  <c r="AW50" s="56"/>
      <c r="AX50" s="56"/>
      <c r="AY50" s="56"/>
      <c r="AZ50" s="56"/>
      <c r="BA50" s="56"/>
      <c r="BB50" s="92"/>
    </row>
    <row r="51" spans="1:54" ht="15.75" customHeight="1">
      <c r="A51" s="47" t="s">
        <v>243</v>
      </c>
      <c r="B51" s="56" t="s">
        <v>157</v>
      </c>
      <c r="C51" s="56" t="s">
        <v>157</v>
      </c>
      <c r="D51" s="56" t="s">
        <v>157</v>
      </c>
      <c r="E51" s="56" t="s">
        <v>157</v>
      </c>
      <c r="F51" s="56" t="s">
        <v>157</v>
      </c>
      <c r="G51" s="56" t="s">
        <v>157</v>
      </c>
      <c r="H51" s="56" t="s">
        <v>157</v>
      </c>
      <c r="I51" s="56" t="s">
        <v>157</v>
      </c>
      <c r="J51" s="56" t="s">
        <v>157</v>
      </c>
      <c r="K51" s="56" t="s">
        <v>157</v>
      </c>
      <c r="L51" s="56" t="s">
        <v>157</v>
      </c>
      <c r="M51" s="56" t="s">
        <v>157</v>
      </c>
      <c r="N51" s="56" t="s">
        <v>157</v>
      </c>
      <c r="O51" s="56" t="s">
        <v>157</v>
      </c>
      <c r="P51" s="56" t="s">
        <v>157</v>
      </c>
      <c r="Q51" s="56" t="s">
        <v>157</v>
      </c>
      <c r="R51" s="56" t="s">
        <v>157</v>
      </c>
      <c r="S51" s="56" t="s">
        <v>157</v>
      </c>
      <c r="T51" s="56" t="s">
        <v>157</v>
      </c>
      <c r="U51" s="56" t="s">
        <v>157</v>
      </c>
      <c r="V51" s="56" t="s">
        <v>157</v>
      </c>
      <c r="W51" s="56" t="s">
        <v>157</v>
      </c>
      <c r="X51" s="56" t="s">
        <v>157</v>
      </c>
      <c r="Y51" s="56" t="s">
        <v>157</v>
      </c>
      <c r="Z51" s="56" t="s">
        <v>157</v>
      </c>
      <c r="AA51" s="56" t="s">
        <v>157</v>
      </c>
      <c r="AB51" s="56" t="s">
        <v>157</v>
      </c>
      <c r="AC51" s="56" t="s">
        <v>157</v>
      </c>
      <c r="AD51" s="56" t="s">
        <v>157</v>
      </c>
      <c r="AE51" s="56" t="s">
        <v>157</v>
      </c>
      <c r="AF51" s="56" t="s">
        <v>157</v>
      </c>
      <c r="AG51" s="56" t="s">
        <v>157</v>
      </c>
      <c r="AH51" s="56" t="s">
        <v>157</v>
      </c>
      <c r="AI51" s="56" t="s">
        <v>157</v>
      </c>
      <c r="AJ51" s="56" t="s">
        <v>157</v>
      </c>
      <c r="AK51" s="56" t="s">
        <v>261</v>
      </c>
      <c r="AL51" s="56" t="s">
        <v>157</v>
      </c>
      <c r="AM51" s="56" t="s">
        <v>157</v>
      </c>
      <c r="AN51" s="56" t="s">
        <v>262</v>
      </c>
      <c r="AO51" s="56" t="s">
        <v>157</v>
      </c>
      <c r="AP51" s="56" t="s">
        <v>157</v>
      </c>
      <c r="AQ51" s="56" t="s">
        <v>157</v>
      </c>
      <c r="AR51" s="56" t="s">
        <v>157</v>
      </c>
      <c r="AS51" s="56" t="s">
        <v>157</v>
      </c>
      <c r="AT51" s="56" t="s">
        <v>157</v>
      </c>
      <c r="AU51" s="56" t="s">
        <v>157</v>
      </c>
      <c r="AV51" s="56" t="s">
        <v>157</v>
      </c>
      <c r="AW51" s="56" t="s">
        <v>157</v>
      </c>
      <c r="AX51" s="56" t="s">
        <v>157</v>
      </c>
      <c r="AY51" s="56" t="s">
        <v>157</v>
      </c>
      <c r="AZ51" s="56" t="s">
        <v>157</v>
      </c>
      <c r="BA51" s="56"/>
      <c r="BB51" s="92"/>
    </row>
    <row r="52" spans="1:54" ht="15.75" customHeight="1">
      <c r="A52" s="47" t="s">
        <v>253</v>
      </c>
      <c r="B52" s="56" t="s">
        <v>157</v>
      </c>
      <c r="C52" s="56" t="s">
        <v>157</v>
      </c>
      <c r="D52" s="56" t="s">
        <v>157</v>
      </c>
      <c r="E52" s="56" t="s">
        <v>157</v>
      </c>
      <c r="F52" s="56" t="s">
        <v>157</v>
      </c>
      <c r="G52" s="56" t="s">
        <v>157</v>
      </c>
      <c r="H52" s="56" t="s">
        <v>157</v>
      </c>
      <c r="I52" s="56" t="s">
        <v>157</v>
      </c>
      <c r="J52" s="56" t="s">
        <v>157</v>
      </c>
      <c r="K52" s="56" t="s">
        <v>157</v>
      </c>
      <c r="L52" s="56" t="s">
        <v>157</v>
      </c>
      <c r="M52" s="56" t="s">
        <v>157</v>
      </c>
      <c r="N52" s="56" t="s">
        <v>157</v>
      </c>
      <c r="O52" s="56" t="s">
        <v>157</v>
      </c>
      <c r="P52" s="56" t="s">
        <v>157</v>
      </c>
      <c r="Q52" s="56" t="s">
        <v>157</v>
      </c>
      <c r="R52" s="56" t="s">
        <v>157</v>
      </c>
      <c r="S52" s="56" t="s">
        <v>157</v>
      </c>
      <c r="T52" s="56" t="s">
        <v>157</v>
      </c>
      <c r="U52" s="56" t="s">
        <v>157</v>
      </c>
      <c r="V52" s="56" t="s">
        <v>157</v>
      </c>
      <c r="W52" s="56" t="s">
        <v>157</v>
      </c>
      <c r="X52" s="56" t="s">
        <v>157</v>
      </c>
      <c r="Y52" s="56" t="s">
        <v>157</v>
      </c>
      <c r="Z52" s="56" t="s">
        <v>157</v>
      </c>
      <c r="AA52" s="56" t="s">
        <v>157</v>
      </c>
      <c r="AB52" s="56" t="s">
        <v>157</v>
      </c>
      <c r="AC52" s="56" t="s">
        <v>157</v>
      </c>
      <c r="AD52" s="56" t="s">
        <v>157</v>
      </c>
      <c r="AE52" s="56" t="s">
        <v>157</v>
      </c>
      <c r="AF52" s="56" t="s">
        <v>157</v>
      </c>
      <c r="AG52" s="56" t="s">
        <v>157</v>
      </c>
      <c r="AH52" s="56" t="s">
        <v>157</v>
      </c>
      <c r="AI52" s="56" t="s">
        <v>157</v>
      </c>
      <c r="AJ52" s="56" t="s">
        <v>157</v>
      </c>
      <c r="AK52" s="56">
        <v>1</v>
      </c>
      <c r="AL52" s="56" t="s">
        <v>157</v>
      </c>
      <c r="AM52" s="56" t="s">
        <v>157</v>
      </c>
      <c r="AN52" s="56">
        <v>1</v>
      </c>
      <c r="AO52" s="56" t="s">
        <v>157</v>
      </c>
      <c r="AP52" s="56" t="s">
        <v>157</v>
      </c>
      <c r="AQ52" s="56" t="s">
        <v>157</v>
      </c>
      <c r="AR52" s="56" t="s">
        <v>157</v>
      </c>
      <c r="AS52" s="56" t="s">
        <v>157</v>
      </c>
      <c r="AT52" s="56" t="s">
        <v>157</v>
      </c>
      <c r="AU52" s="56" t="s">
        <v>157</v>
      </c>
      <c r="AV52" s="56" t="s">
        <v>157</v>
      </c>
      <c r="AW52" s="56" t="s">
        <v>157</v>
      </c>
      <c r="AX52" s="56" t="s">
        <v>157</v>
      </c>
      <c r="AY52" s="56" t="s">
        <v>157</v>
      </c>
      <c r="AZ52" s="56" t="s">
        <v>157</v>
      </c>
      <c r="BA52" s="56"/>
      <c r="BB52" s="92"/>
    </row>
    <row r="53" spans="1:54" ht="15.75" customHeight="1">
      <c r="A53" s="47" t="s">
        <v>254</v>
      </c>
      <c r="B53" s="56" t="s">
        <v>157</v>
      </c>
      <c r="C53" s="56" t="s">
        <v>157</v>
      </c>
      <c r="D53" s="56" t="s">
        <v>157</v>
      </c>
      <c r="E53" s="56" t="s">
        <v>157</v>
      </c>
      <c r="F53" s="56" t="s">
        <v>157</v>
      </c>
      <c r="G53" s="56" t="s">
        <v>157</v>
      </c>
      <c r="H53" s="56" t="s">
        <v>157</v>
      </c>
      <c r="I53" s="56" t="s">
        <v>157</v>
      </c>
      <c r="J53" s="56" t="s">
        <v>157</v>
      </c>
      <c r="K53" s="56" t="s">
        <v>157</v>
      </c>
      <c r="L53" s="56" t="s">
        <v>157</v>
      </c>
      <c r="M53" s="56" t="s">
        <v>157</v>
      </c>
      <c r="N53" s="56" t="s">
        <v>157</v>
      </c>
      <c r="O53" s="56" t="s">
        <v>157</v>
      </c>
      <c r="P53" s="56" t="s">
        <v>157</v>
      </c>
      <c r="Q53" s="56" t="s">
        <v>157</v>
      </c>
      <c r="R53" s="56" t="s">
        <v>157</v>
      </c>
      <c r="S53" s="56" t="s">
        <v>157</v>
      </c>
      <c r="T53" s="56" t="s">
        <v>157</v>
      </c>
      <c r="U53" s="56" t="s">
        <v>157</v>
      </c>
      <c r="V53" s="56" t="s">
        <v>157</v>
      </c>
      <c r="W53" s="56" t="s">
        <v>157</v>
      </c>
      <c r="X53" s="56" t="s">
        <v>157</v>
      </c>
      <c r="Y53" s="56" t="s">
        <v>157</v>
      </c>
      <c r="Z53" s="56" t="s">
        <v>157</v>
      </c>
      <c r="AA53" s="56" t="s">
        <v>157</v>
      </c>
      <c r="AB53" s="56" t="s">
        <v>157</v>
      </c>
      <c r="AC53" s="56" t="s">
        <v>157</v>
      </c>
      <c r="AD53" s="56" t="s">
        <v>157</v>
      </c>
      <c r="AE53" s="56" t="s">
        <v>157</v>
      </c>
      <c r="AF53" s="56" t="s">
        <v>157</v>
      </c>
      <c r="AG53" s="56" t="s">
        <v>157</v>
      </c>
      <c r="AH53" s="56" t="s">
        <v>157</v>
      </c>
      <c r="AI53" s="56" t="s">
        <v>157</v>
      </c>
      <c r="AJ53" s="56" t="s">
        <v>157</v>
      </c>
      <c r="AK53" s="56">
        <f>5*(Inputs!AM26/Inputs!AM25)</f>
        <v>0.25</v>
      </c>
      <c r="AL53" s="56" t="s">
        <v>157</v>
      </c>
      <c r="AM53" s="56" t="s">
        <v>157</v>
      </c>
      <c r="AN53" s="56">
        <f>(AN43/AN42)*5</f>
        <v>0.20791666666666667</v>
      </c>
      <c r="AO53" s="56" t="s">
        <v>157</v>
      </c>
      <c r="AP53" s="56" t="s">
        <v>157</v>
      </c>
      <c r="AQ53" s="56" t="s">
        <v>157</v>
      </c>
      <c r="AR53" s="56" t="s">
        <v>157</v>
      </c>
      <c r="AS53" s="56" t="s">
        <v>157</v>
      </c>
      <c r="AT53" s="56" t="s">
        <v>157</v>
      </c>
      <c r="AU53" s="56" t="s">
        <v>157</v>
      </c>
      <c r="AV53" s="56" t="s">
        <v>157</v>
      </c>
      <c r="AW53" s="56" t="s">
        <v>157</v>
      </c>
      <c r="AX53" s="56" t="s">
        <v>157</v>
      </c>
      <c r="AY53" s="56" t="s">
        <v>157</v>
      </c>
      <c r="AZ53" s="56" t="s">
        <v>157</v>
      </c>
      <c r="BA53" s="56"/>
      <c r="BB53" s="92"/>
    </row>
    <row r="54" spans="1:54" ht="15.75" customHeight="1">
      <c r="A54" s="47" t="s">
        <v>255</v>
      </c>
      <c r="B54" s="56" t="s">
        <v>157</v>
      </c>
      <c r="C54" s="56" t="s">
        <v>157</v>
      </c>
      <c r="D54" s="56" t="s">
        <v>157</v>
      </c>
      <c r="E54" s="56" t="s">
        <v>157</v>
      </c>
      <c r="F54" s="56" t="s">
        <v>157</v>
      </c>
      <c r="G54" s="56" t="s">
        <v>157</v>
      </c>
      <c r="H54" s="56" t="s">
        <v>157</v>
      </c>
      <c r="I54" s="56" t="s">
        <v>157</v>
      </c>
      <c r="J54" s="56" t="s">
        <v>157</v>
      </c>
      <c r="K54" s="56" t="s">
        <v>157</v>
      </c>
      <c r="L54" s="56" t="s">
        <v>157</v>
      </c>
      <c r="M54" s="56" t="s">
        <v>157</v>
      </c>
      <c r="N54" s="56" t="s">
        <v>157</v>
      </c>
      <c r="O54" s="56" t="s">
        <v>157</v>
      </c>
      <c r="P54" s="56" t="s">
        <v>157</v>
      </c>
      <c r="Q54" s="56" t="s">
        <v>157</v>
      </c>
      <c r="R54" s="56" t="s">
        <v>157</v>
      </c>
      <c r="S54" s="56" t="s">
        <v>157</v>
      </c>
      <c r="T54" s="56" t="s">
        <v>157</v>
      </c>
      <c r="U54" s="56" t="s">
        <v>157</v>
      </c>
      <c r="V54" s="56" t="s">
        <v>157</v>
      </c>
      <c r="W54" s="56" t="s">
        <v>157</v>
      </c>
      <c r="X54" s="56" t="s">
        <v>157</v>
      </c>
      <c r="Y54" s="56" t="s">
        <v>157</v>
      </c>
      <c r="Z54" s="56" t="s">
        <v>157</v>
      </c>
      <c r="AA54" s="56" t="s">
        <v>157</v>
      </c>
      <c r="AB54" s="56" t="s">
        <v>157</v>
      </c>
      <c r="AC54" s="56" t="s">
        <v>157</v>
      </c>
      <c r="AD54" s="56" t="s">
        <v>157</v>
      </c>
      <c r="AE54" s="56" t="s">
        <v>157</v>
      </c>
      <c r="AF54" s="56" t="s">
        <v>157</v>
      </c>
      <c r="AG54" s="56" t="s">
        <v>157</v>
      </c>
      <c r="AH54" s="56" t="s">
        <v>157</v>
      </c>
      <c r="AI54" s="56" t="s">
        <v>157</v>
      </c>
      <c r="AJ54" s="56" t="s">
        <v>157</v>
      </c>
      <c r="AK54" s="56">
        <f>IFERROR(AK53/AK52,0)</f>
        <v>0.25</v>
      </c>
      <c r="AL54" s="56" t="s">
        <v>157</v>
      </c>
      <c r="AM54" s="56" t="s">
        <v>157</v>
      </c>
      <c r="AN54" s="56">
        <f>IFERROR(AN53/AN52,0)</f>
        <v>0.20791666666666667</v>
      </c>
      <c r="AO54" s="56" t="s">
        <v>157</v>
      </c>
      <c r="AP54" s="56" t="s">
        <v>157</v>
      </c>
      <c r="AQ54" s="56" t="s">
        <v>157</v>
      </c>
      <c r="AR54" s="56" t="s">
        <v>157</v>
      </c>
      <c r="AS54" s="56" t="s">
        <v>157</v>
      </c>
      <c r="AT54" s="56" t="s">
        <v>157</v>
      </c>
      <c r="AU54" s="56" t="s">
        <v>157</v>
      </c>
      <c r="AV54" s="56" t="s">
        <v>157</v>
      </c>
      <c r="AW54" s="56" t="s">
        <v>157</v>
      </c>
      <c r="AX54" s="56" t="s">
        <v>157</v>
      </c>
      <c r="AY54" s="56" t="s">
        <v>157</v>
      </c>
      <c r="AZ54" s="56" t="s">
        <v>157</v>
      </c>
      <c r="BA54" s="56"/>
      <c r="BB54" s="92"/>
    </row>
    <row r="55" spans="1:54" ht="15.75" customHeight="1">
      <c r="A55" s="71"/>
      <c r="B55" s="72"/>
      <c r="C55" s="72"/>
      <c r="D55" s="72"/>
      <c r="E55" s="72"/>
      <c r="F55" s="72"/>
      <c r="G55" s="72"/>
      <c r="H55" s="72"/>
      <c r="I55" s="72"/>
      <c r="J55" s="121"/>
      <c r="K55" s="121"/>
      <c r="L55" s="72"/>
      <c r="M55" s="121"/>
      <c r="N55" s="121"/>
      <c r="O55" s="72"/>
      <c r="P55" s="72"/>
      <c r="Q55" s="72"/>
      <c r="R55" s="72"/>
      <c r="S55" s="72"/>
      <c r="T55" s="121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121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80"/>
    </row>
    <row r="56" spans="1:54" ht="15.75" customHeight="1">
      <c r="A56" s="71"/>
      <c r="B56" s="72"/>
      <c r="C56" s="72"/>
      <c r="D56" s="72"/>
      <c r="E56" s="72"/>
      <c r="F56" s="72"/>
      <c r="G56" s="72"/>
      <c r="H56" s="72" t="s">
        <v>263</v>
      </c>
      <c r="I56" s="72"/>
      <c r="J56" s="121"/>
      <c r="K56" s="72"/>
      <c r="L56" s="72"/>
      <c r="M56" s="72" t="s">
        <v>263</v>
      </c>
      <c r="N56" s="121"/>
      <c r="O56" s="72"/>
      <c r="P56" s="56" t="s">
        <v>264</v>
      </c>
      <c r="Q56" s="72"/>
      <c r="R56" s="72"/>
      <c r="S56" s="72"/>
      <c r="T56" s="121"/>
      <c r="U56" s="72"/>
      <c r="V56" s="72"/>
      <c r="W56" s="72"/>
      <c r="X56" s="72"/>
      <c r="Y56" s="72"/>
      <c r="Z56" s="72"/>
      <c r="AB56" s="72"/>
      <c r="AC56" s="72"/>
      <c r="AD56" s="72"/>
      <c r="AE56" s="72"/>
      <c r="AF56" s="72"/>
      <c r="AG56" s="72"/>
      <c r="AH56" s="72"/>
      <c r="AI56" s="121"/>
      <c r="AJ56" s="72"/>
      <c r="AK56" s="72"/>
      <c r="AL56" s="72"/>
      <c r="AM56" s="72"/>
      <c r="AN56" s="72"/>
      <c r="AO56" s="72"/>
      <c r="AP56" s="72"/>
      <c r="AQ56" s="90"/>
      <c r="AR56" s="72"/>
      <c r="AS56" s="72"/>
      <c r="AT56" s="72"/>
      <c r="AU56" s="72"/>
      <c r="AV56" s="72"/>
      <c r="AW56" s="72"/>
      <c r="AX56" s="72"/>
      <c r="AY56" s="72"/>
      <c r="AZ56" s="56"/>
      <c r="BA56" s="72"/>
      <c r="BB56" s="80"/>
    </row>
    <row r="57" spans="1:54" ht="15.75" customHeight="1">
      <c r="A57" s="71"/>
      <c r="B57" s="72"/>
      <c r="C57" s="72"/>
      <c r="D57" s="72"/>
      <c r="E57" s="72"/>
      <c r="F57" s="72"/>
      <c r="G57" s="72"/>
      <c r="H57" s="72" t="s">
        <v>265</v>
      </c>
      <c r="I57" s="72"/>
      <c r="J57" s="121"/>
      <c r="K57" s="72"/>
      <c r="L57" s="72"/>
      <c r="M57" s="121" t="s">
        <v>266</v>
      </c>
      <c r="N57" s="121"/>
      <c r="O57" s="72"/>
      <c r="P57" s="51">
        <v>250000</v>
      </c>
      <c r="Q57" s="72"/>
      <c r="R57" s="72"/>
      <c r="S57" s="72"/>
      <c r="T57" s="121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121"/>
      <c r="AJ57" s="72"/>
      <c r="AK57" s="72"/>
      <c r="AL57" s="72"/>
      <c r="AM57" s="72" t="s">
        <v>267</v>
      </c>
      <c r="AN57" s="72"/>
      <c r="AO57" s="72"/>
      <c r="AP57" s="72"/>
      <c r="AQ57" s="90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80"/>
    </row>
    <row r="58" spans="1:54" ht="15.75" customHeight="1">
      <c r="A58" s="71" t="s">
        <v>268</v>
      </c>
      <c r="B58" s="72"/>
      <c r="C58" s="72" t="s">
        <v>269</v>
      </c>
      <c r="D58" s="72"/>
      <c r="E58" s="72" t="s">
        <v>266</v>
      </c>
      <c r="F58" s="72" t="s">
        <v>270</v>
      </c>
      <c r="G58" s="72"/>
      <c r="H58" s="72" t="s">
        <v>271</v>
      </c>
      <c r="I58" s="72"/>
      <c r="J58" s="121"/>
      <c r="K58" s="72"/>
      <c r="L58" s="72"/>
      <c r="M58" s="72" t="s">
        <v>272</v>
      </c>
      <c r="N58" s="72"/>
      <c r="O58" s="72"/>
      <c r="P58" s="51">
        <f t="shared" ref="P58:P62" si="4">3750000/5</f>
        <v>750000</v>
      </c>
      <c r="Q58" s="72" t="s">
        <v>273</v>
      </c>
      <c r="R58" s="72"/>
      <c r="S58" s="72"/>
      <c r="T58" s="121"/>
      <c r="U58" s="72" t="s">
        <v>266</v>
      </c>
      <c r="V58" s="72" t="s">
        <v>273</v>
      </c>
      <c r="W58" s="72" t="s">
        <v>266</v>
      </c>
      <c r="X58" s="72" t="s">
        <v>274</v>
      </c>
      <c r="Y58" s="72" t="s">
        <v>273</v>
      </c>
      <c r="Z58" s="72" t="s">
        <v>275</v>
      </c>
      <c r="AA58" s="121" t="s">
        <v>276</v>
      </c>
      <c r="AB58" s="72" t="s">
        <v>273</v>
      </c>
      <c r="AC58" s="136" t="s">
        <v>277</v>
      </c>
      <c r="AD58" s="72" t="s">
        <v>273</v>
      </c>
      <c r="AE58" s="72" t="s">
        <v>273</v>
      </c>
      <c r="AF58" s="72" t="s">
        <v>273</v>
      </c>
      <c r="AG58" s="72" t="s">
        <v>278</v>
      </c>
      <c r="AH58" s="72" t="s">
        <v>279</v>
      </c>
      <c r="AI58" s="121" t="s">
        <v>273</v>
      </c>
      <c r="AJ58" s="72" t="s">
        <v>266</v>
      </c>
      <c r="AK58" s="72" t="s">
        <v>280</v>
      </c>
      <c r="AL58" s="72">
        <v>300</v>
      </c>
      <c r="AM58" s="137">
        <f>AL58/Inputs!AM49</f>
        <v>15</v>
      </c>
      <c r="AN58" s="72"/>
      <c r="AO58" s="72"/>
      <c r="AP58" s="72"/>
      <c r="AQ58" s="90"/>
      <c r="AR58" s="72"/>
      <c r="AS58" s="88" t="s">
        <v>281</v>
      </c>
      <c r="AT58" s="72"/>
      <c r="AU58" s="72"/>
      <c r="AV58" s="72"/>
      <c r="AW58" s="72"/>
      <c r="AX58" s="72"/>
      <c r="AY58" s="72"/>
      <c r="AZ58" s="72"/>
      <c r="BA58" s="72"/>
      <c r="BB58" s="80"/>
    </row>
    <row r="59" spans="1:54" ht="15.75" customHeight="1">
      <c r="A59" s="71"/>
      <c r="B59" s="72"/>
      <c r="C59" s="72" t="s">
        <v>282</v>
      </c>
      <c r="D59" s="72"/>
      <c r="E59" s="72" t="s">
        <v>272</v>
      </c>
      <c r="F59" s="72" t="s">
        <v>283</v>
      </c>
      <c r="G59" s="72"/>
      <c r="H59" s="72" t="s">
        <v>284</v>
      </c>
      <c r="I59" s="72"/>
      <c r="J59" s="121"/>
      <c r="K59" s="72"/>
      <c r="L59" s="72"/>
      <c r="M59" s="72" t="s">
        <v>285</v>
      </c>
      <c r="N59" s="72"/>
      <c r="O59" s="72"/>
      <c r="P59" s="51">
        <f t="shared" si="4"/>
        <v>750000</v>
      </c>
      <c r="Q59" s="72" t="s">
        <v>286</v>
      </c>
      <c r="R59" s="72"/>
      <c r="S59" s="72"/>
      <c r="T59" s="121"/>
      <c r="U59" s="72" t="s">
        <v>287</v>
      </c>
      <c r="V59" s="72" t="s">
        <v>286</v>
      </c>
      <c r="W59" s="72" t="s">
        <v>272</v>
      </c>
      <c r="X59" s="72" t="s">
        <v>288</v>
      </c>
      <c r="Y59" s="72" t="s">
        <v>286</v>
      </c>
      <c r="Z59" s="72" t="s">
        <v>289</v>
      </c>
      <c r="AA59" s="72" t="s">
        <v>290</v>
      </c>
      <c r="AB59" s="72" t="s">
        <v>286</v>
      </c>
      <c r="AC59" s="136" t="s">
        <v>291</v>
      </c>
      <c r="AD59" s="72" t="s">
        <v>286</v>
      </c>
      <c r="AE59" s="72" t="s">
        <v>286</v>
      </c>
      <c r="AF59" s="72" t="s">
        <v>286</v>
      </c>
      <c r="AG59" s="72" t="s">
        <v>292</v>
      </c>
      <c r="AH59" s="72" t="s">
        <v>293</v>
      </c>
      <c r="AI59" s="72" t="s">
        <v>286</v>
      </c>
      <c r="AJ59" s="72" t="s">
        <v>272</v>
      </c>
      <c r="AK59" s="72" t="s">
        <v>294</v>
      </c>
      <c r="AL59" s="72">
        <v>50000</v>
      </c>
      <c r="AM59" s="137">
        <f>AL59/AL42*AL43</f>
        <v>16.650000000000002</v>
      </c>
      <c r="AN59" s="72"/>
      <c r="AO59" s="72"/>
      <c r="AP59" s="138"/>
      <c r="AQ59" s="90"/>
      <c r="AR59" s="72"/>
      <c r="AS59" s="139">
        <v>0.05</v>
      </c>
      <c r="AT59" s="72"/>
      <c r="AU59" s="72"/>
      <c r="AV59" s="72"/>
      <c r="AW59" s="72"/>
      <c r="AX59" s="72"/>
      <c r="AY59" s="72"/>
      <c r="AZ59" s="72"/>
      <c r="BA59" s="72"/>
      <c r="BB59" s="80"/>
    </row>
    <row r="60" spans="1:54" ht="15.75" customHeight="1">
      <c r="A60" s="71"/>
      <c r="B60" s="72"/>
      <c r="C60" s="72" t="s">
        <v>295</v>
      </c>
      <c r="D60" s="72"/>
      <c r="E60" s="72" t="s">
        <v>285</v>
      </c>
      <c r="F60" s="72" t="s">
        <v>296</v>
      </c>
      <c r="G60" s="72"/>
      <c r="H60" s="72" t="s">
        <v>297</v>
      </c>
      <c r="I60" s="72"/>
      <c r="J60" s="121"/>
      <c r="K60" s="72"/>
      <c r="L60" s="72"/>
      <c r="M60" s="72" t="s">
        <v>298</v>
      </c>
      <c r="N60" s="72"/>
      <c r="O60" s="72"/>
      <c r="P60" s="51">
        <f t="shared" si="4"/>
        <v>750000</v>
      </c>
      <c r="Q60" s="72" t="s">
        <v>299</v>
      </c>
      <c r="R60" s="72"/>
      <c r="S60" s="72"/>
      <c r="T60" s="72"/>
      <c r="U60" s="72" t="s">
        <v>300</v>
      </c>
      <c r="V60" s="72" t="s">
        <v>299</v>
      </c>
      <c r="W60" s="72" t="s">
        <v>285</v>
      </c>
      <c r="X60" s="72" t="s">
        <v>301</v>
      </c>
      <c r="Y60" s="72" t="s">
        <v>299</v>
      </c>
      <c r="Z60" s="72" t="s">
        <v>302</v>
      </c>
      <c r="AA60" s="72" t="s">
        <v>303</v>
      </c>
      <c r="AB60" s="72" t="s">
        <v>299</v>
      </c>
      <c r="AC60" s="136" t="s">
        <v>304</v>
      </c>
      <c r="AD60" s="72" t="s">
        <v>299</v>
      </c>
      <c r="AE60" s="72" t="s">
        <v>299</v>
      </c>
      <c r="AF60" s="72" t="s">
        <v>299</v>
      </c>
      <c r="AG60" s="72" t="s">
        <v>305</v>
      </c>
      <c r="AH60" s="72" t="s">
        <v>306</v>
      </c>
      <c r="AI60" s="72" t="s">
        <v>299</v>
      </c>
      <c r="AJ60" s="72" t="s">
        <v>285</v>
      </c>
      <c r="AK60" s="72" t="s">
        <v>307</v>
      </c>
      <c r="AL60" s="72">
        <v>30</v>
      </c>
      <c r="AM60" s="137">
        <f>AL60/AK47*AK48</f>
        <v>2.9849999999999999</v>
      </c>
      <c r="AN60" s="72"/>
      <c r="AO60" s="72"/>
      <c r="AP60" s="72"/>
      <c r="AQ60" s="90"/>
      <c r="AR60" s="72"/>
      <c r="AS60" s="139">
        <v>0.15</v>
      </c>
      <c r="AT60" s="72"/>
      <c r="AU60" s="72"/>
      <c r="AV60" s="72"/>
      <c r="AW60" s="72"/>
      <c r="AX60" s="72"/>
      <c r="AY60" s="72"/>
      <c r="AZ60" s="72"/>
      <c r="BA60" s="72"/>
      <c r="BB60" s="80"/>
    </row>
    <row r="61" spans="1:54" ht="15.75" customHeight="1">
      <c r="A61" s="71"/>
      <c r="B61" s="72"/>
      <c r="C61" s="72" t="s">
        <v>308</v>
      </c>
      <c r="D61" s="72"/>
      <c r="E61" s="72" t="s">
        <v>298</v>
      </c>
      <c r="F61" s="72" t="s">
        <v>309</v>
      </c>
      <c r="G61" s="72"/>
      <c r="H61" s="72" t="s">
        <v>310</v>
      </c>
      <c r="I61" s="72"/>
      <c r="J61" s="121"/>
      <c r="K61" s="72"/>
      <c r="L61" s="72"/>
      <c r="M61" s="72" t="s">
        <v>311</v>
      </c>
      <c r="N61" s="72"/>
      <c r="O61" s="72"/>
      <c r="P61" s="51">
        <f t="shared" si="4"/>
        <v>750000</v>
      </c>
      <c r="Q61" s="72" t="s">
        <v>312</v>
      </c>
      <c r="R61" s="72"/>
      <c r="S61" s="72"/>
      <c r="T61" s="72"/>
      <c r="U61" s="72" t="s">
        <v>312</v>
      </c>
      <c r="V61" s="72" t="s">
        <v>312</v>
      </c>
      <c r="W61" s="72" t="s">
        <v>298</v>
      </c>
      <c r="X61" s="72" t="s">
        <v>313</v>
      </c>
      <c r="Y61" s="72" t="s">
        <v>312</v>
      </c>
      <c r="Z61" s="72" t="s">
        <v>314</v>
      </c>
      <c r="AA61" s="72" t="s">
        <v>315</v>
      </c>
      <c r="AB61" s="72" t="s">
        <v>312</v>
      </c>
      <c r="AC61" s="136" t="s">
        <v>316</v>
      </c>
      <c r="AD61" s="72" t="s">
        <v>312</v>
      </c>
      <c r="AE61" s="72" t="s">
        <v>312</v>
      </c>
      <c r="AF61" s="72" t="s">
        <v>312</v>
      </c>
      <c r="AG61" s="72" t="s">
        <v>317</v>
      </c>
      <c r="AH61" s="72" t="s">
        <v>318</v>
      </c>
      <c r="AI61" s="72" t="s">
        <v>312</v>
      </c>
      <c r="AJ61" s="72" t="s">
        <v>298</v>
      </c>
      <c r="AK61" s="72"/>
      <c r="AL61" s="72"/>
      <c r="AM61" s="137">
        <f>SUM(AM58:AM60)</f>
        <v>34.635000000000005</v>
      </c>
      <c r="AN61" s="72"/>
      <c r="AO61" s="72"/>
      <c r="AP61" s="72"/>
      <c r="AQ61" s="90"/>
      <c r="AR61" s="72"/>
      <c r="AS61" s="139">
        <v>0.25</v>
      </c>
      <c r="AT61" s="72"/>
      <c r="AU61" s="72"/>
      <c r="AV61" s="72"/>
      <c r="AW61" s="72"/>
      <c r="AX61" s="72"/>
      <c r="AY61" s="72"/>
      <c r="AZ61" s="72"/>
      <c r="BA61" s="72"/>
      <c r="BB61" s="80"/>
    </row>
    <row r="62" spans="1:54" ht="15.75" customHeight="1">
      <c r="A62" s="71"/>
      <c r="B62" s="72"/>
      <c r="C62" s="72" t="s">
        <v>319</v>
      </c>
      <c r="D62" s="72"/>
      <c r="E62" s="72" t="s">
        <v>311</v>
      </c>
      <c r="F62" s="72" t="s">
        <v>320</v>
      </c>
      <c r="G62" s="72"/>
      <c r="H62" s="72"/>
      <c r="I62" s="72"/>
      <c r="J62" s="121"/>
      <c r="K62" s="121"/>
      <c r="L62" s="72"/>
      <c r="M62" s="121"/>
      <c r="N62" s="72"/>
      <c r="O62" s="72"/>
      <c r="P62" s="51">
        <f t="shared" si="4"/>
        <v>750000</v>
      </c>
      <c r="Q62" s="72" t="s">
        <v>321</v>
      </c>
      <c r="R62" s="72"/>
      <c r="S62" s="72"/>
      <c r="T62" s="72"/>
      <c r="U62" s="72" t="s">
        <v>321</v>
      </c>
      <c r="V62" s="72" t="s">
        <v>321</v>
      </c>
      <c r="W62" s="72" t="s">
        <v>311</v>
      </c>
      <c r="X62" s="72" t="s">
        <v>322</v>
      </c>
      <c r="Y62" s="72" t="s">
        <v>321</v>
      </c>
      <c r="Z62" s="72" t="s">
        <v>323</v>
      </c>
      <c r="AA62" s="118" t="s">
        <v>324</v>
      </c>
      <c r="AB62" s="72" t="s">
        <v>321</v>
      </c>
      <c r="AC62" s="136" t="s">
        <v>325</v>
      </c>
      <c r="AD62" s="72" t="s">
        <v>321</v>
      </c>
      <c r="AE62" s="72" t="s">
        <v>321</v>
      </c>
      <c r="AF62" s="72" t="s">
        <v>321</v>
      </c>
      <c r="AG62" s="72" t="s">
        <v>326</v>
      </c>
      <c r="AH62" s="72" t="s">
        <v>327</v>
      </c>
      <c r="AI62" s="72" t="s">
        <v>321</v>
      </c>
      <c r="AJ62" s="72" t="s">
        <v>328</v>
      </c>
      <c r="AK62" s="72"/>
      <c r="AL62" s="72"/>
      <c r="AM62" s="72"/>
      <c r="AN62" s="72"/>
      <c r="AO62" s="72"/>
      <c r="AP62" s="72"/>
      <c r="AQ62" s="90"/>
      <c r="AR62" s="72"/>
      <c r="AS62" s="139">
        <v>0.4</v>
      </c>
      <c r="AT62" s="72"/>
      <c r="AU62" s="72"/>
      <c r="AV62" s="72"/>
      <c r="AW62" s="72"/>
      <c r="AX62" s="72"/>
      <c r="AY62" s="72"/>
      <c r="AZ62" s="72"/>
      <c r="BA62" s="72"/>
      <c r="BB62" s="80"/>
    </row>
    <row r="63" spans="1:54" ht="15.75" customHeight="1">
      <c r="A63" s="71"/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51">
        <f t="shared" ref="P63:P81" si="5">14250000/19</f>
        <v>750000</v>
      </c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90"/>
      <c r="AR63" s="72"/>
      <c r="AS63" s="139">
        <v>0.55000000000000004</v>
      </c>
      <c r="AT63" s="72"/>
      <c r="AU63" s="72"/>
      <c r="AV63" s="72"/>
      <c r="AW63" s="72"/>
      <c r="AX63" s="72"/>
      <c r="AY63" s="72"/>
      <c r="AZ63" s="72"/>
      <c r="BA63" s="72"/>
      <c r="BB63" s="80"/>
    </row>
    <row r="64" spans="1:54" ht="15.75" customHeight="1">
      <c r="A64" s="71"/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51">
        <f t="shared" si="5"/>
        <v>750000</v>
      </c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90"/>
      <c r="AR64" s="72"/>
      <c r="AS64" s="121"/>
      <c r="AT64" s="72"/>
      <c r="AU64" s="72"/>
      <c r="AV64" s="72"/>
      <c r="AW64" s="72"/>
      <c r="AX64" s="72"/>
      <c r="AY64" s="72"/>
      <c r="AZ64" s="72"/>
      <c r="BA64" s="72"/>
      <c r="BB64" s="80"/>
    </row>
    <row r="65" spans="1:54" ht="15.75" customHeight="1">
      <c r="A65" s="71"/>
      <c r="B65" s="72"/>
      <c r="C65" s="72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51">
        <f t="shared" si="5"/>
        <v>750000</v>
      </c>
      <c r="Q65" s="72"/>
      <c r="R65" s="72"/>
      <c r="S65" s="72"/>
      <c r="T65" s="72"/>
      <c r="U65" s="72"/>
      <c r="V65" s="72"/>
      <c r="W65" s="72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90"/>
      <c r="AR65" s="72"/>
      <c r="AS65" s="72">
        <v>165000</v>
      </c>
      <c r="AT65" s="72"/>
      <c r="AU65" s="72"/>
      <c r="AV65" s="72"/>
      <c r="AW65" s="72"/>
      <c r="AX65" s="72"/>
      <c r="AY65" s="72"/>
      <c r="AZ65" s="72"/>
      <c r="BA65" s="72"/>
      <c r="BB65" s="80"/>
    </row>
    <row r="66" spans="1:54" ht="15.75" customHeight="1">
      <c r="A66" s="71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51">
        <f t="shared" si="5"/>
        <v>750000</v>
      </c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90"/>
      <c r="AR66" s="72"/>
      <c r="AS66" s="118"/>
      <c r="AT66" s="140">
        <f>AS65/1.05</f>
        <v>157142.85714285713</v>
      </c>
      <c r="AU66" s="72"/>
      <c r="AV66" s="72"/>
      <c r="AW66" s="72"/>
      <c r="AX66" s="72"/>
      <c r="AY66" s="72"/>
      <c r="AZ66" s="72"/>
      <c r="BA66" s="72"/>
      <c r="BB66" s="80"/>
    </row>
    <row r="67" spans="1:54" ht="15.75" customHeight="1">
      <c r="A67" s="71"/>
      <c r="B67" s="72"/>
      <c r="C67" s="72"/>
      <c r="D67" s="72"/>
      <c r="E67" s="72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51">
        <f t="shared" si="5"/>
        <v>750000</v>
      </c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118"/>
      <c r="AT67" s="140">
        <f>AT66*0.05</f>
        <v>7857.1428571428569</v>
      </c>
      <c r="AU67" s="72"/>
      <c r="AV67" s="72"/>
      <c r="AW67" s="72"/>
      <c r="AX67" s="72"/>
      <c r="AY67" s="72"/>
      <c r="AZ67" s="72"/>
      <c r="BA67" s="72"/>
      <c r="BB67" s="80"/>
    </row>
    <row r="68" spans="1:54" ht="15.75" customHeight="1">
      <c r="A68" s="71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51">
        <f t="shared" si="5"/>
        <v>750000</v>
      </c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140">
        <f>AT67+AT66</f>
        <v>165000</v>
      </c>
      <c r="AU68" s="72"/>
      <c r="AV68" s="72"/>
      <c r="AW68" s="72"/>
      <c r="AX68" s="72"/>
      <c r="AY68" s="72"/>
      <c r="AZ68" s="72"/>
      <c r="BA68" s="72"/>
      <c r="BB68" s="80"/>
    </row>
    <row r="69" spans="1:54" ht="15.75" customHeight="1">
      <c r="A69" s="71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51">
        <f t="shared" si="5"/>
        <v>750000</v>
      </c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80"/>
    </row>
    <row r="70" spans="1:54" ht="15.75" customHeight="1">
      <c r="A70" s="71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51">
        <f t="shared" si="5"/>
        <v>750000</v>
      </c>
      <c r="Q70" s="72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80"/>
    </row>
    <row r="71" spans="1:54" ht="15.75" customHeight="1">
      <c r="A71" s="7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51">
        <f t="shared" si="5"/>
        <v>750000</v>
      </c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80"/>
    </row>
    <row r="72" spans="1:54" ht="15.75" customHeight="1">
      <c r="A72" s="71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51">
        <f t="shared" si="5"/>
        <v>750000</v>
      </c>
      <c r="Q72" s="72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80"/>
    </row>
    <row r="73" spans="1:54" ht="15.75" customHeight="1">
      <c r="A73" s="71"/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51">
        <f t="shared" si="5"/>
        <v>750000</v>
      </c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80"/>
    </row>
    <row r="74" spans="1:54" ht="15.75" customHeight="1">
      <c r="A74" s="71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51">
        <f t="shared" si="5"/>
        <v>750000</v>
      </c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80"/>
    </row>
    <row r="75" spans="1:54" ht="15.75" customHeight="1">
      <c r="A75" s="71"/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72"/>
      <c r="M75" s="72"/>
      <c r="N75" s="72"/>
      <c r="O75" s="72"/>
      <c r="P75" s="51">
        <f t="shared" si="5"/>
        <v>750000</v>
      </c>
      <c r="Q75" s="72"/>
      <c r="R75" s="72"/>
      <c r="S75" s="72"/>
      <c r="T75" s="72"/>
      <c r="U75" s="72"/>
      <c r="V75" s="72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80"/>
    </row>
    <row r="76" spans="1:54" ht="15.75" customHeight="1">
      <c r="A76" s="71"/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51">
        <f t="shared" si="5"/>
        <v>750000</v>
      </c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80"/>
    </row>
    <row r="77" spans="1:54" ht="15.75" customHeight="1">
      <c r="A77" s="71"/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51">
        <f t="shared" si="5"/>
        <v>750000</v>
      </c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80"/>
    </row>
    <row r="78" spans="1:54" ht="15.75" customHeight="1">
      <c r="A78" s="71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51">
        <f t="shared" si="5"/>
        <v>750000</v>
      </c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80"/>
    </row>
    <row r="79" spans="1:54" ht="15.75" customHeight="1">
      <c r="A79" s="71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51">
        <f t="shared" si="5"/>
        <v>750000</v>
      </c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80"/>
    </row>
    <row r="80" spans="1:54" ht="15.75" customHeight="1">
      <c r="A80" s="71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51">
        <f t="shared" si="5"/>
        <v>750000</v>
      </c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80"/>
    </row>
    <row r="81" spans="1:54" ht="15.75" customHeight="1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51">
        <f t="shared" si="5"/>
        <v>750000</v>
      </c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80"/>
    </row>
    <row r="82" spans="1:54" ht="15.75" customHeight="1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80"/>
    </row>
    <row r="83" spans="1:54" ht="15.75" customHeight="1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51">
        <f>AVERAGE(P57:P66)</f>
        <v>700000</v>
      </c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80"/>
    </row>
    <row r="84" spans="1:54" ht="15.75" customHeight="1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80"/>
    </row>
    <row r="85" spans="1:54" ht="15.75" customHeight="1">
      <c r="A85" s="71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80"/>
    </row>
    <row r="86" spans="1:54" ht="15.75" customHeight="1">
      <c r="A86" s="71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80"/>
    </row>
    <row r="87" spans="1:54" ht="15.75" customHeight="1">
      <c r="A87" s="71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80"/>
    </row>
    <row r="88" spans="1:54" ht="15.75" customHeight="1">
      <c r="A88" s="71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80"/>
    </row>
    <row r="89" spans="1:54" ht="15.75" customHeight="1">
      <c r="A89" s="71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80"/>
    </row>
    <row r="90" spans="1:54" ht="15.75" customHeight="1">
      <c r="A90" s="71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80"/>
    </row>
    <row r="91" spans="1:54" ht="15.75" customHeight="1">
      <c r="A91" s="71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80"/>
    </row>
    <row r="92" spans="1:54" ht="15.75" customHeight="1">
      <c r="A92" s="71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80"/>
    </row>
    <row r="93" spans="1:54" ht="15.75" customHeight="1">
      <c r="A93" s="71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80"/>
    </row>
    <row r="94" spans="1:54" ht="15.75" customHeight="1">
      <c r="A94" s="71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80"/>
    </row>
    <row r="95" spans="1:54" ht="15.75" customHeight="1">
      <c r="A95" s="71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80"/>
    </row>
    <row r="96" spans="1:54" ht="15.75" customHeight="1">
      <c r="A96" s="71"/>
      <c r="B96" s="72"/>
      <c r="C96" s="72"/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80"/>
    </row>
    <row r="97" spans="1:54" ht="15.75" customHeight="1">
      <c r="A97" s="71"/>
      <c r="B97" s="72"/>
      <c r="C97" s="72"/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80"/>
    </row>
    <row r="98" spans="1:54" ht="15.75" customHeight="1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80"/>
    </row>
    <row r="99" spans="1:54" ht="15.75" customHeight="1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80"/>
    </row>
    <row r="100" spans="1:54" ht="15.75" customHeight="1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80"/>
    </row>
    <row r="101" spans="1:54" ht="15.75" customHeight="1">
      <c r="A101" s="71"/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80"/>
    </row>
    <row r="102" spans="1:54" ht="15.75" customHeight="1">
      <c r="A102" s="71"/>
      <c r="B102" s="72"/>
      <c r="C102" s="72"/>
      <c r="D102" s="72"/>
      <c r="E102" s="72"/>
      <c r="F102" s="72"/>
      <c r="G102" s="72"/>
      <c r="H102" s="72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72"/>
      <c r="AK102" s="72"/>
      <c r="AL102" s="72"/>
      <c r="AM102" s="72"/>
      <c r="AN102" s="72"/>
      <c r="AO102" s="72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80"/>
    </row>
    <row r="103" spans="1:54" ht="15.75" customHeight="1">
      <c r="A103" s="71"/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72"/>
      <c r="AK103" s="72"/>
      <c r="AL103" s="72"/>
      <c r="AM103" s="72"/>
      <c r="AN103" s="72"/>
      <c r="AO103" s="72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80"/>
    </row>
    <row r="104" spans="1:54" ht="15.75" customHeight="1">
      <c r="A104" s="71"/>
      <c r="B104" s="72"/>
      <c r="C104" s="72"/>
      <c r="D104" s="72"/>
      <c r="E104" s="72"/>
      <c r="F104" s="72"/>
      <c r="G104" s="72"/>
      <c r="H104" s="72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  <c r="AA104" s="72"/>
      <c r="AB104" s="72"/>
      <c r="AC104" s="72"/>
      <c r="AD104" s="72"/>
      <c r="AE104" s="72"/>
      <c r="AF104" s="72"/>
      <c r="AG104" s="72"/>
      <c r="AH104" s="72"/>
      <c r="AI104" s="72"/>
      <c r="AJ104" s="72"/>
      <c r="AK104" s="72"/>
      <c r="AL104" s="72"/>
      <c r="AM104" s="72"/>
      <c r="AN104" s="72"/>
      <c r="AO104" s="72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80"/>
    </row>
    <row r="105" spans="1:54" ht="15.75" customHeight="1">
      <c r="A105" s="71"/>
      <c r="B105" s="72"/>
      <c r="C105" s="72"/>
      <c r="D105" s="72"/>
      <c r="E105" s="72"/>
      <c r="F105" s="72"/>
      <c r="G105" s="72"/>
      <c r="H105" s="72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  <c r="AA105" s="72"/>
      <c r="AB105" s="72"/>
      <c r="AC105" s="72"/>
      <c r="AD105" s="72"/>
      <c r="AE105" s="72"/>
      <c r="AF105" s="72"/>
      <c r="AG105" s="72"/>
      <c r="AH105" s="72"/>
      <c r="AI105" s="72"/>
      <c r="AJ105" s="72"/>
      <c r="AK105" s="72"/>
      <c r="AL105" s="72"/>
      <c r="AM105" s="72"/>
      <c r="AN105" s="72"/>
      <c r="AO105" s="72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80"/>
    </row>
    <row r="106" spans="1:54" ht="15.75" customHeight="1">
      <c r="A106" s="71"/>
      <c r="B106" s="72"/>
      <c r="C106" s="72"/>
      <c r="D106" s="72"/>
      <c r="E106" s="72"/>
      <c r="F106" s="72"/>
      <c r="G106" s="72"/>
      <c r="H106" s="72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80"/>
    </row>
    <row r="107" spans="1:54" ht="15.75" customHeight="1">
      <c r="A107" s="71"/>
      <c r="B107" s="72"/>
      <c r="C107" s="72"/>
      <c r="D107" s="72"/>
      <c r="E107" s="72"/>
      <c r="F107" s="72"/>
      <c r="G107" s="72"/>
      <c r="H107" s="72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  <c r="AA107" s="72"/>
      <c r="AB107" s="72"/>
      <c r="AC107" s="72"/>
      <c r="AD107" s="72"/>
      <c r="AE107" s="72"/>
      <c r="AF107" s="72"/>
      <c r="AG107" s="72"/>
      <c r="AH107" s="72"/>
      <c r="AI107" s="72"/>
      <c r="AJ107" s="72"/>
      <c r="AK107" s="72"/>
      <c r="AL107" s="72"/>
      <c r="AM107" s="72"/>
      <c r="AN107" s="72"/>
      <c r="AO107" s="72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80"/>
    </row>
    <row r="108" spans="1:54" ht="15.75" customHeight="1">
      <c r="A108" s="71"/>
      <c r="B108" s="72"/>
      <c r="C108" s="72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80"/>
    </row>
    <row r="109" spans="1:54" ht="15.75" customHeight="1">
      <c r="A109" s="71"/>
      <c r="B109" s="7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80"/>
    </row>
    <row r="110" spans="1:54" ht="15.75" customHeight="1">
      <c r="A110" s="71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80"/>
    </row>
    <row r="111" spans="1:54" ht="15.75" customHeight="1">
      <c r="A111" s="71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80"/>
    </row>
    <row r="112" spans="1:54" ht="15.75" customHeight="1">
      <c r="A112" s="71"/>
      <c r="B112" s="72"/>
      <c r="C112" s="72"/>
      <c r="D112" s="72"/>
      <c r="E112" s="72"/>
      <c r="F112" s="72"/>
      <c r="G112" s="72"/>
      <c r="H112" s="72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  <c r="AA112" s="72"/>
      <c r="AB112" s="72"/>
      <c r="AC112" s="72"/>
      <c r="AD112" s="72"/>
      <c r="AE112" s="72"/>
      <c r="AF112" s="72"/>
      <c r="AG112" s="72"/>
      <c r="AH112" s="72"/>
      <c r="AI112" s="72"/>
      <c r="AJ112" s="72"/>
      <c r="AK112" s="72"/>
      <c r="AL112" s="72"/>
      <c r="AM112" s="72"/>
      <c r="AN112" s="72"/>
      <c r="AO112" s="72"/>
      <c r="AP112" s="72"/>
      <c r="AQ112" s="72"/>
      <c r="AR112" s="72"/>
      <c r="AS112" s="72"/>
      <c r="AT112" s="72"/>
      <c r="AU112" s="72"/>
      <c r="AV112" s="72"/>
      <c r="AW112" s="72"/>
      <c r="AX112" s="72"/>
      <c r="AY112" s="72"/>
      <c r="AZ112" s="72"/>
      <c r="BA112" s="72"/>
      <c r="BB112" s="80"/>
    </row>
    <row r="113" spans="1:54" ht="15.75" customHeight="1">
      <c r="A113" s="71"/>
      <c r="B113" s="72"/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  <c r="AA113" s="72"/>
      <c r="AB113" s="72"/>
      <c r="AC113" s="72"/>
      <c r="AD113" s="72"/>
      <c r="AE113" s="72"/>
      <c r="AF113" s="72"/>
      <c r="AG113" s="72"/>
      <c r="AH113" s="72"/>
      <c r="AI113" s="72"/>
      <c r="AJ113" s="72"/>
      <c r="AK113" s="72"/>
      <c r="AL113" s="72"/>
      <c r="AM113" s="72"/>
      <c r="AN113" s="72"/>
      <c r="AO113" s="72"/>
      <c r="AP113" s="72"/>
      <c r="AQ113" s="72"/>
      <c r="AR113" s="72"/>
      <c r="AS113" s="72"/>
      <c r="AT113" s="72"/>
      <c r="AU113" s="72"/>
      <c r="AV113" s="72"/>
      <c r="AW113" s="72"/>
      <c r="AX113" s="72"/>
      <c r="AY113" s="72"/>
      <c r="AZ113" s="72"/>
      <c r="BA113" s="72"/>
      <c r="BB113" s="80"/>
    </row>
    <row r="114" spans="1:54" ht="15.75" customHeight="1">
      <c r="A114" s="71"/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  <c r="AA114" s="72"/>
      <c r="AB114" s="72"/>
      <c r="AC114" s="72"/>
      <c r="AD114" s="72"/>
      <c r="AE114" s="72"/>
      <c r="AF114" s="72"/>
      <c r="AG114" s="72"/>
      <c r="AH114" s="72"/>
      <c r="AI114" s="72"/>
      <c r="AJ114" s="72"/>
      <c r="AK114" s="72"/>
      <c r="AL114" s="72"/>
      <c r="AM114" s="72"/>
      <c r="AN114" s="72"/>
      <c r="AO114" s="72"/>
      <c r="AP114" s="72"/>
      <c r="AQ114" s="72"/>
      <c r="AR114" s="72"/>
      <c r="AS114" s="72"/>
      <c r="AT114" s="72"/>
      <c r="AU114" s="72"/>
      <c r="AV114" s="72"/>
      <c r="AW114" s="72"/>
      <c r="AX114" s="72"/>
      <c r="AY114" s="72"/>
      <c r="AZ114" s="72"/>
      <c r="BA114" s="72"/>
      <c r="BB114" s="80"/>
    </row>
    <row r="115" spans="1:54" ht="15.75" customHeight="1">
      <c r="A115" s="71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80"/>
    </row>
    <row r="116" spans="1:54" ht="15.75" customHeight="1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80"/>
    </row>
    <row r="117" spans="1:54" ht="15.75" customHeight="1">
      <c r="A117" s="71"/>
      <c r="B117" s="72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72"/>
      <c r="AC117" s="72"/>
      <c r="AD117" s="72"/>
      <c r="AE117" s="72"/>
      <c r="AF117" s="72"/>
      <c r="AG117" s="72"/>
      <c r="AH117" s="72"/>
      <c r="AI117" s="72"/>
      <c r="AJ117" s="72"/>
      <c r="AK117" s="72"/>
      <c r="AL117" s="72"/>
      <c r="AM117" s="72"/>
      <c r="AN117" s="72"/>
      <c r="AO117" s="72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80"/>
    </row>
    <row r="118" spans="1:54" ht="15.75" customHeight="1">
      <c r="A118" s="71"/>
      <c r="B118" s="72"/>
      <c r="C118" s="72"/>
      <c r="D118" s="72"/>
      <c r="E118" s="72"/>
      <c r="F118" s="72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80"/>
    </row>
    <row r="119" spans="1:54" ht="15.75" customHeight="1">
      <c r="A119" s="71"/>
      <c r="B119" s="72"/>
      <c r="C119" s="72"/>
      <c r="D119" s="72"/>
      <c r="E119" s="72"/>
      <c r="F119" s="72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80"/>
    </row>
    <row r="120" spans="1:54" ht="15.75" customHeight="1">
      <c r="A120" s="71"/>
      <c r="B120" s="72"/>
      <c r="C120" s="72"/>
      <c r="D120" s="72"/>
      <c r="E120" s="72"/>
      <c r="F120" s="72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80"/>
    </row>
    <row r="121" spans="1:54" ht="15.75" customHeight="1">
      <c r="A121" s="71"/>
      <c r="B121" s="72"/>
      <c r="C121" s="72"/>
      <c r="D121" s="72"/>
      <c r="E121" s="72"/>
      <c r="F121" s="72"/>
      <c r="G121" s="72"/>
      <c r="H121" s="72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  <c r="AA121" s="72"/>
      <c r="AB121" s="72"/>
      <c r="AC121" s="72"/>
      <c r="AD121" s="72"/>
      <c r="AE121" s="72"/>
      <c r="AF121" s="72"/>
      <c r="AG121" s="72"/>
      <c r="AH121" s="72"/>
      <c r="AI121" s="72"/>
      <c r="AJ121" s="72"/>
      <c r="AK121" s="72"/>
      <c r="AL121" s="72"/>
      <c r="AM121" s="72"/>
      <c r="AN121" s="72"/>
      <c r="AO121" s="72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80"/>
    </row>
    <row r="122" spans="1:54" ht="15.75" customHeight="1">
      <c r="A122" s="71"/>
      <c r="B122" s="72"/>
      <c r="C122" s="72"/>
      <c r="D122" s="72"/>
      <c r="E122" s="72"/>
      <c r="F122" s="72"/>
      <c r="G122" s="72"/>
      <c r="H122" s="72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  <c r="AA122" s="72"/>
      <c r="AB122" s="72"/>
      <c r="AC122" s="72"/>
      <c r="AD122" s="72"/>
      <c r="AE122" s="72"/>
      <c r="AF122" s="72"/>
      <c r="AG122" s="72"/>
      <c r="AH122" s="72"/>
      <c r="AI122" s="72"/>
      <c r="AJ122" s="72"/>
      <c r="AK122" s="72"/>
      <c r="AL122" s="72"/>
      <c r="AM122" s="72"/>
      <c r="AN122" s="72"/>
      <c r="AO122" s="72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80"/>
    </row>
    <row r="123" spans="1:54" ht="15.75" customHeight="1">
      <c r="A123" s="71"/>
      <c r="B123" s="72"/>
      <c r="C123" s="72"/>
      <c r="D123" s="72"/>
      <c r="E123" s="72"/>
      <c r="F123" s="72"/>
      <c r="G123" s="72"/>
      <c r="H123" s="72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2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80"/>
    </row>
    <row r="124" spans="1:54" ht="15.75" customHeight="1">
      <c r="A124" s="71"/>
      <c r="B124" s="72"/>
      <c r="C124" s="72"/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2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80"/>
    </row>
    <row r="125" spans="1:54" ht="15.75" customHeight="1">
      <c r="A125" s="71"/>
      <c r="B125" s="72"/>
      <c r="C125" s="72"/>
      <c r="D125" s="72"/>
      <c r="E125" s="72"/>
      <c r="F125" s="72"/>
      <c r="G125" s="72"/>
      <c r="H125" s="72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72"/>
      <c r="AK125" s="72"/>
      <c r="AL125" s="72"/>
      <c r="AM125" s="72"/>
      <c r="AN125" s="72"/>
      <c r="AO125" s="72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80"/>
    </row>
    <row r="126" spans="1:54" ht="15.75" customHeight="1">
      <c r="A126" s="71"/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72"/>
      <c r="AK126" s="72"/>
      <c r="AL126" s="72"/>
      <c r="AM126" s="72"/>
      <c r="AN126" s="72"/>
      <c r="AO126" s="72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80"/>
    </row>
    <row r="127" spans="1:54" ht="15.75" customHeight="1">
      <c r="A127" s="71"/>
      <c r="B127" s="72"/>
      <c r="C127" s="72"/>
      <c r="D127" s="72"/>
      <c r="E127" s="72"/>
      <c r="F127" s="72"/>
      <c r="G127" s="72"/>
      <c r="H127" s="72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72"/>
      <c r="AK127" s="72"/>
      <c r="AL127" s="72"/>
      <c r="AM127" s="72"/>
      <c r="AN127" s="72"/>
      <c r="AO127" s="72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80"/>
    </row>
    <row r="128" spans="1:54" ht="15.75" customHeight="1">
      <c r="A128" s="71"/>
      <c r="B128" s="72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72"/>
      <c r="AK128" s="72"/>
      <c r="AL128" s="72"/>
      <c r="AM128" s="72"/>
      <c r="AN128" s="72"/>
      <c r="AO128" s="72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80"/>
    </row>
    <row r="129" spans="1:54" ht="15.75" customHeight="1">
      <c r="A129" s="71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72"/>
      <c r="AL129" s="72"/>
      <c r="AM129" s="72"/>
      <c r="AN129" s="72"/>
      <c r="AO129" s="72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80"/>
    </row>
    <row r="130" spans="1:54" ht="15.75" customHeight="1">
      <c r="A130" s="71"/>
      <c r="B130" s="72"/>
      <c r="C130" s="72"/>
      <c r="D130" s="72"/>
      <c r="E130" s="72"/>
      <c r="F130" s="72"/>
      <c r="G130" s="72"/>
      <c r="H130" s="72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72"/>
      <c r="AK130" s="72"/>
      <c r="AL130" s="72"/>
      <c r="AM130" s="72"/>
      <c r="AN130" s="72"/>
      <c r="AO130" s="72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80"/>
    </row>
    <row r="131" spans="1:54" ht="15.75" customHeight="1">
      <c r="A131" s="71"/>
      <c r="B131" s="72"/>
      <c r="C131" s="72"/>
      <c r="D131" s="72"/>
      <c r="E131" s="72"/>
      <c r="F131" s="72"/>
      <c r="G131" s="72"/>
      <c r="H131" s="72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72"/>
      <c r="AL131" s="72"/>
      <c r="AM131" s="72"/>
      <c r="AN131" s="72"/>
      <c r="AO131" s="72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80"/>
    </row>
    <row r="132" spans="1:54" ht="15.75" customHeight="1">
      <c r="A132" s="71"/>
      <c r="B132" s="72"/>
      <c r="C132" s="72"/>
      <c r="D132" s="72"/>
      <c r="E132" s="72"/>
      <c r="F132" s="72"/>
      <c r="G132" s="72"/>
      <c r="H132" s="72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72"/>
      <c r="AK132" s="72"/>
      <c r="AL132" s="72"/>
      <c r="AM132" s="72"/>
      <c r="AN132" s="72"/>
      <c r="AO132" s="72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80"/>
    </row>
    <row r="133" spans="1:54" ht="15.75" customHeight="1">
      <c r="A133" s="71"/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  <c r="AA133" s="72"/>
      <c r="AB133" s="72"/>
      <c r="AC133" s="72"/>
      <c r="AD133" s="72"/>
      <c r="AE133" s="72"/>
      <c r="AF133" s="72"/>
      <c r="AG133" s="72"/>
      <c r="AH133" s="72"/>
      <c r="AI133" s="72"/>
      <c r="AJ133" s="72"/>
      <c r="AK133" s="72"/>
      <c r="AL133" s="72"/>
      <c r="AM133" s="72"/>
      <c r="AN133" s="72"/>
      <c r="AO133" s="72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80"/>
    </row>
    <row r="134" spans="1:54" ht="15.75" customHeight="1">
      <c r="A134" s="71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  <c r="AA134" s="72"/>
      <c r="AB134" s="72"/>
      <c r="AC134" s="72"/>
      <c r="AD134" s="72"/>
      <c r="AE134" s="72"/>
      <c r="AF134" s="72"/>
      <c r="AG134" s="72"/>
      <c r="AH134" s="72"/>
      <c r="AI134" s="72"/>
      <c r="AJ134" s="72"/>
      <c r="AK134" s="72"/>
      <c r="AL134" s="72"/>
      <c r="AM134" s="72"/>
      <c r="AN134" s="72"/>
      <c r="AO134" s="72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80"/>
    </row>
    <row r="135" spans="1:54" ht="15.75" customHeight="1">
      <c r="A135" s="71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  <c r="AA135" s="72"/>
      <c r="AB135" s="72"/>
      <c r="AC135" s="72"/>
      <c r="AD135" s="72"/>
      <c r="AE135" s="72"/>
      <c r="AF135" s="72"/>
      <c r="AG135" s="72"/>
      <c r="AH135" s="72"/>
      <c r="AI135" s="72"/>
      <c r="AJ135" s="72"/>
      <c r="AK135" s="72"/>
      <c r="AL135" s="72"/>
      <c r="AM135" s="72"/>
      <c r="AN135" s="72"/>
      <c r="AO135" s="72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80"/>
    </row>
    <row r="136" spans="1:54" ht="15.75" customHeight="1">
      <c r="A136" s="71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  <c r="AA136" s="72"/>
      <c r="AB136" s="72"/>
      <c r="AC136" s="72"/>
      <c r="AD136" s="72"/>
      <c r="AE136" s="72"/>
      <c r="AF136" s="72"/>
      <c r="AG136" s="72"/>
      <c r="AH136" s="72"/>
      <c r="AI136" s="72"/>
      <c r="AJ136" s="72"/>
      <c r="AK136" s="72"/>
      <c r="AL136" s="72"/>
      <c r="AM136" s="72"/>
      <c r="AN136" s="72"/>
      <c r="AO136" s="72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80"/>
    </row>
    <row r="137" spans="1:54" ht="15.75" customHeight="1">
      <c r="A137" s="71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  <c r="AA137" s="72"/>
      <c r="AB137" s="72"/>
      <c r="AC137" s="72"/>
      <c r="AD137" s="72"/>
      <c r="AE137" s="72"/>
      <c r="AF137" s="72"/>
      <c r="AG137" s="72"/>
      <c r="AH137" s="72"/>
      <c r="AI137" s="72"/>
      <c r="AJ137" s="72"/>
      <c r="AK137" s="72"/>
      <c r="AL137" s="72"/>
      <c r="AM137" s="72"/>
      <c r="AN137" s="72"/>
      <c r="AO137" s="72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80"/>
    </row>
    <row r="138" spans="1:54" ht="15.75" customHeight="1">
      <c r="A138" s="71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  <c r="AA138" s="72"/>
      <c r="AB138" s="72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80"/>
    </row>
    <row r="139" spans="1:54" ht="15.75" customHeight="1">
      <c r="A139" s="71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  <c r="AA139" s="72"/>
      <c r="AB139" s="72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80"/>
    </row>
    <row r="140" spans="1:54" ht="15.75" customHeight="1">
      <c r="A140" s="71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  <c r="AA140" s="72"/>
      <c r="AB140" s="72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80"/>
    </row>
    <row r="141" spans="1:54" ht="15.75" customHeight="1">
      <c r="A141" s="71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  <c r="AA141" s="72"/>
      <c r="AB141" s="72"/>
      <c r="AC141" s="72"/>
      <c r="AD141" s="72"/>
      <c r="AE141" s="72"/>
      <c r="AF141" s="72"/>
      <c r="AG141" s="72"/>
      <c r="AH141" s="72"/>
      <c r="AI141" s="72"/>
      <c r="AJ141" s="72"/>
      <c r="AK141" s="72"/>
      <c r="AL141" s="72"/>
      <c r="AM141" s="72"/>
      <c r="AN141" s="72"/>
      <c r="AO141" s="72"/>
      <c r="AP141" s="72"/>
      <c r="AQ141" s="72"/>
      <c r="AR141" s="72"/>
      <c r="AS141" s="72"/>
      <c r="AT141" s="72"/>
      <c r="AU141" s="72"/>
      <c r="AV141" s="72"/>
      <c r="AW141" s="72"/>
      <c r="AX141" s="72"/>
      <c r="AY141" s="72"/>
      <c r="AZ141" s="72"/>
      <c r="BA141" s="72"/>
      <c r="BB141" s="80"/>
    </row>
    <row r="142" spans="1:54" ht="15.75" customHeight="1">
      <c r="A142" s="71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  <c r="AA142" s="72"/>
      <c r="AB142" s="72"/>
      <c r="AC142" s="72"/>
      <c r="AD142" s="72"/>
      <c r="AE142" s="72"/>
      <c r="AF142" s="72"/>
      <c r="AG142" s="72"/>
      <c r="AH142" s="72"/>
      <c r="AI142" s="72"/>
      <c r="AJ142" s="72"/>
      <c r="AK142" s="72"/>
      <c r="AL142" s="72"/>
      <c r="AM142" s="72"/>
      <c r="AN142" s="72"/>
      <c r="AO142" s="72"/>
      <c r="AP142" s="72"/>
      <c r="AQ142" s="72"/>
      <c r="AR142" s="72"/>
      <c r="AS142" s="72"/>
      <c r="AT142" s="72"/>
      <c r="AU142" s="72"/>
      <c r="AV142" s="72"/>
      <c r="AW142" s="72"/>
      <c r="AX142" s="72"/>
      <c r="AY142" s="72"/>
      <c r="AZ142" s="72"/>
      <c r="BA142" s="72"/>
      <c r="BB142" s="80"/>
    </row>
    <row r="143" spans="1:54" ht="15.75" customHeight="1">
      <c r="A143" s="71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  <c r="AC143" s="72"/>
      <c r="AD143" s="72"/>
      <c r="AE143" s="72"/>
      <c r="AF143" s="72"/>
      <c r="AG143" s="72"/>
      <c r="AH143" s="72"/>
      <c r="AI143" s="72"/>
      <c r="AJ143" s="72"/>
      <c r="AK143" s="72"/>
      <c r="AL143" s="72"/>
      <c r="AM143" s="72"/>
      <c r="AN143" s="72"/>
      <c r="AO143" s="72"/>
      <c r="AP143" s="72"/>
      <c r="AQ143" s="72"/>
      <c r="AR143" s="72"/>
      <c r="AS143" s="72"/>
      <c r="AT143" s="72"/>
      <c r="AU143" s="72"/>
      <c r="AV143" s="72"/>
      <c r="AW143" s="72"/>
      <c r="AX143" s="72"/>
      <c r="AY143" s="72"/>
      <c r="AZ143" s="72"/>
      <c r="BA143" s="72"/>
      <c r="BB143" s="80"/>
    </row>
    <row r="144" spans="1:54" ht="15.75" customHeight="1">
      <c r="A144" s="71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  <c r="AA144" s="72"/>
      <c r="AB144" s="72"/>
      <c r="AC144" s="72"/>
      <c r="AD144" s="72"/>
      <c r="AE144" s="72"/>
      <c r="AF144" s="72"/>
      <c r="AG144" s="72"/>
      <c r="AH144" s="72"/>
      <c r="AI144" s="72"/>
      <c r="AJ144" s="72"/>
      <c r="AK144" s="72"/>
      <c r="AL144" s="72"/>
      <c r="AM144" s="72"/>
      <c r="AN144" s="72"/>
      <c r="AO144" s="72"/>
      <c r="AP144" s="72"/>
      <c r="AQ144" s="72"/>
      <c r="AR144" s="72"/>
      <c r="AS144" s="72"/>
      <c r="AT144" s="72"/>
      <c r="AU144" s="72"/>
      <c r="AV144" s="72"/>
      <c r="AW144" s="72"/>
      <c r="AX144" s="72"/>
      <c r="AY144" s="72"/>
      <c r="AZ144" s="72"/>
      <c r="BA144" s="72"/>
      <c r="BB144" s="80"/>
    </row>
    <row r="145" spans="1:54" ht="15.75" customHeight="1">
      <c r="A145" s="71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  <c r="AA145" s="72"/>
      <c r="AB145" s="72"/>
      <c r="AC145" s="72"/>
      <c r="AD145" s="72"/>
      <c r="AE145" s="72"/>
      <c r="AF145" s="72"/>
      <c r="AG145" s="72"/>
      <c r="AH145" s="72"/>
      <c r="AI145" s="72"/>
      <c r="AJ145" s="72"/>
      <c r="AK145" s="72"/>
      <c r="AL145" s="72"/>
      <c r="AM145" s="72"/>
      <c r="AN145" s="72"/>
      <c r="AO145" s="72"/>
      <c r="AP145" s="72"/>
      <c r="AQ145" s="72"/>
      <c r="AR145" s="72"/>
      <c r="AS145" s="72"/>
      <c r="AT145" s="72"/>
      <c r="AU145" s="72"/>
      <c r="AV145" s="72"/>
      <c r="AW145" s="72"/>
      <c r="AX145" s="72"/>
      <c r="AY145" s="72"/>
      <c r="AZ145" s="72"/>
      <c r="BA145" s="72"/>
      <c r="BB145" s="80"/>
    </row>
    <row r="146" spans="1:54" ht="15.75" customHeight="1">
      <c r="A146" s="71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  <c r="AA146" s="72"/>
      <c r="AB146" s="72"/>
      <c r="AC146" s="72"/>
      <c r="AD146" s="72"/>
      <c r="AE146" s="72"/>
      <c r="AF146" s="72"/>
      <c r="AG146" s="72"/>
      <c r="AH146" s="72"/>
      <c r="AI146" s="72"/>
      <c r="AJ146" s="72"/>
      <c r="AK146" s="72"/>
      <c r="AL146" s="72"/>
      <c r="AM146" s="72"/>
      <c r="AN146" s="72"/>
      <c r="AO146" s="72"/>
      <c r="AP146" s="72"/>
      <c r="AQ146" s="72"/>
      <c r="AR146" s="72"/>
      <c r="AS146" s="72"/>
      <c r="AT146" s="72"/>
      <c r="AU146" s="72"/>
      <c r="AV146" s="72"/>
      <c r="AW146" s="72"/>
      <c r="AX146" s="72"/>
      <c r="AY146" s="72"/>
      <c r="AZ146" s="72"/>
      <c r="BA146" s="72"/>
      <c r="BB146" s="80"/>
    </row>
    <row r="147" spans="1:54" ht="15.75" customHeight="1">
      <c r="A147" s="71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  <c r="AA147" s="72"/>
      <c r="AB147" s="72"/>
      <c r="AC147" s="72"/>
      <c r="AD147" s="72"/>
      <c r="AE147" s="72"/>
      <c r="AF147" s="72"/>
      <c r="AG147" s="72"/>
      <c r="AH147" s="72"/>
      <c r="AI147" s="72"/>
      <c r="AJ147" s="72"/>
      <c r="AK147" s="72"/>
      <c r="AL147" s="72"/>
      <c r="AM147" s="72"/>
      <c r="AN147" s="72"/>
      <c r="AO147" s="72"/>
      <c r="AP147" s="72"/>
      <c r="AQ147" s="72"/>
      <c r="AR147" s="72"/>
      <c r="AS147" s="72"/>
      <c r="AT147" s="72"/>
      <c r="AU147" s="72"/>
      <c r="AV147" s="72"/>
      <c r="AW147" s="72"/>
      <c r="AX147" s="72"/>
      <c r="AY147" s="72"/>
      <c r="AZ147" s="72"/>
      <c r="BA147" s="72"/>
      <c r="BB147" s="80"/>
    </row>
    <row r="148" spans="1:54" ht="15.75" customHeight="1">
      <c r="A148" s="71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  <c r="AA148" s="72"/>
      <c r="AB148" s="72"/>
      <c r="AC148" s="72"/>
      <c r="AD148" s="72"/>
      <c r="AE148" s="72"/>
      <c r="AF148" s="72"/>
      <c r="AG148" s="72"/>
      <c r="AH148" s="72"/>
      <c r="AI148" s="72"/>
      <c r="AJ148" s="72"/>
      <c r="AK148" s="72"/>
      <c r="AL148" s="72"/>
      <c r="AM148" s="72"/>
      <c r="AN148" s="72"/>
      <c r="AO148" s="72"/>
      <c r="AP148" s="72"/>
      <c r="AQ148" s="72"/>
      <c r="AR148" s="72"/>
      <c r="AS148" s="72"/>
      <c r="AT148" s="72"/>
      <c r="AU148" s="72"/>
      <c r="AV148" s="72"/>
      <c r="AW148" s="72"/>
      <c r="AX148" s="72"/>
      <c r="AY148" s="72"/>
      <c r="AZ148" s="72"/>
      <c r="BA148" s="72"/>
      <c r="BB148" s="80"/>
    </row>
    <row r="149" spans="1:54" ht="15.75" customHeight="1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  <c r="AA149" s="72"/>
      <c r="AB149" s="72"/>
      <c r="AC149" s="72"/>
      <c r="AD149" s="72"/>
      <c r="AE149" s="72"/>
      <c r="AF149" s="72"/>
      <c r="AG149" s="72"/>
      <c r="AH149" s="72"/>
      <c r="AI149" s="72"/>
      <c r="AJ149" s="72"/>
      <c r="AK149" s="72"/>
      <c r="AL149" s="72"/>
      <c r="AM149" s="72"/>
      <c r="AN149" s="72"/>
      <c r="AO149" s="72"/>
      <c r="AP149" s="72"/>
      <c r="AQ149" s="72"/>
      <c r="AR149" s="72"/>
      <c r="AS149" s="72"/>
      <c r="AT149" s="72"/>
      <c r="AU149" s="72"/>
      <c r="AV149" s="72"/>
      <c r="AW149" s="72"/>
      <c r="AX149" s="72"/>
      <c r="AY149" s="72"/>
      <c r="AZ149" s="72"/>
      <c r="BA149" s="72"/>
      <c r="BB149" s="80"/>
    </row>
    <row r="150" spans="1:54" ht="15.75" customHeight="1">
      <c r="A150" s="71"/>
      <c r="B150" s="72"/>
      <c r="C150" s="72"/>
      <c r="D150" s="72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  <c r="AA150" s="72"/>
      <c r="AB150" s="72"/>
      <c r="AC150" s="72"/>
      <c r="AD150" s="72"/>
      <c r="AE150" s="72"/>
      <c r="AF150" s="72"/>
      <c r="AG150" s="72"/>
      <c r="AH150" s="72"/>
      <c r="AI150" s="72"/>
      <c r="AJ150" s="72"/>
      <c r="AK150" s="72"/>
      <c r="AL150" s="72"/>
      <c r="AM150" s="72"/>
      <c r="AN150" s="72"/>
      <c r="AO150" s="72"/>
      <c r="AP150" s="72"/>
      <c r="AQ150" s="72"/>
      <c r="AR150" s="72"/>
      <c r="AS150" s="72"/>
      <c r="AT150" s="72"/>
      <c r="AU150" s="72"/>
      <c r="AV150" s="72"/>
      <c r="AW150" s="72"/>
      <c r="AX150" s="72"/>
      <c r="AY150" s="72"/>
      <c r="AZ150" s="72"/>
      <c r="BA150" s="72"/>
      <c r="BB150" s="80"/>
    </row>
    <row r="151" spans="1:54" ht="15.75" customHeight="1">
      <c r="A151" s="71"/>
      <c r="B151" s="72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  <c r="AC151" s="72"/>
      <c r="AD151" s="72"/>
      <c r="AE151" s="72"/>
      <c r="AF151" s="72"/>
      <c r="AG151" s="72"/>
      <c r="AH151" s="72"/>
      <c r="AI151" s="72"/>
      <c r="AJ151" s="72"/>
      <c r="AK151" s="72"/>
      <c r="AL151" s="72"/>
      <c r="AM151" s="72"/>
      <c r="AN151" s="72"/>
      <c r="AO151" s="72"/>
      <c r="AP151" s="72"/>
      <c r="AQ151" s="72"/>
      <c r="AR151" s="72"/>
      <c r="AS151" s="72"/>
      <c r="AT151" s="72"/>
      <c r="AU151" s="72"/>
      <c r="AV151" s="72"/>
      <c r="AW151" s="72"/>
      <c r="AX151" s="72"/>
      <c r="AY151" s="72"/>
      <c r="AZ151" s="72"/>
      <c r="BA151" s="72"/>
      <c r="BB151" s="80"/>
    </row>
    <row r="152" spans="1:54" ht="15.75" customHeight="1">
      <c r="A152" s="71"/>
      <c r="B152" s="72"/>
      <c r="C152" s="72"/>
      <c r="D152" s="72"/>
      <c r="E152" s="72"/>
      <c r="F152" s="72"/>
      <c r="G152" s="72"/>
      <c r="H152" s="72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  <c r="AA152" s="72"/>
      <c r="AB152" s="72"/>
      <c r="AC152" s="72"/>
      <c r="AD152" s="72"/>
      <c r="AE152" s="72"/>
      <c r="AF152" s="72"/>
      <c r="AG152" s="72"/>
      <c r="AH152" s="72"/>
      <c r="AI152" s="72"/>
      <c r="AJ152" s="72"/>
      <c r="AK152" s="72"/>
      <c r="AL152" s="72"/>
      <c r="AM152" s="72"/>
      <c r="AN152" s="72"/>
      <c r="AO152" s="72"/>
      <c r="AP152" s="72"/>
      <c r="AQ152" s="72"/>
      <c r="AR152" s="72"/>
      <c r="AS152" s="72"/>
      <c r="AT152" s="72"/>
      <c r="AU152" s="72"/>
      <c r="AV152" s="72"/>
      <c r="AW152" s="72"/>
      <c r="AX152" s="72"/>
      <c r="AY152" s="72"/>
      <c r="AZ152" s="72"/>
      <c r="BA152" s="72"/>
      <c r="BB152" s="80"/>
    </row>
    <row r="153" spans="1:54" ht="15.75" customHeight="1">
      <c r="A153" s="71"/>
      <c r="B153" s="72"/>
      <c r="C153" s="72"/>
      <c r="D153" s="72"/>
      <c r="E153" s="72"/>
      <c r="F153" s="72"/>
      <c r="G153" s="72"/>
      <c r="H153" s="72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  <c r="AA153" s="72"/>
      <c r="AB153" s="72"/>
      <c r="AC153" s="72"/>
      <c r="AD153" s="72"/>
      <c r="AE153" s="72"/>
      <c r="AF153" s="72"/>
      <c r="AG153" s="72"/>
      <c r="AH153" s="72"/>
      <c r="AI153" s="72"/>
      <c r="AJ153" s="72"/>
      <c r="AK153" s="72"/>
      <c r="AL153" s="72"/>
      <c r="AM153" s="72"/>
      <c r="AN153" s="72"/>
      <c r="AO153" s="72"/>
      <c r="AP153" s="72"/>
      <c r="AQ153" s="72"/>
      <c r="AR153" s="72"/>
      <c r="AS153" s="72"/>
      <c r="AT153" s="72"/>
      <c r="AU153" s="72"/>
      <c r="AV153" s="72"/>
      <c r="AW153" s="72"/>
      <c r="AX153" s="72"/>
      <c r="AY153" s="72"/>
      <c r="AZ153" s="72"/>
      <c r="BA153" s="72"/>
      <c r="BB153" s="80"/>
    </row>
    <row r="154" spans="1:54" ht="15.75" customHeight="1">
      <c r="A154" s="71"/>
      <c r="B154" s="72"/>
      <c r="C154" s="72"/>
      <c r="D154" s="72"/>
      <c r="E154" s="72"/>
      <c r="F154" s="72"/>
      <c r="G154" s="72"/>
      <c r="H154" s="72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  <c r="AA154" s="72"/>
      <c r="AB154" s="72"/>
      <c r="AC154" s="72"/>
      <c r="AD154" s="72"/>
      <c r="AE154" s="72"/>
      <c r="AF154" s="72"/>
      <c r="AG154" s="72"/>
      <c r="AH154" s="72"/>
      <c r="AI154" s="72"/>
      <c r="AJ154" s="72"/>
      <c r="AK154" s="72"/>
      <c r="AL154" s="72"/>
      <c r="AM154" s="72"/>
      <c r="AN154" s="72"/>
      <c r="AO154" s="72"/>
      <c r="AP154" s="72"/>
      <c r="AQ154" s="72"/>
      <c r="AR154" s="72"/>
      <c r="AS154" s="72"/>
      <c r="AT154" s="72"/>
      <c r="AU154" s="72"/>
      <c r="AV154" s="72"/>
      <c r="AW154" s="72"/>
      <c r="AX154" s="72"/>
      <c r="AY154" s="72"/>
      <c r="AZ154" s="72"/>
      <c r="BA154" s="72"/>
      <c r="BB154" s="80"/>
    </row>
    <row r="155" spans="1:54" ht="15.75" customHeight="1">
      <c r="A155" s="71"/>
      <c r="B155" s="72"/>
      <c r="C155" s="72"/>
      <c r="D155" s="72"/>
      <c r="E155" s="72"/>
      <c r="F155" s="72"/>
      <c r="G155" s="72"/>
      <c r="H155" s="72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  <c r="AA155" s="72"/>
      <c r="AB155" s="72"/>
      <c r="AC155" s="72"/>
      <c r="AD155" s="72"/>
      <c r="AE155" s="72"/>
      <c r="AF155" s="72"/>
      <c r="AG155" s="72"/>
      <c r="AH155" s="72"/>
      <c r="AI155" s="72"/>
      <c r="AJ155" s="72"/>
      <c r="AK155" s="72"/>
      <c r="AL155" s="72"/>
      <c r="AM155" s="72"/>
      <c r="AN155" s="72"/>
      <c r="AO155" s="72"/>
      <c r="AP155" s="72"/>
      <c r="AQ155" s="72"/>
      <c r="AR155" s="72"/>
      <c r="AS155" s="72"/>
      <c r="AT155" s="72"/>
      <c r="AU155" s="72"/>
      <c r="AV155" s="72"/>
      <c r="AW155" s="72"/>
      <c r="AX155" s="72"/>
      <c r="AY155" s="72"/>
      <c r="AZ155" s="72"/>
      <c r="BA155" s="72"/>
      <c r="BB155" s="80"/>
    </row>
    <row r="156" spans="1:54" ht="15.75" customHeight="1">
      <c r="A156" s="71"/>
      <c r="B156" s="72"/>
      <c r="C156" s="72"/>
      <c r="D156" s="72"/>
      <c r="E156" s="72"/>
      <c r="F156" s="72"/>
      <c r="G156" s="72"/>
      <c r="H156" s="72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  <c r="AA156" s="72"/>
      <c r="AB156" s="72"/>
      <c r="AC156" s="72"/>
      <c r="AD156" s="72"/>
      <c r="AE156" s="72"/>
      <c r="AF156" s="72"/>
      <c r="AG156" s="72"/>
      <c r="AH156" s="72"/>
      <c r="AI156" s="72"/>
      <c r="AJ156" s="72"/>
      <c r="AK156" s="72"/>
      <c r="AL156" s="72"/>
      <c r="AM156" s="72"/>
      <c r="AN156" s="72"/>
      <c r="AO156" s="72"/>
      <c r="AP156" s="72"/>
      <c r="AQ156" s="72"/>
      <c r="AR156" s="72"/>
      <c r="AS156" s="72"/>
      <c r="AT156" s="72"/>
      <c r="AU156" s="72"/>
      <c r="AV156" s="72"/>
      <c r="AW156" s="72"/>
      <c r="AX156" s="72"/>
      <c r="AY156" s="72"/>
      <c r="AZ156" s="72"/>
      <c r="BA156" s="72"/>
      <c r="BB156" s="80"/>
    </row>
    <row r="157" spans="1:54" ht="15.75" customHeight="1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  <c r="AA157" s="72"/>
      <c r="AB157" s="72"/>
      <c r="AC157" s="72"/>
      <c r="AD157" s="72"/>
      <c r="AE157" s="72"/>
      <c r="AF157" s="72"/>
      <c r="AG157" s="72"/>
      <c r="AH157" s="72"/>
      <c r="AI157" s="72"/>
      <c r="AJ157" s="72"/>
      <c r="AK157" s="72"/>
      <c r="AL157" s="72"/>
      <c r="AM157" s="72"/>
      <c r="AN157" s="72"/>
      <c r="AO157" s="72"/>
      <c r="AP157" s="72"/>
      <c r="AQ157" s="72"/>
      <c r="AR157" s="72"/>
      <c r="AS157" s="72"/>
      <c r="AT157" s="72"/>
      <c r="AU157" s="72"/>
      <c r="AV157" s="72"/>
      <c r="AW157" s="72"/>
      <c r="AX157" s="72"/>
      <c r="AY157" s="72"/>
      <c r="AZ157" s="72"/>
      <c r="BA157" s="72"/>
      <c r="BB157" s="80"/>
    </row>
    <row r="158" spans="1:54" ht="15.75" customHeight="1">
      <c r="A158" s="71"/>
      <c r="B158" s="72"/>
      <c r="C158" s="72"/>
      <c r="D158" s="72"/>
      <c r="E158" s="72"/>
      <c r="F158" s="72"/>
      <c r="G158" s="72"/>
      <c r="H158" s="72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  <c r="AA158" s="72"/>
      <c r="AB158" s="72"/>
      <c r="AC158" s="72"/>
      <c r="AD158" s="72"/>
      <c r="AE158" s="72"/>
      <c r="AF158" s="72"/>
      <c r="AG158" s="72"/>
      <c r="AH158" s="72"/>
      <c r="AI158" s="72"/>
      <c r="AJ158" s="72"/>
      <c r="AK158" s="72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2"/>
      <c r="AX158" s="72"/>
      <c r="AY158" s="72"/>
      <c r="AZ158" s="72"/>
      <c r="BA158" s="72"/>
      <c r="BB158" s="80"/>
    </row>
    <row r="159" spans="1:54" ht="15.75" customHeight="1">
      <c r="A159" s="71"/>
      <c r="B159" s="72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  <c r="AC159" s="72"/>
      <c r="AD159" s="72"/>
      <c r="AE159" s="72"/>
      <c r="AF159" s="72"/>
      <c r="AG159" s="72"/>
      <c r="AH159" s="72"/>
      <c r="AI159" s="72"/>
      <c r="AJ159" s="72"/>
      <c r="AK159" s="72"/>
      <c r="AL159" s="72"/>
      <c r="AM159" s="72"/>
      <c r="AN159" s="72"/>
      <c r="AO159" s="72"/>
      <c r="AP159" s="72"/>
      <c r="AQ159" s="72"/>
      <c r="AR159" s="72"/>
      <c r="AS159" s="72"/>
      <c r="AT159" s="72"/>
      <c r="AU159" s="72"/>
      <c r="AV159" s="72"/>
      <c r="AW159" s="72"/>
      <c r="AX159" s="72"/>
      <c r="AY159" s="72"/>
      <c r="AZ159" s="72"/>
      <c r="BA159" s="72"/>
      <c r="BB159" s="80"/>
    </row>
    <row r="160" spans="1:54" ht="15.75" customHeight="1">
      <c r="A160" s="71"/>
      <c r="B160" s="72"/>
      <c r="C160" s="72"/>
      <c r="D160" s="72"/>
      <c r="E160" s="72"/>
      <c r="F160" s="72"/>
      <c r="G160" s="72"/>
      <c r="H160" s="72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  <c r="AA160" s="72"/>
      <c r="AB160" s="72"/>
      <c r="AC160" s="72"/>
      <c r="AD160" s="72"/>
      <c r="AE160" s="72"/>
      <c r="AF160" s="72"/>
      <c r="AG160" s="72"/>
      <c r="AH160" s="72"/>
      <c r="AI160" s="72"/>
      <c r="AJ160" s="72"/>
      <c r="AK160" s="72"/>
      <c r="AL160" s="72"/>
      <c r="AM160" s="72"/>
      <c r="AN160" s="72"/>
      <c r="AO160" s="72"/>
      <c r="AP160" s="72"/>
      <c r="AQ160" s="72"/>
      <c r="AR160" s="72"/>
      <c r="AS160" s="72"/>
      <c r="AT160" s="72"/>
      <c r="AU160" s="72"/>
      <c r="AV160" s="72"/>
      <c r="AW160" s="72"/>
      <c r="AX160" s="72"/>
      <c r="AY160" s="72"/>
      <c r="AZ160" s="72"/>
      <c r="BA160" s="72"/>
      <c r="BB160" s="80"/>
    </row>
    <row r="161" spans="1:54" ht="15.75" customHeight="1">
      <c r="A161" s="71"/>
      <c r="B161" s="72"/>
      <c r="C161" s="72"/>
      <c r="D161" s="72"/>
      <c r="E161" s="72"/>
      <c r="F161" s="72"/>
      <c r="G161" s="72"/>
      <c r="H161" s="72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  <c r="AA161" s="72"/>
      <c r="AB161" s="72"/>
      <c r="AC161" s="72"/>
      <c r="AD161" s="72"/>
      <c r="AE161" s="72"/>
      <c r="AF161" s="72"/>
      <c r="AG161" s="72"/>
      <c r="AH161" s="72"/>
      <c r="AI161" s="72"/>
      <c r="AJ161" s="72"/>
      <c r="AK161" s="72"/>
      <c r="AL161" s="72"/>
      <c r="AM161" s="72"/>
      <c r="AN161" s="72"/>
      <c r="AO161" s="72"/>
      <c r="AP161" s="72"/>
      <c r="AQ161" s="72"/>
      <c r="AR161" s="72"/>
      <c r="AS161" s="72"/>
      <c r="AT161" s="72"/>
      <c r="AU161" s="72"/>
      <c r="AV161" s="72"/>
      <c r="AW161" s="72"/>
      <c r="AX161" s="72"/>
      <c r="AY161" s="72"/>
      <c r="AZ161" s="72"/>
      <c r="BA161" s="72"/>
      <c r="BB161" s="80"/>
    </row>
    <row r="162" spans="1:54" ht="15.75" customHeight="1">
      <c r="A162" s="71"/>
      <c r="B162" s="72"/>
      <c r="C162" s="72"/>
      <c r="D162" s="72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  <c r="AA162" s="72"/>
      <c r="AB162" s="72"/>
      <c r="AC162" s="72"/>
      <c r="AD162" s="72"/>
      <c r="AE162" s="72"/>
      <c r="AF162" s="72"/>
      <c r="AG162" s="72"/>
      <c r="AH162" s="72"/>
      <c r="AI162" s="72"/>
      <c r="AJ162" s="72"/>
      <c r="AK162" s="72"/>
      <c r="AL162" s="72"/>
      <c r="AM162" s="72"/>
      <c r="AN162" s="72"/>
      <c r="AO162" s="72"/>
      <c r="AP162" s="72"/>
      <c r="AQ162" s="72"/>
      <c r="AR162" s="72"/>
      <c r="AS162" s="72"/>
      <c r="AT162" s="72"/>
      <c r="AU162" s="72"/>
      <c r="AV162" s="72"/>
      <c r="AW162" s="72"/>
      <c r="AX162" s="72"/>
      <c r="AY162" s="72"/>
      <c r="AZ162" s="72"/>
      <c r="BA162" s="72"/>
      <c r="BB162" s="80"/>
    </row>
    <row r="163" spans="1:54" ht="15.75" customHeight="1">
      <c r="A163" s="71"/>
      <c r="B163" s="7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72"/>
      <c r="AH163" s="7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  <c r="AV163" s="72"/>
      <c r="AW163" s="72"/>
      <c r="AX163" s="72"/>
      <c r="AY163" s="72"/>
      <c r="AZ163" s="72"/>
      <c r="BA163" s="72"/>
      <c r="BB163" s="80"/>
    </row>
    <row r="164" spans="1:54" ht="15.75" customHeight="1">
      <c r="A164" s="71"/>
      <c r="B164" s="7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2"/>
      <c r="AH164" s="7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80"/>
    </row>
    <row r="165" spans="1:54" ht="15.75" customHeight="1">
      <c r="A165" s="71"/>
      <c r="B165" s="7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2"/>
      <c r="AH165" s="7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80"/>
    </row>
    <row r="166" spans="1:54" ht="15.75" customHeight="1">
      <c r="A166" s="71"/>
      <c r="B166" s="72"/>
      <c r="C166" s="72"/>
      <c r="D166" s="72"/>
      <c r="E166" s="72"/>
      <c r="F166" s="72"/>
      <c r="G166" s="72"/>
      <c r="H166" s="72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2"/>
      <c r="AH166" s="72"/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80"/>
    </row>
    <row r="167" spans="1:54" ht="15.75" customHeight="1">
      <c r="A167" s="71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80"/>
    </row>
    <row r="168" spans="1:54" ht="15.75" customHeight="1">
      <c r="A168" s="71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  <c r="AA168" s="72"/>
      <c r="AB168" s="72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80"/>
    </row>
    <row r="169" spans="1:54" ht="15.75" customHeight="1">
      <c r="A169" s="71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  <c r="AA169" s="72"/>
      <c r="AB169" s="72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80"/>
    </row>
    <row r="170" spans="1:54" ht="15.75" customHeight="1">
      <c r="A170" s="71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  <c r="AA170" s="72"/>
      <c r="AB170" s="72"/>
      <c r="AC170" s="72"/>
      <c r="AD170" s="72"/>
      <c r="AE170" s="72"/>
      <c r="AF170" s="72"/>
      <c r="AG170" s="72"/>
      <c r="AH170" s="72"/>
      <c r="AI170" s="72"/>
      <c r="AJ170" s="72"/>
      <c r="AK170" s="72"/>
      <c r="AL170" s="72"/>
      <c r="AM170" s="72"/>
      <c r="AN170" s="72"/>
      <c r="AO170" s="72"/>
      <c r="AP170" s="72"/>
      <c r="AQ170" s="72"/>
      <c r="AR170" s="72"/>
      <c r="AS170" s="72"/>
      <c r="AT170" s="72"/>
      <c r="AU170" s="72"/>
      <c r="AV170" s="72"/>
      <c r="AW170" s="72"/>
      <c r="AX170" s="72"/>
      <c r="AY170" s="72"/>
      <c r="AZ170" s="72"/>
      <c r="BA170" s="72"/>
      <c r="BB170" s="80"/>
    </row>
    <row r="171" spans="1:54" ht="15.75" customHeight="1">
      <c r="A171" s="71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  <c r="AA171" s="72"/>
      <c r="AB171" s="72"/>
      <c r="AC171" s="72"/>
      <c r="AD171" s="72"/>
      <c r="AE171" s="72"/>
      <c r="AF171" s="72"/>
      <c r="AG171" s="72"/>
      <c r="AH171" s="72"/>
      <c r="AI171" s="72"/>
      <c r="AJ171" s="72"/>
      <c r="AK171" s="72"/>
      <c r="AL171" s="72"/>
      <c r="AM171" s="72"/>
      <c r="AN171" s="72"/>
      <c r="AO171" s="72"/>
      <c r="AP171" s="72"/>
      <c r="AQ171" s="72"/>
      <c r="AR171" s="72"/>
      <c r="AS171" s="72"/>
      <c r="AT171" s="72"/>
      <c r="AU171" s="72"/>
      <c r="AV171" s="72"/>
      <c r="AW171" s="72"/>
      <c r="AX171" s="72"/>
      <c r="AY171" s="72"/>
      <c r="AZ171" s="72"/>
      <c r="BA171" s="72"/>
      <c r="BB171" s="80"/>
    </row>
    <row r="172" spans="1:54" ht="15.75" customHeight="1">
      <c r="A172" s="71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  <c r="AA172" s="72"/>
      <c r="AB172" s="72"/>
      <c r="AC172" s="72"/>
      <c r="AD172" s="72"/>
      <c r="AE172" s="72"/>
      <c r="AF172" s="72"/>
      <c r="AG172" s="72"/>
      <c r="AH172" s="72"/>
      <c r="AI172" s="72"/>
      <c r="AJ172" s="72"/>
      <c r="AK172" s="72"/>
      <c r="AL172" s="72"/>
      <c r="AM172" s="72"/>
      <c r="AN172" s="72"/>
      <c r="AO172" s="72"/>
      <c r="AP172" s="72"/>
      <c r="AQ172" s="72"/>
      <c r="AR172" s="72"/>
      <c r="AS172" s="72"/>
      <c r="AT172" s="72"/>
      <c r="AU172" s="72"/>
      <c r="AV172" s="72"/>
      <c r="AW172" s="72"/>
      <c r="AX172" s="72"/>
      <c r="AY172" s="72"/>
      <c r="AZ172" s="72"/>
      <c r="BA172" s="72"/>
      <c r="BB172" s="80"/>
    </row>
    <row r="173" spans="1:54" ht="15.75" customHeight="1">
      <c r="A173" s="71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  <c r="AA173" s="72"/>
      <c r="AB173" s="72"/>
      <c r="AC173" s="72"/>
      <c r="AD173" s="72"/>
      <c r="AE173" s="72"/>
      <c r="AF173" s="72"/>
      <c r="AG173" s="72"/>
      <c r="AH173" s="72"/>
      <c r="AI173" s="72"/>
      <c r="AJ173" s="72"/>
      <c r="AK173" s="72"/>
      <c r="AL173" s="72"/>
      <c r="AM173" s="72"/>
      <c r="AN173" s="72"/>
      <c r="AO173" s="72"/>
      <c r="AP173" s="72"/>
      <c r="AQ173" s="72"/>
      <c r="AR173" s="72"/>
      <c r="AS173" s="72"/>
      <c r="AT173" s="72"/>
      <c r="AU173" s="72"/>
      <c r="AV173" s="72"/>
      <c r="AW173" s="72"/>
      <c r="AX173" s="72"/>
      <c r="AY173" s="72"/>
      <c r="AZ173" s="72"/>
      <c r="BA173" s="72"/>
      <c r="BB173" s="80"/>
    </row>
    <row r="174" spans="1:54" ht="15.75" customHeight="1">
      <c r="A174" s="71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80"/>
    </row>
    <row r="175" spans="1:54" ht="15.75" customHeight="1">
      <c r="A175" s="71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  <c r="AC175" s="72"/>
      <c r="AD175" s="72"/>
      <c r="AE175" s="72"/>
      <c r="AF175" s="72"/>
      <c r="AG175" s="72"/>
      <c r="AH175" s="72"/>
      <c r="AI175" s="72"/>
      <c r="AJ175" s="72"/>
      <c r="AK175" s="72"/>
      <c r="AL175" s="72"/>
      <c r="AM175" s="72"/>
      <c r="AN175" s="72"/>
      <c r="AO175" s="72"/>
      <c r="AP175" s="72"/>
      <c r="AQ175" s="72"/>
      <c r="AR175" s="72"/>
      <c r="AS175" s="72"/>
      <c r="AT175" s="72"/>
      <c r="AU175" s="72"/>
      <c r="AV175" s="72"/>
      <c r="AW175" s="72"/>
      <c r="AX175" s="72"/>
      <c r="AY175" s="72"/>
      <c r="AZ175" s="72"/>
      <c r="BA175" s="72"/>
      <c r="BB175" s="80"/>
    </row>
    <row r="176" spans="1:54" ht="15.75" customHeight="1">
      <c r="A176" s="71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  <c r="AA176" s="72"/>
      <c r="AB176" s="72"/>
      <c r="AC176" s="72"/>
      <c r="AD176" s="72"/>
      <c r="AE176" s="72"/>
      <c r="AF176" s="72"/>
      <c r="AG176" s="72"/>
      <c r="AH176" s="72"/>
      <c r="AI176" s="72"/>
      <c r="AJ176" s="72"/>
      <c r="AK176" s="72"/>
      <c r="AL176" s="72"/>
      <c r="AM176" s="72"/>
      <c r="AN176" s="72"/>
      <c r="AO176" s="72"/>
      <c r="AP176" s="72"/>
      <c r="AQ176" s="72"/>
      <c r="AR176" s="72"/>
      <c r="AS176" s="72"/>
      <c r="AT176" s="72"/>
      <c r="AU176" s="72"/>
      <c r="AV176" s="72"/>
      <c r="AW176" s="72"/>
      <c r="AX176" s="72"/>
      <c r="AY176" s="72"/>
      <c r="AZ176" s="72"/>
      <c r="BA176" s="72"/>
      <c r="BB176" s="80"/>
    </row>
    <row r="177" spans="1:54" ht="15.75" customHeight="1">
      <c r="A177" s="71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  <c r="AA177" s="72"/>
      <c r="AB177" s="72"/>
      <c r="AC177" s="72"/>
      <c r="AD177" s="72"/>
      <c r="AE177" s="72"/>
      <c r="AF177" s="72"/>
      <c r="AG177" s="72"/>
      <c r="AH177" s="72"/>
      <c r="AI177" s="72"/>
      <c r="AJ177" s="72"/>
      <c r="AK177" s="72"/>
      <c r="AL177" s="72"/>
      <c r="AM177" s="72"/>
      <c r="AN177" s="72"/>
      <c r="AO177" s="72"/>
      <c r="AP177" s="72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80"/>
    </row>
    <row r="178" spans="1:54" ht="15.75" customHeight="1">
      <c r="A178" s="71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  <c r="AA178" s="72"/>
      <c r="AB178" s="72"/>
      <c r="AC178" s="72"/>
      <c r="AD178" s="72"/>
      <c r="AE178" s="72"/>
      <c r="AF178" s="72"/>
      <c r="AG178" s="72"/>
      <c r="AH178" s="72"/>
      <c r="AI178" s="72"/>
      <c r="AJ178" s="72"/>
      <c r="AK178" s="72"/>
      <c r="AL178" s="72"/>
      <c r="AM178" s="72"/>
      <c r="AN178" s="72"/>
      <c r="AO178" s="72"/>
      <c r="AP178" s="72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80"/>
    </row>
    <row r="179" spans="1:54" ht="15.75" customHeight="1">
      <c r="A179" s="71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  <c r="AA179" s="72"/>
      <c r="AB179" s="72"/>
      <c r="AC179" s="72"/>
      <c r="AD179" s="72"/>
      <c r="AE179" s="72"/>
      <c r="AF179" s="72"/>
      <c r="AG179" s="72"/>
      <c r="AH179" s="72"/>
      <c r="AI179" s="72"/>
      <c r="AJ179" s="72"/>
      <c r="AK179" s="72"/>
      <c r="AL179" s="72"/>
      <c r="AM179" s="72"/>
      <c r="AN179" s="72"/>
      <c r="AO179" s="72"/>
      <c r="AP179" s="72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80"/>
    </row>
    <row r="180" spans="1:54" ht="15.75" customHeight="1">
      <c r="A180" s="71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  <c r="AA180" s="72"/>
      <c r="AB180" s="72"/>
      <c r="AC180" s="72"/>
      <c r="AD180" s="72"/>
      <c r="AE180" s="72"/>
      <c r="AF180" s="72"/>
      <c r="AG180" s="72"/>
      <c r="AH180" s="72"/>
      <c r="AI180" s="72"/>
      <c r="AJ180" s="72"/>
      <c r="AK180" s="72"/>
      <c r="AL180" s="72"/>
      <c r="AM180" s="72"/>
      <c r="AN180" s="72"/>
      <c r="AO180" s="72"/>
      <c r="AP180" s="72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80"/>
    </row>
    <row r="181" spans="1:54" ht="15.75" customHeight="1">
      <c r="A181" s="71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  <c r="AA181" s="72"/>
      <c r="AB181" s="72"/>
      <c r="AC181" s="72"/>
      <c r="AD181" s="72"/>
      <c r="AE181" s="72"/>
      <c r="AF181" s="72"/>
      <c r="AG181" s="72"/>
      <c r="AH181" s="72"/>
      <c r="AI181" s="72"/>
      <c r="AJ181" s="72"/>
      <c r="AK181" s="72"/>
      <c r="AL181" s="72"/>
      <c r="AM181" s="72"/>
      <c r="AN181" s="72"/>
      <c r="AO181" s="72"/>
      <c r="AP181" s="72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80"/>
    </row>
    <row r="182" spans="1:54" ht="15.75" customHeight="1">
      <c r="A182" s="71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  <c r="AA182" s="72"/>
      <c r="AB182" s="72"/>
      <c r="AC182" s="72"/>
      <c r="AD182" s="72"/>
      <c r="AE182" s="72"/>
      <c r="AF182" s="72"/>
      <c r="AG182" s="72"/>
      <c r="AH182" s="72"/>
      <c r="AI182" s="72"/>
      <c r="AJ182" s="72"/>
      <c r="AK182" s="72"/>
      <c r="AL182" s="72"/>
      <c r="AM182" s="72"/>
      <c r="AN182" s="72"/>
      <c r="AO182" s="72"/>
      <c r="AP182" s="72"/>
      <c r="AQ182" s="72"/>
      <c r="AR182" s="72"/>
      <c r="AS182" s="72"/>
      <c r="AT182" s="72"/>
      <c r="AU182" s="72"/>
      <c r="AV182" s="72"/>
      <c r="AW182" s="72"/>
      <c r="AX182" s="72"/>
      <c r="AY182" s="72"/>
      <c r="AZ182" s="72"/>
      <c r="BA182" s="72"/>
      <c r="BB182" s="80"/>
    </row>
    <row r="183" spans="1:54" ht="15.75" customHeight="1">
      <c r="A183" s="71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  <c r="AC183" s="72"/>
      <c r="AD183" s="72"/>
      <c r="AE183" s="72"/>
      <c r="AF183" s="72"/>
      <c r="AG183" s="72"/>
      <c r="AH183" s="72"/>
      <c r="AI183" s="72"/>
      <c r="AJ183" s="72"/>
      <c r="AK183" s="72"/>
      <c r="AL183" s="72"/>
      <c r="AM183" s="72"/>
      <c r="AN183" s="72"/>
      <c r="AO183" s="72"/>
      <c r="AP183" s="72"/>
      <c r="AQ183" s="72"/>
      <c r="AR183" s="72"/>
      <c r="AS183" s="72"/>
      <c r="AT183" s="72"/>
      <c r="AU183" s="72"/>
      <c r="AV183" s="72"/>
      <c r="AW183" s="72"/>
      <c r="AX183" s="72"/>
      <c r="AY183" s="72"/>
      <c r="AZ183" s="72"/>
      <c r="BA183" s="72"/>
      <c r="BB183" s="80"/>
    </row>
    <row r="184" spans="1:54" ht="15.75" customHeight="1">
      <c r="A184" s="71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  <c r="AA184" s="72"/>
      <c r="AB184" s="72"/>
      <c r="AC184" s="72"/>
      <c r="AD184" s="72"/>
      <c r="AE184" s="72"/>
      <c r="AF184" s="72"/>
      <c r="AG184" s="72"/>
      <c r="AH184" s="72"/>
      <c r="AI184" s="72"/>
      <c r="AJ184" s="72"/>
      <c r="AK184" s="72"/>
      <c r="AL184" s="72"/>
      <c r="AM184" s="72"/>
      <c r="AN184" s="72"/>
      <c r="AO184" s="72"/>
      <c r="AP184" s="72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80"/>
    </row>
    <row r="185" spans="1:54" ht="15.75" customHeight="1">
      <c r="A185" s="71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  <c r="AA185" s="72"/>
      <c r="AB185" s="72"/>
      <c r="AC185" s="72"/>
      <c r="AD185" s="72"/>
      <c r="AE185" s="72"/>
      <c r="AF185" s="72"/>
      <c r="AG185" s="72"/>
      <c r="AH185" s="72"/>
      <c r="AI185" s="72"/>
      <c r="AJ185" s="72"/>
      <c r="AK185" s="72"/>
      <c r="AL185" s="72"/>
      <c r="AM185" s="72"/>
      <c r="AN185" s="72"/>
      <c r="AO185" s="72"/>
      <c r="AP185" s="72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80"/>
    </row>
    <row r="186" spans="1:54" ht="15.75" customHeight="1">
      <c r="A186" s="71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80"/>
    </row>
    <row r="187" spans="1:54" ht="15.75" customHeight="1">
      <c r="A187" s="71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  <c r="AA187" s="72"/>
      <c r="AB187" s="72"/>
      <c r="AC187" s="72"/>
      <c r="AD187" s="72"/>
      <c r="AE187" s="72"/>
      <c r="AF187" s="72"/>
      <c r="AG187" s="72"/>
      <c r="AH187" s="72"/>
      <c r="AI187" s="72"/>
      <c r="AJ187" s="72"/>
      <c r="AK187" s="72"/>
      <c r="AL187" s="72"/>
      <c r="AM187" s="72"/>
      <c r="AN187" s="72"/>
      <c r="AO187" s="72"/>
      <c r="AP187" s="72"/>
      <c r="AQ187" s="72"/>
      <c r="AR187" s="72"/>
      <c r="AS187" s="72"/>
      <c r="AT187" s="72"/>
      <c r="AU187" s="72"/>
      <c r="AV187" s="72"/>
      <c r="AW187" s="72"/>
      <c r="AX187" s="72"/>
      <c r="AY187" s="72"/>
      <c r="AZ187" s="72"/>
      <c r="BA187" s="72"/>
      <c r="BB187" s="80"/>
    </row>
    <row r="188" spans="1:54" ht="15.75" customHeight="1">
      <c r="A188" s="71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  <c r="AA188" s="72"/>
      <c r="AB188" s="72"/>
      <c r="AC188" s="72"/>
      <c r="AD188" s="72"/>
      <c r="AE188" s="72"/>
      <c r="AF188" s="72"/>
      <c r="AG188" s="72"/>
      <c r="AH188" s="72"/>
      <c r="AI188" s="72"/>
      <c r="AJ188" s="72"/>
      <c r="AK188" s="72"/>
      <c r="AL188" s="72"/>
      <c r="AM188" s="72"/>
      <c r="AN188" s="72"/>
      <c r="AO188" s="72"/>
      <c r="AP188" s="72"/>
      <c r="AQ188" s="72"/>
      <c r="AR188" s="72"/>
      <c r="AS188" s="72"/>
      <c r="AT188" s="72"/>
      <c r="AU188" s="72"/>
      <c r="AV188" s="72"/>
      <c r="AW188" s="72"/>
      <c r="AX188" s="72"/>
      <c r="AY188" s="72"/>
      <c r="AZ188" s="72"/>
      <c r="BA188" s="72"/>
      <c r="BB188" s="80"/>
    </row>
    <row r="189" spans="1:54" ht="15.75" customHeight="1">
      <c r="A189" s="71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  <c r="AA189" s="72"/>
      <c r="AB189" s="72"/>
      <c r="AC189" s="72"/>
      <c r="AD189" s="72"/>
      <c r="AE189" s="72"/>
      <c r="AF189" s="72"/>
      <c r="AG189" s="72"/>
      <c r="AH189" s="72"/>
      <c r="AI189" s="72"/>
      <c r="AJ189" s="72"/>
      <c r="AK189" s="72"/>
      <c r="AL189" s="72"/>
      <c r="AM189" s="72"/>
      <c r="AN189" s="72"/>
      <c r="AO189" s="72"/>
      <c r="AP189" s="72"/>
      <c r="AQ189" s="72"/>
      <c r="AR189" s="72"/>
      <c r="AS189" s="72"/>
      <c r="AT189" s="72"/>
      <c r="AU189" s="72"/>
      <c r="AV189" s="72"/>
      <c r="AW189" s="72"/>
      <c r="AX189" s="72"/>
      <c r="AY189" s="72"/>
      <c r="AZ189" s="72"/>
      <c r="BA189" s="72"/>
      <c r="BB189" s="80"/>
    </row>
    <row r="190" spans="1:54" ht="15.75" customHeight="1">
      <c r="A190" s="71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  <c r="AA190" s="72"/>
      <c r="AB190" s="72"/>
      <c r="AC190" s="72"/>
      <c r="AD190" s="72"/>
      <c r="AE190" s="72"/>
      <c r="AF190" s="72"/>
      <c r="AG190" s="72"/>
      <c r="AH190" s="72"/>
      <c r="AI190" s="72"/>
      <c r="AJ190" s="72"/>
      <c r="AK190" s="72"/>
      <c r="AL190" s="72"/>
      <c r="AM190" s="72"/>
      <c r="AN190" s="72"/>
      <c r="AO190" s="72"/>
      <c r="AP190" s="72"/>
      <c r="AQ190" s="72"/>
      <c r="AR190" s="72"/>
      <c r="AS190" s="72"/>
      <c r="AT190" s="72"/>
      <c r="AU190" s="72"/>
      <c r="AV190" s="72"/>
      <c r="AW190" s="72"/>
      <c r="AX190" s="72"/>
      <c r="AY190" s="72"/>
      <c r="AZ190" s="72"/>
      <c r="BA190" s="72"/>
      <c r="BB190" s="80"/>
    </row>
    <row r="191" spans="1:54" ht="15.75" customHeight="1">
      <c r="A191" s="71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  <c r="AC191" s="72"/>
      <c r="AD191" s="72"/>
      <c r="AE191" s="72"/>
      <c r="AF191" s="72"/>
      <c r="AG191" s="72"/>
      <c r="AH191" s="72"/>
      <c r="AI191" s="72"/>
      <c r="AJ191" s="72"/>
      <c r="AK191" s="72"/>
      <c r="AL191" s="72"/>
      <c r="AM191" s="72"/>
      <c r="AN191" s="72"/>
      <c r="AO191" s="72"/>
      <c r="AP191" s="72"/>
      <c r="AQ191" s="72"/>
      <c r="AR191" s="72"/>
      <c r="AS191" s="72"/>
      <c r="AT191" s="72"/>
      <c r="AU191" s="72"/>
      <c r="AV191" s="72"/>
      <c r="AW191" s="72"/>
      <c r="AX191" s="72"/>
      <c r="AY191" s="72"/>
      <c r="AZ191" s="72"/>
      <c r="BA191" s="72"/>
      <c r="BB191" s="80"/>
    </row>
    <row r="192" spans="1:54" ht="15.75" customHeight="1">
      <c r="A192" s="71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  <c r="AA192" s="72"/>
      <c r="AB192" s="72"/>
      <c r="AC192" s="72"/>
      <c r="AD192" s="72"/>
      <c r="AE192" s="72"/>
      <c r="AF192" s="72"/>
      <c r="AG192" s="72"/>
      <c r="AH192" s="72"/>
      <c r="AI192" s="72"/>
      <c r="AJ192" s="72"/>
      <c r="AK192" s="72"/>
      <c r="AL192" s="72"/>
      <c r="AM192" s="72"/>
      <c r="AN192" s="72"/>
      <c r="AO192" s="72"/>
      <c r="AP192" s="72"/>
      <c r="AQ192" s="72"/>
      <c r="AR192" s="72"/>
      <c r="AS192" s="72"/>
      <c r="AT192" s="72"/>
      <c r="AU192" s="72"/>
      <c r="AV192" s="72"/>
      <c r="AW192" s="72"/>
      <c r="AX192" s="72"/>
      <c r="AY192" s="72"/>
      <c r="AZ192" s="72"/>
      <c r="BA192" s="72"/>
      <c r="BB192" s="80"/>
    </row>
    <row r="193" spans="1:54" ht="15.75" customHeight="1">
      <c r="A193" s="71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  <c r="AA193" s="72"/>
      <c r="AB193" s="72"/>
      <c r="AC193" s="72"/>
      <c r="AD193" s="72"/>
      <c r="AE193" s="72"/>
      <c r="AF193" s="72"/>
      <c r="AG193" s="72"/>
      <c r="AH193" s="72"/>
      <c r="AI193" s="72"/>
      <c r="AJ193" s="72"/>
      <c r="AK193" s="72"/>
      <c r="AL193" s="72"/>
      <c r="AM193" s="72"/>
      <c r="AN193" s="72"/>
      <c r="AO193" s="72"/>
      <c r="AP193" s="72"/>
      <c r="AQ193" s="72"/>
      <c r="AR193" s="72"/>
      <c r="AS193" s="72"/>
      <c r="AT193" s="72"/>
      <c r="AU193" s="72"/>
      <c r="AV193" s="72"/>
      <c r="AW193" s="72"/>
      <c r="AX193" s="72"/>
      <c r="AY193" s="72"/>
      <c r="AZ193" s="72"/>
      <c r="BA193" s="72"/>
      <c r="BB193" s="80"/>
    </row>
    <row r="194" spans="1:54" ht="15.75" customHeight="1">
      <c r="A194" s="71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  <c r="AA194" s="72"/>
      <c r="AB194" s="72"/>
      <c r="AC194" s="72"/>
      <c r="AD194" s="72"/>
      <c r="AE194" s="72"/>
      <c r="AF194" s="72"/>
      <c r="AG194" s="72"/>
      <c r="AH194" s="72"/>
      <c r="AI194" s="72"/>
      <c r="AJ194" s="72"/>
      <c r="AK194" s="72"/>
      <c r="AL194" s="72"/>
      <c r="AM194" s="72"/>
      <c r="AN194" s="72"/>
      <c r="AO194" s="72"/>
      <c r="AP194" s="72"/>
      <c r="AQ194" s="72"/>
      <c r="AR194" s="72"/>
      <c r="AS194" s="72"/>
      <c r="AT194" s="72"/>
      <c r="AU194" s="72"/>
      <c r="AV194" s="72"/>
      <c r="AW194" s="72"/>
      <c r="AX194" s="72"/>
      <c r="AY194" s="72"/>
      <c r="AZ194" s="72"/>
      <c r="BA194" s="72"/>
      <c r="BB194" s="80"/>
    </row>
    <row r="195" spans="1:54" ht="15.75" customHeight="1">
      <c r="A195" s="71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  <c r="AA195" s="72"/>
      <c r="AB195" s="72"/>
      <c r="AC195" s="72"/>
      <c r="AD195" s="72"/>
      <c r="AE195" s="72"/>
      <c r="AF195" s="72"/>
      <c r="AG195" s="72"/>
      <c r="AH195" s="72"/>
      <c r="AI195" s="72"/>
      <c r="AJ195" s="72"/>
      <c r="AK195" s="72"/>
      <c r="AL195" s="72"/>
      <c r="AM195" s="72"/>
      <c r="AN195" s="72"/>
      <c r="AO195" s="7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80"/>
    </row>
    <row r="196" spans="1:54" ht="15.75" customHeight="1">
      <c r="A196" s="71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  <c r="AA196" s="72"/>
      <c r="AB196" s="72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80"/>
    </row>
    <row r="197" spans="1:54" ht="15.75" customHeight="1">
      <c r="A197" s="71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  <c r="AA197" s="72"/>
      <c r="AB197" s="72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80"/>
    </row>
    <row r="198" spans="1:54" ht="15.75" customHeight="1">
      <c r="A198" s="71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  <c r="AA198" s="72"/>
      <c r="AB198" s="72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80"/>
    </row>
    <row r="199" spans="1:54" ht="15.75" customHeight="1">
      <c r="A199" s="71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80"/>
    </row>
    <row r="200" spans="1:54" ht="15.75" customHeight="1">
      <c r="A200" s="71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  <c r="AA200" s="72"/>
      <c r="AB200" s="72"/>
      <c r="AC200" s="72"/>
      <c r="AD200" s="72"/>
      <c r="AE200" s="72"/>
      <c r="AF200" s="72"/>
      <c r="AG200" s="72"/>
      <c r="AH200" s="72"/>
      <c r="AI200" s="72"/>
      <c r="AJ200" s="72"/>
      <c r="AK200" s="72"/>
      <c r="AL200" s="72"/>
      <c r="AM200" s="72"/>
      <c r="AN200" s="72"/>
      <c r="AO200" s="72"/>
      <c r="AP200" s="72"/>
      <c r="AQ200" s="72"/>
      <c r="AR200" s="72"/>
      <c r="AS200" s="72"/>
      <c r="AT200" s="72"/>
      <c r="AU200" s="72"/>
      <c r="AV200" s="72"/>
      <c r="AW200" s="72"/>
      <c r="AX200" s="72"/>
      <c r="AY200" s="72"/>
      <c r="AZ200" s="72"/>
      <c r="BA200" s="72"/>
      <c r="BB200" s="80"/>
    </row>
    <row r="201" spans="1:54" ht="15.75" customHeight="1">
      <c r="A201" s="71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  <c r="AA201" s="72"/>
      <c r="AB201" s="72"/>
      <c r="AC201" s="72"/>
      <c r="AD201" s="72"/>
      <c r="AE201" s="72"/>
      <c r="AF201" s="72"/>
      <c r="AG201" s="72"/>
      <c r="AH201" s="72"/>
      <c r="AI201" s="72"/>
      <c r="AJ201" s="72"/>
      <c r="AK201" s="72"/>
      <c r="AL201" s="72"/>
      <c r="AM201" s="72"/>
      <c r="AN201" s="72"/>
      <c r="AO201" s="7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80"/>
    </row>
    <row r="202" spans="1:54" ht="15.75" customHeight="1">
      <c r="A202" s="71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  <c r="AA202" s="72"/>
      <c r="AB202" s="72"/>
      <c r="AC202" s="72"/>
      <c r="AD202" s="72"/>
      <c r="AE202" s="72"/>
      <c r="AF202" s="72"/>
      <c r="AG202" s="72"/>
      <c r="AH202" s="72"/>
      <c r="AI202" s="72"/>
      <c r="AJ202" s="72"/>
      <c r="AK202" s="72"/>
      <c r="AL202" s="72"/>
      <c r="AM202" s="72"/>
      <c r="AN202" s="72"/>
      <c r="AO202" s="7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80"/>
    </row>
    <row r="203" spans="1:54" ht="15.75" customHeight="1">
      <c r="A203" s="71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80"/>
    </row>
    <row r="204" spans="1:54" ht="15.75" customHeight="1">
      <c r="A204" s="71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  <c r="AA204" s="72"/>
      <c r="AB204" s="72"/>
      <c r="AC204" s="72"/>
      <c r="AD204" s="72"/>
      <c r="AE204" s="72"/>
      <c r="AF204" s="72"/>
      <c r="AG204" s="72"/>
      <c r="AH204" s="72"/>
      <c r="AI204" s="72"/>
      <c r="AJ204" s="72"/>
      <c r="AK204" s="72"/>
      <c r="AL204" s="72"/>
      <c r="AM204" s="72"/>
      <c r="AN204" s="72"/>
      <c r="AO204" s="72"/>
      <c r="AP204" s="72"/>
      <c r="AQ204" s="72"/>
      <c r="AR204" s="72"/>
      <c r="AS204" s="72"/>
      <c r="AT204" s="72"/>
      <c r="AU204" s="72"/>
      <c r="AV204" s="72"/>
      <c r="AW204" s="72"/>
      <c r="AX204" s="72"/>
      <c r="AY204" s="72"/>
      <c r="AZ204" s="72"/>
      <c r="BA204" s="72"/>
      <c r="BB204" s="80"/>
    </row>
    <row r="205" spans="1:54" ht="15.75" customHeight="1">
      <c r="A205" s="71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  <c r="AA205" s="72"/>
      <c r="AB205" s="72"/>
      <c r="AC205" s="72"/>
      <c r="AD205" s="72"/>
      <c r="AE205" s="72"/>
      <c r="AF205" s="72"/>
      <c r="AG205" s="72"/>
      <c r="AH205" s="72"/>
      <c r="AI205" s="72"/>
      <c r="AJ205" s="72"/>
      <c r="AK205" s="72"/>
      <c r="AL205" s="72"/>
      <c r="AM205" s="72"/>
      <c r="AN205" s="72"/>
      <c r="AO205" s="72"/>
      <c r="AP205" s="72"/>
      <c r="AQ205" s="72"/>
      <c r="AR205" s="72"/>
      <c r="AS205" s="72"/>
      <c r="AT205" s="72"/>
      <c r="AU205" s="72"/>
      <c r="AV205" s="72"/>
      <c r="AW205" s="72"/>
      <c r="AX205" s="72"/>
      <c r="AY205" s="72"/>
      <c r="AZ205" s="72"/>
      <c r="BA205" s="72"/>
      <c r="BB205" s="80"/>
    </row>
    <row r="206" spans="1:54" ht="15.75" customHeight="1">
      <c r="A206" s="71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  <c r="AA206" s="72"/>
      <c r="AB206" s="72"/>
      <c r="AC206" s="72"/>
      <c r="AD206" s="72"/>
      <c r="AE206" s="72"/>
      <c r="AF206" s="72"/>
      <c r="AG206" s="72"/>
      <c r="AH206" s="72"/>
      <c r="AI206" s="72"/>
      <c r="AJ206" s="72"/>
      <c r="AK206" s="72"/>
      <c r="AL206" s="72"/>
      <c r="AM206" s="72"/>
      <c r="AN206" s="72"/>
      <c r="AO206" s="72"/>
      <c r="AP206" s="72"/>
      <c r="AQ206" s="72"/>
      <c r="AR206" s="72"/>
      <c r="AS206" s="72"/>
      <c r="AT206" s="72"/>
      <c r="AU206" s="72"/>
      <c r="AV206" s="72"/>
      <c r="AW206" s="72"/>
      <c r="AX206" s="72"/>
      <c r="AY206" s="72"/>
      <c r="AZ206" s="72"/>
      <c r="BA206" s="72"/>
      <c r="BB206" s="80"/>
    </row>
    <row r="207" spans="1:54" ht="15.75" customHeight="1">
      <c r="A207" s="71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  <c r="AC207" s="72"/>
      <c r="AD207" s="72"/>
      <c r="AE207" s="72"/>
      <c r="AF207" s="72"/>
      <c r="AG207" s="72"/>
      <c r="AH207" s="72"/>
      <c r="AI207" s="72"/>
      <c r="AJ207" s="72"/>
      <c r="AK207" s="72"/>
      <c r="AL207" s="72"/>
      <c r="AM207" s="72"/>
      <c r="AN207" s="72"/>
      <c r="AO207" s="72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80"/>
    </row>
    <row r="208" spans="1:54" ht="15.75" customHeight="1">
      <c r="A208" s="71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  <c r="AA208" s="72"/>
      <c r="AB208" s="72"/>
      <c r="AC208" s="72"/>
      <c r="AD208" s="72"/>
      <c r="AE208" s="72"/>
      <c r="AF208" s="72"/>
      <c r="AG208" s="72"/>
      <c r="AH208" s="72"/>
      <c r="AI208" s="72"/>
      <c r="AJ208" s="72"/>
      <c r="AK208" s="72"/>
      <c r="AL208" s="72"/>
      <c r="AM208" s="72"/>
      <c r="AN208" s="72"/>
      <c r="AO208" s="72"/>
      <c r="AP208" s="72"/>
      <c r="AQ208" s="72"/>
      <c r="AR208" s="72"/>
      <c r="AS208" s="72"/>
      <c r="AT208" s="72"/>
      <c r="AU208" s="72"/>
      <c r="AV208" s="72"/>
      <c r="AW208" s="72"/>
      <c r="AX208" s="72"/>
      <c r="AY208" s="72"/>
      <c r="AZ208" s="72"/>
      <c r="BA208" s="72"/>
      <c r="BB208" s="80"/>
    </row>
    <row r="209" spans="1:54" ht="15.75" customHeight="1">
      <c r="A209" s="71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  <c r="AA209" s="72"/>
      <c r="AB209" s="72"/>
      <c r="AC209" s="72"/>
      <c r="AD209" s="72"/>
      <c r="AE209" s="72"/>
      <c r="AF209" s="72"/>
      <c r="AG209" s="72"/>
      <c r="AH209" s="72"/>
      <c r="AI209" s="72"/>
      <c r="AJ209" s="72"/>
      <c r="AK209" s="72"/>
      <c r="AL209" s="72"/>
      <c r="AM209" s="72"/>
      <c r="AN209" s="72"/>
      <c r="AO209" s="72"/>
      <c r="AP209" s="72"/>
      <c r="AQ209" s="72"/>
      <c r="AR209" s="72"/>
      <c r="AS209" s="72"/>
      <c r="AT209" s="72"/>
      <c r="AU209" s="72"/>
      <c r="AV209" s="72"/>
      <c r="AW209" s="72"/>
      <c r="AX209" s="72"/>
      <c r="AY209" s="72"/>
      <c r="AZ209" s="72"/>
      <c r="BA209" s="72"/>
      <c r="BB209" s="80"/>
    </row>
    <row r="210" spans="1:54" ht="15.75" customHeight="1">
      <c r="A210" s="71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  <c r="AA210" s="72"/>
      <c r="AB210" s="72"/>
      <c r="AC210" s="72"/>
      <c r="AD210" s="72"/>
      <c r="AE210" s="72"/>
      <c r="AF210" s="72"/>
      <c r="AG210" s="72"/>
      <c r="AH210" s="72"/>
      <c r="AI210" s="72"/>
      <c r="AJ210" s="72"/>
      <c r="AK210" s="72"/>
      <c r="AL210" s="72"/>
      <c r="AM210" s="72"/>
      <c r="AN210" s="72"/>
      <c r="AO210" s="72"/>
      <c r="AP210" s="72"/>
      <c r="AQ210" s="72"/>
      <c r="AR210" s="72"/>
      <c r="AS210" s="72"/>
      <c r="AT210" s="72"/>
      <c r="AU210" s="72"/>
      <c r="AV210" s="72"/>
      <c r="AW210" s="72"/>
      <c r="AX210" s="72"/>
      <c r="AY210" s="72"/>
      <c r="AZ210" s="72"/>
      <c r="BA210" s="72"/>
      <c r="BB210" s="80"/>
    </row>
    <row r="211" spans="1:54" ht="15.75" customHeight="1">
      <c r="A211" s="71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  <c r="AA211" s="72"/>
      <c r="AB211" s="72"/>
      <c r="AC211" s="72"/>
      <c r="AD211" s="72"/>
      <c r="AE211" s="72"/>
      <c r="AF211" s="72"/>
      <c r="AG211" s="72"/>
      <c r="AH211" s="72"/>
      <c r="AI211" s="72"/>
      <c r="AJ211" s="72"/>
      <c r="AK211" s="72"/>
      <c r="AL211" s="72"/>
      <c r="AM211" s="72"/>
      <c r="AN211" s="72"/>
      <c r="AO211" s="72"/>
      <c r="AP211" s="72"/>
      <c r="AQ211" s="72"/>
      <c r="AR211" s="72"/>
      <c r="AS211" s="72"/>
      <c r="AT211" s="72"/>
      <c r="AU211" s="72"/>
      <c r="AV211" s="72"/>
      <c r="AW211" s="72"/>
      <c r="AX211" s="72"/>
      <c r="AY211" s="72"/>
      <c r="AZ211" s="72"/>
      <c r="BA211" s="72"/>
      <c r="BB211" s="80"/>
    </row>
    <row r="212" spans="1:54" ht="15.75" customHeight="1">
      <c r="A212" s="71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80"/>
    </row>
    <row r="213" spans="1:54" ht="15.75" customHeight="1">
      <c r="A213" s="71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  <c r="AA213" s="72"/>
      <c r="AB213" s="72"/>
      <c r="AC213" s="72"/>
      <c r="AD213" s="72"/>
      <c r="AE213" s="72"/>
      <c r="AF213" s="72"/>
      <c r="AG213" s="72"/>
      <c r="AH213" s="72"/>
      <c r="AI213" s="72"/>
      <c r="AJ213" s="72"/>
      <c r="AK213" s="72"/>
      <c r="AL213" s="72"/>
      <c r="AM213" s="72"/>
      <c r="AN213" s="72"/>
      <c r="AO213" s="7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80"/>
    </row>
    <row r="214" spans="1:54" ht="15.75" customHeight="1">
      <c r="A214" s="71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  <c r="AA214" s="72"/>
      <c r="AB214" s="72"/>
      <c r="AC214" s="72"/>
      <c r="AD214" s="72"/>
      <c r="AE214" s="72"/>
      <c r="AF214" s="72"/>
      <c r="AG214" s="72"/>
      <c r="AH214" s="72"/>
      <c r="AI214" s="72"/>
      <c r="AJ214" s="72"/>
      <c r="AK214" s="72"/>
      <c r="AL214" s="72"/>
      <c r="AM214" s="72"/>
      <c r="AN214" s="72"/>
      <c r="AO214" s="7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80"/>
    </row>
    <row r="215" spans="1:54" ht="15.75" customHeight="1">
      <c r="A215" s="71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  <c r="AC215" s="72"/>
      <c r="AD215" s="72"/>
      <c r="AE215" s="72"/>
      <c r="AF215" s="72"/>
      <c r="AG215" s="72"/>
      <c r="AH215" s="72"/>
      <c r="AI215" s="72"/>
      <c r="AJ215" s="72"/>
      <c r="AK215" s="72"/>
      <c r="AL215" s="72"/>
      <c r="AM215" s="72"/>
      <c r="AN215" s="72"/>
      <c r="AO215" s="7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80"/>
    </row>
    <row r="216" spans="1:54" ht="15.75" customHeight="1">
      <c r="A216" s="71"/>
      <c r="B216" s="72"/>
      <c r="C216" s="72"/>
      <c r="D216" s="72"/>
      <c r="E216" s="72"/>
      <c r="F216" s="72"/>
      <c r="G216" s="72"/>
      <c r="H216" s="72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  <c r="AA216" s="72"/>
      <c r="AB216" s="72"/>
      <c r="AC216" s="72"/>
      <c r="AD216" s="72"/>
      <c r="AE216" s="72"/>
      <c r="AF216" s="72"/>
      <c r="AG216" s="72"/>
      <c r="AH216" s="72"/>
      <c r="AI216" s="72"/>
      <c r="AJ216" s="72"/>
      <c r="AK216" s="72"/>
      <c r="AL216" s="72"/>
      <c r="AM216" s="72"/>
      <c r="AN216" s="72"/>
      <c r="AO216" s="72"/>
      <c r="AP216" s="72"/>
      <c r="AQ216" s="72"/>
      <c r="AR216" s="72"/>
      <c r="AS216" s="72"/>
      <c r="AT216" s="72"/>
      <c r="AU216" s="72"/>
      <c r="AV216" s="72"/>
      <c r="AW216" s="72"/>
      <c r="AX216" s="72"/>
      <c r="AY216" s="72"/>
      <c r="AZ216" s="72"/>
      <c r="BA216" s="72"/>
      <c r="BB216" s="80"/>
    </row>
    <row r="217" spans="1:54" ht="15.75" customHeight="1">
      <c r="A217" s="71"/>
      <c r="B217" s="72"/>
      <c r="C217" s="72"/>
      <c r="D217" s="72"/>
      <c r="E217" s="72"/>
      <c r="F217" s="72"/>
      <c r="G217" s="72"/>
      <c r="H217" s="72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  <c r="AA217" s="72"/>
      <c r="AB217" s="72"/>
      <c r="AC217" s="72"/>
      <c r="AD217" s="72"/>
      <c r="AE217" s="72"/>
      <c r="AF217" s="72"/>
      <c r="AG217" s="72"/>
      <c r="AH217" s="72"/>
      <c r="AI217" s="72"/>
      <c r="AJ217" s="72"/>
      <c r="AK217" s="72"/>
      <c r="AL217" s="72"/>
      <c r="AM217" s="72"/>
      <c r="AN217" s="72"/>
      <c r="AO217" s="72"/>
      <c r="AP217" s="72"/>
      <c r="AQ217" s="72"/>
      <c r="AR217" s="72"/>
      <c r="AS217" s="72"/>
      <c r="AT217" s="72"/>
      <c r="AU217" s="72"/>
      <c r="AV217" s="72"/>
      <c r="AW217" s="72"/>
      <c r="AX217" s="72"/>
      <c r="AY217" s="72"/>
      <c r="AZ217" s="72"/>
      <c r="BA217" s="72"/>
      <c r="BB217" s="80"/>
    </row>
    <row r="218" spans="1:54" ht="15.75" customHeight="1">
      <c r="A218" s="71"/>
      <c r="B218" s="7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72"/>
      <c r="AH218" s="7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80"/>
    </row>
    <row r="219" spans="1:54" ht="15.75" customHeight="1">
      <c r="A219" s="71"/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2"/>
      <c r="AH219" s="7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80"/>
    </row>
    <row r="220" spans="1:54" ht="15.75" customHeight="1">
      <c r="A220" s="71"/>
      <c r="B220" s="7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2"/>
      <c r="AH220" s="7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  <c r="AV220" s="72"/>
      <c r="AW220" s="72"/>
      <c r="AX220" s="72"/>
      <c r="AY220" s="72"/>
      <c r="AZ220" s="72"/>
      <c r="BA220" s="72"/>
      <c r="BB220" s="80"/>
    </row>
    <row r="221" spans="1:54" ht="15.75" customHeight="1">
      <c r="A221" s="71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2"/>
      <c r="AH221" s="72"/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  <c r="AX221" s="72"/>
      <c r="AY221" s="72"/>
      <c r="AZ221" s="72"/>
      <c r="BA221" s="72"/>
      <c r="BB221" s="80"/>
    </row>
    <row r="222" spans="1:54" ht="15.75" customHeight="1">
      <c r="A222" s="71"/>
      <c r="B222" s="72"/>
      <c r="C222" s="72"/>
      <c r="D222" s="72"/>
      <c r="E222" s="72"/>
      <c r="F222" s="72"/>
      <c r="G222" s="72"/>
      <c r="H222" s="72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  <c r="AA222" s="72"/>
      <c r="AB222" s="72"/>
      <c r="AC222" s="72"/>
      <c r="AD222" s="72"/>
      <c r="AE222" s="72"/>
      <c r="AF222" s="72"/>
      <c r="AG222" s="72"/>
      <c r="AH222" s="72"/>
      <c r="AI222" s="72"/>
      <c r="AJ222" s="72"/>
      <c r="AK222" s="72"/>
      <c r="AL222" s="72"/>
      <c r="AM222" s="72"/>
      <c r="AN222" s="72"/>
      <c r="AO222" s="72"/>
      <c r="AP222" s="72"/>
      <c r="AQ222" s="72"/>
      <c r="AR222" s="72"/>
      <c r="AS222" s="72"/>
      <c r="AT222" s="72"/>
      <c r="AU222" s="72"/>
      <c r="AV222" s="72"/>
      <c r="AW222" s="72"/>
      <c r="AX222" s="72"/>
      <c r="AY222" s="72"/>
      <c r="AZ222" s="72"/>
      <c r="BA222" s="72"/>
      <c r="BB222" s="80"/>
    </row>
    <row r="223" spans="1:54" ht="15.75" customHeight="1">
      <c r="A223" s="71"/>
      <c r="B223" s="72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  <c r="AC223" s="72"/>
      <c r="AD223" s="72"/>
      <c r="AE223" s="72"/>
      <c r="AF223" s="72"/>
      <c r="AG223" s="72"/>
      <c r="AH223" s="72"/>
      <c r="AI223" s="72"/>
      <c r="AJ223" s="72"/>
      <c r="AK223" s="72"/>
      <c r="AL223" s="72"/>
      <c r="AM223" s="72"/>
      <c r="AN223" s="72"/>
      <c r="AO223" s="72"/>
      <c r="AP223" s="72"/>
      <c r="AQ223" s="72"/>
      <c r="AR223" s="72"/>
      <c r="AS223" s="72"/>
      <c r="AT223" s="72"/>
      <c r="AU223" s="72"/>
      <c r="AV223" s="72"/>
      <c r="AW223" s="72"/>
      <c r="AX223" s="72"/>
      <c r="AY223" s="72"/>
      <c r="AZ223" s="72"/>
      <c r="BA223" s="72"/>
      <c r="BB223" s="80"/>
    </row>
    <row r="224" spans="1:54" ht="15.75" customHeight="1">
      <c r="A224" s="71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  <c r="AA224" s="72"/>
      <c r="AB224" s="72"/>
      <c r="AC224" s="72"/>
      <c r="AD224" s="72"/>
      <c r="AE224" s="72"/>
      <c r="AF224" s="72"/>
      <c r="AG224" s="72"/>
      <c r="AH224" s="72"/>
      <c r="AI224" s="72"/>
      <c r="AJ224" s="72"/>
      <c r="AK224" s="72"/>
      <c r="AL224" s="72"/>
      <c r="AM224" s="72"/>
      <c r="AN224" s="72"/>
      <c r="AO224" s="72"/>
      <c r="AP224" s="72"/>
      <c r="AQ224" s="72"/>
      <c r="AR224" s="72"/>
      <c r="AS224" s="72"/>
      <c r="AT224" s="72"/>
      <c r="AU224" s="72"/>
      <c r="AV224" s="72"/>
      <c r="AW224" s="72"/>
      <c r="AX224" s="72"/>
      <c r="AY224" s="72"/>
      <c r="AZ224" s="72"/>
      <c r="BA224" s="72"/>
      <c r="BB224" s="80"/>
    </row>
    <row r="225" spans="1:54" ht="15.75" customHeight="1">
      <c r="A225" s="71"/>
      <c r="B225" s="72"/>
      <c r="C225" s="72"/>
      <c r="D225" s="72"/>
      <c r="E225" s="72"/>
      <c r="F225" s="72"/>
      <c r="G225" s="72"/>
      <c r="H225" s="72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  <c r="AA225" s="72"/>
      <c r="AB225" s="72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80"/>
    </row>
    <row r="226" spans="1:54" ht="15.75" customHeight="1">
      <c r="A226" s="71"/>
      <c r="B226" s="72"/>
      <c r="C226" s="72"/>
      <c r="D226" s="72"/>
      <c r="E226" s="72"/>
      <c r="F226" s="72"/>
      <c r="G226" s="72"/>
      <c r="H226" s="72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  <c r="AA226" s="72"/>
      <c r="AB226" s="72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80"/>
    </row>
    <row r="227" spans="1:54" ht="15.75" customHeight="1">
      <c r="A227" s="71"/>
      <c r="B227" s="72"/>
      <c r="C227" s="72"/>
      <c r="D227" s="72"/>
      <c r="E227" s="72"/>
      <c r="F227" s="72"/>
      <c r="G227" s="72"/>
      <c r="H227" s="72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  <c r="AA227" s="72"/>
      <c r="AB227" s="72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80"/>
    </row>
    <row r="228" spans="1:54" ht="15.75" customHeight="1">
      <c r="A228" s="71"/>
      <c r="B228" s="72"/>
      <c r="C228" s="72"/>
      <c r="D228" s="72"/>
      <c r="E228" s="72"/>
      <c r="F228" s="72"/>
      <c r="G228" s="72"/>
      <c r="H228" s="72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  <c r="AA228" s="72"/>
      <c r="AB228" s="72"/>
      <c r="AC228" s="72"/>
      <c r="AD228" s="72"/>
      <c r="AE228" s="72"/>
      <c r="AF228" s="72"/>
      <c r="AG228" s="72"/>
      <c r="AH228" s="72"/>
      <c r="AI228" s="72"/>
      <c r="AJ228" s="72"/>
      <c r="AK228" s="72"/>
      <c r="AL228" s="72"/>
      <c r="AM228" s="72"/>
      <c r="AN228" s="72"/>
      <c r="AO228" s="72"/>
      <c r="AP228" s="72"/>
      <c r="AQ228" s="72"/>
      <c r="AR228" s="72"/>
      <c r="AS228" s="72"/>
      <c r="AT228" s="72"/>
      <c r="AU228" s="72"/>
      <c r="AV228" s="72"/>
      <c r="AW228" s="72"/>
      <c r="AX228" s="72"/>
      <c r="AY228" s="72"/>
      <c r="AZ228" s="72"/>
      <c r="BA228" s="72"/>
      <c r="BB228" s="80"/>
    </row>
    <row r="229" spans="1:54" ht="15.75" customHeight="1">
      <c r="A229" s="71"/>
      <c r="B229" s="72"/>
      <c r="C229" s="72"/>
      <c r="D229" s="72"/>
      <c r="E229" s="72"/>
      <c r="F229" s="72"/>
      <c r="G229" s="72"/>
      <c r="H229" s="72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  <c r="AA229" s="72"/>
      <c r="AB229" s="72"/>
      <c r="AC229" s="72"/>
      <c r="AD229" s="72"/>
      <c r="AE229" s="72"/>
      <c r="AF229" s="72"/>
      <c r="AG229" s="72"/>
      <c r="AH229" s="72"/>
      <c r="AI229" s="72"/>
      <c r="AJ229" s="72"/>
      <c r="AK229" s="72"/>
      <c r="AL229" s="72"/>
      <c r="AM229" s="72"/>
      <c r="AN229" s="72"/>
      <c r="AO229" s="7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80"/>
    </row>
    <row r="230" spans="1:54" ht="15.75" customHeight="1">
      <c r="A230" s="71"/>
      <c r="B230" s="72"/>
      <c r="C230" s="72"/>
      <c r="D230" s="72"/>
      <c r="E230" s="72"/>
      <c r="F230" s="72"/>
      <c r="G230" s="72"/>
      <c r="H230" s="72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  <c r="AA230" s="72"/>
      <c r="AB230" s="72"/>
      <c r="AC230" s="72"/>
      <c r="AD230" s="72"/>
      <c r="AE230" s="72"/>
      <c r="AF230" s="72"/>
      <c r="AG230" s="72"/>
      <c r="AH230" s="72"/>
      <c r="AI230" s="72"/>
      <c r="AJ230" s="72"/>
      <c r="AK230" s="72"/>
      <c r="AL230" s="72"/>
      <c r="AM230" s="72"/>
      <c r="AN230" s="72"/>
      <c r="AO230" s="7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80"/>
    </row>
    <row r="231" spans="1:54" ht="15.75" customHeight="1">
      <c r="A231" s="71"/>
      <c r="B231" s="72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  <c r="AC231" s="72"/>
      <c r="AD231" s="72"/>
      <c r="AE231" s="72"/>
      <c r="AF231" s="72"/>
      <c r="AG231" s="72"/>
      <c r="AH231" s="72"/>
      <c r="AI231" s="72"/>
      <c r="AJ231" s="72"/>
      <c r="AK231" s="72"/>
      <c r="AL231" s="72"/>
      <c r="AM231" s="72"/>
      <c r="AN231" s="72"/>
      <c r="AO231" s="7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80"/>
    </row>
    <row r="232" spans="1:54" ht="15.75" customHeight="1">
      <c r="A232" s="71"/>
      <c r="B232" s="72"/>
      <c r="C232" s="72"/>
      <c r="D232" s="72"/>
      <c r="E232" s="72"/>
      <c r="F232" s="72"/>
      <c r="G232" s="72"/>
      <c r="H232" s="72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  <c r="AA232" s="72"/>
      <c r="AB232" s="72"/>
      <c r="AC232" s="72"/>
      <c r="AD232" s="72"/>
      <c r="AE232" s="72"/>
      <c r="AF232" s="72"/>
      <c r="AG232" s="72"/>
      <c r="AH232" s="72"/>
      <c r="AI232" s="72"/>
      <c r="AJ232" s="72"/>
      <c r="AK232" s="72"/>
      <c r="AL232" s="72"/>
      <c r="AM232" s="72"/>
      <c r="AN232" s="72"/>
      <c r="AO232" s="7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80"/>
    </row>
    <row r="233" spans="1:54" ht="15.75" customHeight="1">
      <c r="A233" s="71"/>
      <c r="B233" s="72"/>
      <c r="C233" s="72"/>
      <c r="D233" s="72"/>
      <c r="E233" s="72"/>
      <c r="F233" s="72"/>
      <c r="G233" s="72"/>
      <c r="H233" s="72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  <c r="AA233" s="72"/>
      <c r="AB233" s="72"/>
      <c r="AC233" s="72"/>
      <c r="AD233" s="72"/>
      <c r="AE233" s="72"/>
      <c r="AF233" s="72"/>
      <c r="AG233" s="72"/>
      <c r="AH233" s="72"/>
      <c r="AI233" s="72"/>
      <c r="AJ233" s="72"/>
      <c r="AK233" s="72"/>
      <c r="AL233" s="72"/>
      <c r="AM233" s="72"/>
      <c r="AN233" s="72"/>
      <c r="AO233" s="72"/>
      <c r="AP233" s="72"/>
      <c r="AQ233" s="72"/>
      <c r="AR233" s="72"/>
      <c r="AS233" s="72"/>
      <c r="AT233" s="72"/>
      <c r="AU233" s="72"/>
      <c r="AV233" s="72"/>
      <c r="AW233" s="72"/>
      <c r="AX233" s="72"/>
      <c r="AY233" s="72"/>
      <c r="AZ233" s="72"/>
      <c r="BA233" s="72"/>
      <c r="BB233" s="80"/>
    </row>
    <row r="234" spans="1:54" ht="15.75" customHeight="1">
      <c r="A234" s="71"/>
      <c r="B234" s="72"/>
      <c r="C234" s="72"/>
      <c r="D234" s="72"/>
      <c r="E234" s="72"/>
      <c r="F234" s="72"/>
      <c r="G234" s="72"/>
      <c r="H234" s="72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  <c r="AA234" s="72"/>
      <c r="AB234" s="72"/>
      <c r="AC234" s="72"/>
      <c r="AD234" s="72"/>
      <c r="AE234" s="72"/>
      <c r="AF234" s="72"/>
      <c r="AG234" s="72"/>
      <c r="AH234" s="72"/>
      <c r="AI234" s="72"/>
      <c r="AJ234" s="72"/>
      <c r="AK234" s="72"/>
      <c r="AL234" s="72"/>
      <c r="AM234" s="72"/>
      <c r="AN234" s="72"/>
      <c r="AO234" s="72"/>
      <c r="AP234" s="72"/>
      <c r="AQ234" s="72"/>
      <c r="AR234" s="72"/>
      <c r="AS234" s="72"/>
      <c r="AT234" s="72"/>
      <c r="AU234" s="72"/>
      <c r="AV234" s="72"/>
      <c r="AW234" s="72"/>
      <c r="AX234" s="72"/>
      <c r="AY234" s="72"/>
      <c r="AZ234" s="72"/>
      <c r="BA234" s="72"/>
      <c r="BB234" s="80"/>
    </row>
    <row r="235" spans="1:54" ht="15.75" customHeight="1">
      <c r="A235" s="71"/>
      <c r="B235" s="72"/>
      <c r="C235" s="72"/>
      <c r="D235" s="72"/>
      <c r="E235" s="72"/>
      <c r="F235" s="72"/>
      <c r="G235" s="72"/>
      <c r="H235" s="72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  <c r="AA235" s="72"/>
      <c r="AB235" s="72"/>
      <c r="AC235" s="72"/>
      <c r="AD235" s="72"/>
      <c r="AE235" s="72"/>
      <c r="AF235" s="72"/>
      <c r="AG235" s="72"/>
      <c r="AH235" s="72"/>
      <c r="AI235" s="72"/>
      <c r="AJ235" s="72"/>
      <c r="AK235" s="72"/>
      <c r="AL235" s="72"/>
      <c r="AM235" s="72"/>
      <c r="AN235" s="72"/>
      <c r="AO235" s="7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80"/>
    </row>
    <row r="236" spans="1:54" ht="15.75" customHeight="1">
      <c r="A236" s="71"/>
      <c r="B236" s="72"/>
      <c r="C236" s="72"/>
      <c r="D236" s="72"/>
      <c r="E236" s="72"/>
      <c r="F236" s="72"/>
      <c r="G236" s="72"/>
      <c r="H236" s="72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  <c r="AA236" s="72"/>
      <c r="AB236" s="72"/>
      <c r="AC236" s="72"/>
      <c r="AD236" s="72"/>
      <c r="AE236" s="72"/>
      <c r="AF236" s="72"/>
      <c r="AG236" s="72"/>
      <c r="AH236" s="72"/>
      <c r="AI236" s="72"/>
      <c r="AJ236" s="72"/>
      <c r="AK236" s="72"/>
      <c r="AL236" s="72"/>
      <c r="AM236" s="72"/>
      <c r="AN236" s="72"/>
      <c r="AO236" s="7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80"/>
    </row>
    <row r="237" spans="1:54" ht="15.75" customHeight="1">
      <c r="A237" s="71"/>
      <c r="B237" s="72"/>
      <c r="C237" s="72"/>
      <c r="D237" s="72"/>
      <c r="E237" s="72"/>
      <c r="F237" s="72"/>
      <c r="G237" s="72"/>
      <c r="H237" s="72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  <c r="AA237" s="72"/>
      <c r="AB237" s="72"/>
      <c r="AC237" s="72"/>
      <c r="AD237" s="72"/>
      <c r="AE237" s="72"/>
      <c r="AF237" s="72"/>
      <c r="AG237" s="72"/>
      <c r="AH237" s="72"/>
      <c r="AI237" s="72"/>
      <c r="AJ237" s="72"/>
      <c r="AK237" s="72"/>
      <c r="AL237" s="72"/>
      <c r="AM237" s="72"/>
      <c r="AN237" s="72"/>
      <c r="AO237" s="72"/>
      <c r="AP237" s="72"/>
      <c r="AQ237" s="72"/>
      <c r="AR237" s="72"/>
      <c r="AS237" s="72"/>
      <c r="AT237" s="72"/>
      <c r="AU237" s="72"/>
      <c r="AV237" s="72"/>
      <c r="AW237" s="72"/>
      <c r="AX237" s="72"/>
      <c r="AY237" s="72"/>
      <c r="AZ237" s="72"/>
      <c r="BA237" s="72"/>
      <c r="BB237" s="80"/>
    </row>
    <row r="238" spans="1:54" ht="15.75" customHeight="1">
      <c r="A238" s="71"/>
      <c r="B238" s="72"/>
      <c r="C238" s="72"/>
      <c r="D238" s="72"/>
      <c r="E238" s="72"/>
      <c r="F238" s="72"/>
      <c r="G238" s="72"/>
      <c r="H238" s="72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  <c r="AA238" s="72"/>
      <c r="AB238" s="72"/>
      <c r="AC238" s="72"/>
      <c r="AD238" s="72"/>
      <c r="AE238" s="72"/>
      <c r="AF238" s="72"/>
      <c r="AG238" s="72"/>
      <c r="AH238" s="72"/>
      <c r="AI238" s="72"/>
      <c r="AJ238" s="72"/>
      <c r="AK238" s="72"/>
      <c r="AL238" s="72"/>
      <c r="AM238" s="72"/>
      <c r="AN238" s="72"/>
      <c r="AO238" s="72"/>
      <c r="AP238" s="72"/>
      <c r="AQ238" s="72"/>
      <c r="AR238" s="72"/>
      <c r="AS238" s="72"/>
      <c r="AT238" s="72"/>
      <c r="AU238" s="72"/>
      <c r="AV238" s="72"/>
      <c r="AW238" s="72"/>
      <c r="AX238" s="72"/>
      <c r="AY238" s="72"/>
      <c r="AZ238" s="72"/>
      <c r="BA238" s="72"/>
      <c r="BB238" s="80"/>
    </row>
    <row r="239" spans="1:54" ht="15.75" customHeight="1">
      <c r="A239" s="71"/>
      <c r="B239" s="72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  <c r="AC239" s="72"/>
      <c r="AD239" s="72"/>
      <c r="AE239" s="72"/>
      <c r="AF239" s="72"/>
      <c r="AG239" s="72"/>
      <c r="AH239" s="72"/>
      <c r="AI239" s="72"/>
      <c r="AJ239" s="72"/>
      <c r="AK239" s="72"/>
      <c r="AL239" s="72"/>
      <c r="AM239" s="72"/>
      <c r="AN239" s="72"/>
      <c r="AO239" s="72"/>
      <c r="AP239" s="72"/>
      <c r="AQ239" s="72"/>
      <c r="AR239" s="72"/>
      <c r="AS239" s="72"/>
      <c r="AT239" s="72"/>
      <c r="AU239" s="72"/>
      <c r="AV239" s="72"/>
      <c r="AW239" s="72"/>
      <c r="AX239" s="72"/>
      <c r="AY239" s="72"/>
      <c r="AZ239" s="72"/>
      <c r="BA239" s="72"/>
      <c r="BB239" s="80"/>
    </row>
    <row r="240" spans="1:54" ht="15.75" customHeight="1">
      <c r="A240" s="71"/>
      <c r="B240" s="72"/>
      <c r="C240" s="72"/>
      <c r="D240" s="72"/>
      <c r="E240" s="72"/>
      <c r="F240" s="72"/>
      <c r="G240" s="72"/>
      <c r="H240" s="72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  <c r="AA240" s="72"/>
      <c r="AB240" s="72"/>
      <c r="AC240" s="72"/>
      <c r="AD240" s="72"/>
      <c r="AE240" s="72"/>
      <c r="AF240" s="72"/>
      <c r="AG240" s="72"/>
      <c r="AH240" s="72"/>
      <c r="AI240" s="72"/>
      <c r="AJ240" s="72"/>
      <c r="AK240" s="72"/>
      <c r="AL240" s="72"/>
      <c r="AM240" s="72"/>
      <c r="AN240" s="72"/>
      <c r="AO240" s="72"/>
      <c r="AP240" s="72"/>
      <c r="AQ240" s="72"/>
      <c r="AR240" s="72"/>
      <c r="AS240" s="72"/>
      <c r="AT240" s="72"/>
      <c r="AU240" s="72"/>
      <c r="AV240" s="72"/>
      <c r="AW240" s="72"/>
      <c r="AX240" s="72"/>
      <c r="AY240" s="72"/>
      <c r="AZ240" s="72"/>
      <c r="BA240" s="72"/>
      <c r="BB240" s="80"/>
    </row>
    <row r="241" spans="1:54" ht="15.75" customHeight="1">
      <c r="A241" s="71"/>
      <c r="B241" s="72"/>
      <c r="C241" s="72"/>
      <c r="D241" s="72"/>
      <c r="E241" s="72"/>
      <c r="F241" s="72"/>
      <c r="G241" s="72"/>
      <c r="H241" s="72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  <c r="AA241" s="72"/>
      <c r="AB241" s="72"/>
      <c r="AC241" s="72"/>
      <c r="AD241" s="72"/>
      <c r="AE241" s="72"/>
      <c r="AF241" s="72"/>
      <c r="AG241" s="72"/>
      <c r="AH241" s="72"/>
      <c r="AI241" s="72"/>
      <c r="AJ241" s="72"/>
      <c r="AK241" s="72"/>
      <c r="AL241" s="72"/>
      <c r="AM241" s="72"/>
      <c r="AN241" s="72"/>
      <c r="AO241" s="72"/>
      <c r="AP241" s="72"/>
      <c r="AQ241" s="72"/>
      <c r="AR241" s="72"/>
      <c r="AS241" s="72"/>
      <c r="AT241" s="72"/>
      <c r="AU241" s="72"/>
      <c r="AV241" s="72"/>
      <c r="AW241" s="72"/>
      <c r="AX241" s="72"/>
      <c r="AY241" s="72"/>
      <c r="AZ241" s="72"/>
      <c r="BA241" s="72"/>
      <c r="BB241" s="80"/>
    </row>
    <row r="242" spans="1:54" ht="15.75" customHeight="1">
      <c r="A242" s="71"/>
      <c r="B242" s="72"/>
      <c r="C242" s="72"/>
      <c r="D242" s="72"/>
      <c r="E242" s="72"/>
      <c r="F242" s="72"/>
      <c r="G242" s="72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80"/>
    </row>
    <row r="243" spans="1:54" ht="15.75" customHeight="1">
      <c r="A243" s="71"/>
      <c r="B243" s="72"/>
      <c r="C243" s="72"/>
      <c r="D243" s="72"/>
      <c r="E243" s="72"/>
      <c r="F243" s="72"/>
      <c r="G243" s="72"/>
      <c r="H243" s="72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  <c r="AA243" s="72"/>
      <c r="AB243" s="72"/>
      <c r="AC243" s="72"/>
      <c r="AD243" s="72"/>
      <c r="AE243" s="72"/>
      <c r="AF243" s="72"/>
      <c r="AG243" s="72"/>
      <c r="AH243" s="72"/>
      <c r="AI243" s="72"/>
      <c r="AJ243" s="72"/>
      <c r="AK243" s="72"/>
      <c r="AL243" s="72"/>
      <c r="AM243" s="72"/>
      <c r="AN243" s="72"/>
      <c r="AO243" s="72"/>
      <c r="AP243" s="72"/>
      <c r="AQ243" s="72"/>
      <c r="AR243" s="72"/>
      <c r="AS243" s="72"/>
      <c r="AT243" s="72"/>
      <c r="AU243" s="72"/>
      <c r="AV243" s="72"/>
      <c r="AW243" s="72"/>
      <c r="AX243" s="72"/>
      <c r="AY243" s="72"/>
      <c r="AZ243" s="72"/>
      <c r="BA243" s="72"/>
      <c r="BB243" s="80"/>
    </row>
    <row r="244" spans="1:54" ht="15.75" customHeight="1">
      <c r="A244" s="71"/>
      <c r="B244" s="72"/>
      <c r="C244" s="72"/>
      <c r="D244" s="72"/>
      <c r="E244" s="72"/>
      <c r="F244" s="72"/>
      <c r="G244" s="72"/>
      <c r="H244" s="72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  <c r="AA244" s="72"/>
      <c r="AB244" s="72"/>
      <c r="AC244" s="72"/>
      <c r="AD244" s="72"/>
      <c r="AE244" s="72"/>
      <c r="AF244" s="72"/>
      <c r="AG244" s="72"/>
      <c r="AH244" s="72"/>
      <c r="AI244" s="72"/>
      <c r="AJ244" s="72"/>
      <c r="AK244" s="72"/>
      <c r="AL244" s="72"/>
      <c r="AM244" s="72"/>
      <c r="AN244" s="72"/>
      <c r="AO244" s="72"/>
      <c r="AP244" s="72"/>
      <c r="AQ244" s="72"/>
      <c r="AR244" s="72"/>
      <c r="AS244" s="72"/>
      <c r="AT244" s="72"/>
      <c r="AU244" s="72"/>
      <c r="AV244" s="72"/>
      <c r="AW244" s="72"/>
      <c r="AX244" s="72"/>
      <c r="AY244" s="72"/>
      <c r="AZ244" s="72"/>
      <c r="BA244" s="72"/>
      <c r="BB244" s="80"/>
    </row>
    <row r="245" spans="1:54" ht="15.75" customHeight="1">
      <c r="A245" s="71"/>
      <c r="B245" s="72"/>
      <c r="C245" s="72"/>
      <c r="D245" s="72"/>
      <c r="E245" s="72"/>
      <c r="F245" s="72"/>
      <c r="G245" s="72"/>
      <c r="H245" s="72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/>
      <c r="AC245" s="72"/>
      <c r="AD245" s="72"/>
      <c r="AE245" s="72"/>
      <c r="AF245" s="72"/>
      <c r="AG245" s="72"/>
      <c r="AH245" s="72"/>
      <c r="AI245" s="72"/>
      <c r="AJ245" s="72"/>
      <c r="AK245" s="72"/>
      <c r="AL245" s="72"/>
      <c r="AM245" s="72"/>
      <c r="AN245" s="72"/>
      <c r="AO245" s="72"/>
      <c r="AP245" s="72"/>
      <c r="AQ245" s="72"/>
      <c r="AR245" s="72"/>
      <c r="AS245" s="72"/>
      <c r="AT245" s="72"/>
      <c r="AU245" s="72"/>
      <c r="AV245" s="72"/>
      <c r="AW245" s="72"/>
      <c r="AX245" s="72"/>
      <c r="AY245" s="72"/>
      <c r="AZ245" s="72"/>
      <c r="BA245" s="72"/>
      <c r="BB245" s="80"/>
    </row>
    <row r="246" spans="1:54" ht="15.75" customHeight="1">
      <c r="A246" s="71"/>
      <c r="B246" s="72"/>
      <c r="C246" s="72"/>
      <c r="D246" s="72"/>
      <c r="E246" s="72"/>
      <c r="F246" s="72"/>
      <c r="G246" s="72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80"/>
    </row>
    <row r="247" spans="1:54" ht="15.75" customHeight="1">
      <c r="A247" s="71"/>
      <c r="B247" s="72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  <c r="AC247" s="72"/>
      <c r="AD247" s="72"/>
      <c r="AE247" s="72"/>
      <c r="AF247" s="72"/>
      <c r="AG247" s="72"/>
      <c r="AH247" s="72"/>
      <c r="AI247" s="72"/>
      <c r="AJ247" s="72"/>
      <c r="AK247" s="72"/>
      <c r="AL247" s="72"/>
      <c r="AM247" s="72"/>
      <c r="AN247" s="72"/>
      <c r="AO247" s="7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80"/>
    </row>
    <row r="248" spans="1:54" ht="15.75" customHeight="1">
      <c r="A248" s="71"/>
      <c r="B248" s="72"/>
      <c r="C248" s="72"/>
      <c r="D248" s="72"/>
      <c r="E248" s="72"/>
      <c r="F248" s="72"/>
      <c r="G248" s="72"/>
      <c r="H248" s="72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  <c r="AL248" s="72"/>
      <c r="AM248" s="72"/>
      <c r="AN248" s="72"/>
      <c r="AO248" s="7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80"/>
    </row>
    <row r="249" spans="1:54" ht="15.75" customHeight="1">
      <c r="A249" s="71"/>
      <c r="B249" s="72"/>
      <c r="C249" s="72"/>
      <c r="D249" s="72"/>
      <c r="E249" s="72"/>
      <c r="F249" s="72"/>
      <c r="G249" s="72"/>
      <c r="H249" s="72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  <c r="AL249" s="72"/>
      <c r="AM249" s="72"/>
      <c r="AN249" s="72"/>
      <c r="AO249" s="7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80"/>
    </row>
    <row r="250" spans="1:54" ht="15.75" customHeight="1">
      <c r="A250" s="71"/>
      <c r="B250" s="72"/>
      <c r="C250" s="72"/>
      <c r="D250" s="72"/>
      <c r="E250" s="72"/>
      <c r="F250" s="72"/>
      <c r="G250" s="72"/>
      <c r="H250" s="72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  <c r="AL250" s="72"/>
      <c r="AM250" s="72"/>
      <c r="AN250" s="72"/>
      <c r="AO250" s="7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80"/>
    </row>
    <row r="251" spans="1:54" ht="15.75" customHeight="1">
      <c r="A251" s="71"/>
      <c r="B251" s="72"/>
      <c r="C251" s="72"/>
      <c r="D251" s="72"/>
      <c r="E251" s="72"/>
      <c r="F251" s="72"/>
      <c r="G251" s="72"/>
      <c r="H251" s="72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  <c r="AL251" s="72"/>
      <c r="AM251" s="72"/>
      <c r="AN251" s="72"/>
      <c r="AO251" s="72"/>
      <c r="AP251" s="72"/>
      <c r="AQ251" s="72"/>
      <c r="AR251" s="72"/>
      <c r="AS251" s="72"/>
      <c r="AT251" s="72"/>
      <c r="AU251" s="72"/>
      <c r="AV251" s="72"/>
      <c r="AW251" s="72"/>
      <c r="AX251" s="72"/>
      <c r="AY251" s="72"/>
      <c r="AZ251" s="72"/>
      <c r="BA251" s="72"/>
      <c r="BB251" s="80"/>
    </row>
    <row r="252" spans="1:54" ht="15.75" customHeight="1">
      <c r="A252" s="71"/>
      <c r="B252" s="72"/>
      <c r="C252" s="72"/>
      <c r="D252" s="72"/>
      <c r="E252" s="72"/>
      <c r="F252" s="72"/>
      <c r="G252" s="72"/>
      <c r="H252" s="72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  <c r="AL252" s="72"/>
      <c r="AM252" s="72"/>
      <c r="AN252" s="72"/>
      <c r="AO252" s="72"/>
      <c r="AP252" s="72"/>
      <c r="AQ252" s="72"/>
      <c r="AR252" s="72"/>
      <c r="AS252" s="72"/>
      <c r="AT252" s="72"/>
      <c r="AU252" s="72"/>
      <c r="AV252" s="72"/>
      <c r="AW252" s="72"/>
      <c r="AX252" s="72"/>
      <c r="AY252" s="72"/>
      <c r="AZ252" s="72"/>
      <c r="BA252" s="72"/>
      <c r="BB252" s="80"/>
    </row>
    <row r="253" spans="1:54" ht="15.75" customHeight="1">
      <c r="A253" s="71"/>
      <c r="B253" s="72"/>
      <c r="C253" s="72"/>
      <c r="D253" s="72"/>
      <c r="E253" s="72"/>
      <c r="F253" s="72"/>
      <c r="G253" s="72"/>
      <c r="H253" s="72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  <c r="AL253" s="72"/>
      <c r="AM253" s="72"/>
      <c r="AN253" s="72"/>
      <c r="AO253" s="72"/>
      <c r="AP253" s="72"/>
      <c r="AQ253" s="72"/>
      <c r="AR253" s="72"/>
      <c r="AS253" s="72"/>
      <c r="AT253" s="72"/>
      <c r="AU253" s="72"/>
      <c r="AV253" s="72"/>
      <c r="AW253" s="72"/>
      <c r="AX253" s="72"/>
      <c r="AY253" s="72"/>
      <c r="AZ253" s="72"/>
      <c r="BA253" s="72"/>
      <c r="BB253" s="80"/>
    </row>
    <row r="254" spans="1:54" ht="15.75" customHeight="1">
      <c r="A254" s="71"/>
      <c r="B254" s="72"/>
      <c r="C254" s="72"/>
      <c r="D254" s="72"/>
      <c r="E254" s="72"/>
      <c r="F254" s="72"/>
      <c r="G254" s="72"/>
      <c r="H254" s="72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80"/>
    </row>
    <row r="255" spans="1:54" ht="15.75" customHeight="1">
      <c r="A255" s="71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80"/>
    </row>
    <row r="256" spans="1:54" ht="15.75" customHeight="1">
      <c r="A256" s="71"/>
      <c r="B256" s="72"/>
      <c r="C256" s="72"/>
      <c r="D256" s="72"/>
      <c r="E256" s="72"/>
      <c r="F256" s="72"/>
      <c r="G256" s="72"/>
      <c r="H256" s="72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80"/>
    </row>
    <row r="257" spans="1:54" ht="15.75" customHeight="1">
      <c r="A257" s="71"/>
      <c r="B257" s="72"/>
      <c r="C257" s="72"/>
      <c r="D257" s="72"/>
      <c r="E257" s="72"/>
      <c r="F257" s="72"/>
      <c r="G257" s="72"/>
      <c r="H257" s="72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  <c r="AL257" s="72"/>
      <c r="AM257" s="72"/>
      <c r="AN257" s="72"/>
      <c r="AO257" s="72"/>
      <c r="AP257" s="72"/>
      <c r="AQ257" s="72"/>
      <c r="AR257" s="72"/>
      <c r="AS257" s="72"/>
      <c r="AT257" s="72"/>
      <c r="AU257" s="72"/>
      <c r="AV257" s="72"/>
      <c r="AW257" s="72"/>
      <c r="AX257" s="72"/>
      <c r="AY257" s="72"/>
      <c r="AZ257" s="72"/>
      <c r="BA257" s="72"/>
      <c r="BB257" s="80"/>
    </row>
    <row r="258" spans="1:54" ht="15.75" customHeight="1">
      <c r="A258" s="71"/>
      <c r="B258" s="72"/>
      <c r="C258" s="72"/>
      <c r="D258" s="72"/>
      <c r="E258" s="72"/>
      <c r="F258" s="72"/>
      <c r="G258" s="72"/>
      <c r="H258" s="72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  <c r="AL258" s="72"/>
      <c r="AM258" s="72"/>
      <c r="AN258" s="72"/>
      <c r="AO258" s="72"/>
      <c r="AP258" s="72"/>
      <c r="AQ258" s="72"/>
      <c r="AR258" s="72"/>
      <c r="AS258" s="72"/>
      <c r="AT258" s="72"/>
      <c r="AU258" s="72"/>
      <c r="AV258" s="72"/>
      <c r="AW258" s="72"/>
      <c r="AX258" s="72"/>
      <c r="AY258" s="72"/>
      <c r="AZ258" s="72"/>
      <c r="BA258" s="72"/>
      <c r="BB258" s="80"/>
    </row>
    <row r="259" spans="1:54" ht="15.75" customHeight="1">
      <c r="A259" s="71"/>
      <c r="B259" s="72"/>
      <c r="C259" s="72"/>
      <c r="D259" s="72"/>
      <c r="E259" s="72"/>
      <c r="F259" s="72"/>
      <c r="G259" s="72"/>
      <c r="H259" s="72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  <c r="AL259" s="72"/>
      <c r="AM259" s="72"/>
      <c r="AN259" s="72"/>
      <c r="AO259" s="72"/>
      <c r="AP259" s="72"/>
      <c r="AQ259" s="72"/>
      <c r="AR259" s="72"/>
      <c r="AS259" s="72"/>
      <c r="AT259" s="72"/>
      <c r="AU259" s="72"/>
      <c r="AV259" s="72"/>
      <c r="AW259" s="72"/>
      <c r="AX259" s="72"/>
      <c r="AY259" s="72"/>
      <c r="AZ259" s="72"/>
      <c r="BA259" s="72"/>
      <c r="BB259" s="80"/>
    </row>
    <row r="260" spans="1:54" ht="15.75" customHeight="1">
      <c r="A260" s="71"/>
      <c r="B260" s="72"/>
      <c r="C260" s="72"/>
      <c r="D260" s="72"/>
      <c r="E260" s="72"/>
      <c r="F260" s="72"/>
      <c r="G260" s="72"/>
      <c r="H260" s="72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  <c r="AL260" s="72"/>
      <c r="AM260" s="72"/>
      <c r="AN260" s="72"/>
      <c r="AO260" s="72"/>
      <c r="AP260" s="72"/>
      <c r="AQ260" s="72"/>
      <c r="AR260" s="72"/>
      <c r="AS260" s="72"/>
      <c r="AT260" s="72"/>
      <c r="AU260" s="72"/>
      <c r="AV260" s="72"/>
      <c r="AW260" s="72"/>
      <c r="AX260" s="72"/>
      <c r="AY260" s="72"/>
      <c r="AZ260" s="72"/>
      <c r="BA260" s="72"/>
      <c r="BB260" s="80"/>
    </row>
    <row r="261" spans="1:54" ht="15.75" customHeight="1">
      <c r="A261" s="71"/>
      <c r="B261" s="72"/>
      <c r="C261" s="72"/>
      <c r="D261" s="72"/>
      <c r="E261" s="72"/>
      <c r="F261" s="72"/>
      <c r="G261" s="72"/>
      <c r="H261" s="72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  <c r="AL261" s="72"/>
      <c r="AM261" s="72"/>
      <c r="AN261" s="72"/>
      <c r="AO261" s="72"/>
      <c r="AP261" s="72"/>
      <c r="AQ261" s="72"/>
      <c r="AR261" s="72"/>
      <c r="AS261" s="72"/>
      <c r="AT261" s="72"/>
      <c r="AU261" s="72"/>
      <c r="AV261" s="72"/>
      <c r="AW261" s="72"/>
      <c r="AX261" s="72"/>
      <c r="AY261" s="72"/>
      <c r="AZ261" s="72"/>
      <c r="BA261" s="72"/>
      <c r="BB261" s="80"/>
    </row>
    <row r="262" spans="1:54" ht="15.75" customHeight="1">
      <c r="A262" s="71"/>
      <c r="B262" s="72"/>
      <c r="C262" s="72"/>
      <c r="D262" s="72"/>
      <c r="E262" s="72"/>
      <c r="F262" s="72"/>
      <c r="G262" s="72"/>
      <c r="H262" s="72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  <c r="AL262" s="72"/>
      <c r="AM262" s="72"/>
      <c r="AN262" s="72"/>
      <c r="AO262" s="72"/>
      <c r="AP262" s="72"/>
      <c r="AQ262" s="72"/>
      <c r="AR262" s="72"/>
      <c r="AS262" s="72"/>
      <c r="AT262" s="72"/>
      <c r="AU262" s="72"/>
      <c r="AV262" s="72"/>
      <c r="AW262" s="72"/>
      <c r="AX262" s="72"/>
      <c r="AY262" s="72"/>
      <c r="AZ262" s="72"/>
      <c r="BA262" s="72"/>
      <c r="BB262" s="80"/>
    </row>
    <row r="263" spans="1:54" ht="15.75" customHeight="1">
      <c r="A263" s="71"/>
      <c r="B263" s="72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  <c r="AL263" s="72"/>
      <c r="AM263" s="72"/>
      <c r="AN263" s="72"/>
      <c r="AO263" s="72"/>
      <c r="AP263" s="72"/>
      <c r="AQ263" s="72"/>
      <c r="AR263" s="72"/>
      <c r="AS263" s="72"/>
      <c r="AT263" s="72"/>
      <c r="AU263" s="72"/>
      <c r="AV263" s="72"/>
      <c r="AW263" s="72"/>
      <c r="AX263" s="72"/>
      <c r="AY263" s="72"/>
      <c r="AZ263" s="72"/>
      <c r="BA263" s="72"/>
      <c r="BB263" s="80"/>
    </row>
    <row r="264" spans="1:54" ht="15.75" customHeight="1">
      <c r="A264" s="71"/>
      <c r="B264" s="72"/>
      <c r="C264" s="72"/>
      <c r="D264" s="72"/>
      <c r="E264" s="72"/>
      <c r="F264" s="72"/>
      <c r="G264" s="72"/>
      <c r="H264" s="72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  <c r="AL264" s="72"/>
      <c r="AM264" s="72"/>
      <c r="AN264" s="72"/>
      <c r="AO264" s="72"/>
      <c r="AP264" s="72"/>
      <c r="AQ264" s="72"/>
      <c r="AR264" s="72"/>
      <c r="AS264" s="72"/>
      <c r="AT264" s="72"/>
      <c r="AU264" s="72"/>
      <c r="AV264" s="72"/>
      <c r="AW264" s="72"/>
      <c r="AX264" s="72"/>
      <c r="AY264" s="72"/>
      <c r="AZ264" s="72"/>
      <c r="BA264" s="72"/>
      <c r="BB264" s="80"/>
    </row>
    <row r="265" spans="1:54" ht="15.75" customHeight="1">
      <c r="A265" s="71"/>
      <c r="B265" s="72"/>
      <c r="C265" s="72"/>
      <c r="D265" s="72"/>
      <c r="E265" s="72"/>
      <c r="F265" s="72"/>
      <c r="G265" s="72"/>
      <c r="H265" s="72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  <c r="AL265" s="72"/>
      <c r="AM265" s="72"/>
      <c r="AN265" s="72"/>
      <c r="AO265" s="72"/>
      <c r="AP265" s="72"/>
      <c r="AQ265" s="72"/>
      <c r="AR265" s="72"/>
      <c r="AS265" s="72"/>
      <c r="AT265" s="72"/>
      <c r="AU265" s="72"/>
      <c r="AV265" s="72"/>
      <c r="AW265" s="72"/>
      <c r="AX265" s="72"/>
      <c r="AY265" s="72"/>
      <c r="AZ265" s="72"/>
      <c r="BA265" s="72"/>
      <c r="BB265" s="80"/>
    </row>
    <row r="266" spans="1:54" ht="15.75" customHeight="1">
      <c r="A266" s="71"/>
      <c r="B266" s="72"/>
      <c r="C266" s="72"/>
      <c r="D266" s="72"/>
      <c r="E266" s="72"/>
      <c r="F266" s="72"/>
      <c r="G266" s="72"/>
      <c r="H266" s="72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  <c r="AL266" s="72"/>
      <c r="AM266" s="72"/>
      <c r="AN266" s="72"/>
      <c r="AO266" s="72"/>
      <c r="AP266" s="72"/>
      <c r="AQ266" s="72"/>
      <c r="AR266" s="72"/>
      <c r="AS266" s="72"/>
      <c r="AT266" s="72"/>
      <c r="AU266" s="72"/>
      <c r="AV266" s="72"/>
      <c r="AW266" s="72"/>
      <c r="AX266" s="72"/>
      <c r="AY266" s="72"/>
      <c r="AZ266" s="72"/>
      <c r="BA266" s="72"/>
      <c r="BB266" s="80"/>
    </row>
    <row r="267" spans="1:54" ht="15.75" customHeight="1">
      <c r="A267" s="71"/>
      <c r="B267" s="72"/>
      <c r="C267" s="72"/>
      <c r="D267" s="72"/>
      <c r="E267" s="72"/>
      <c r="F267" s="72"/>
      <c r="G267" s="72"/>
      <c r="H267" s="72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  <c r="AL267" s="72"/>
      <c r="AM267" s="72"/>
      <c r="AN267" s="72"/>
      <c r="AO267" s="72"/>
      <c r="AP267" s="72"/>
      <c r="AQ267" s="72"/>
      <c r="AR267" s="72"/>
      <c r="AS267" s="72"/>
      <c r="AT267" s="72"/>
      <c r="AU267" s="72"/>
      <c r="AV267" s="72"/>
      <c r="AW267" s="72"/>
      <c r="AX267" s="72"/>
      <c r="AY267" s="72"/>
      <c r="AZ267" s="72"/>
      <c r="BA267" s="72"/>
      <c r="BB267" s="80"/>
    </row>
    <row r="268" spans="1:54" ht="15.75" customHeight="1">
      <c r="A268" s="71"/>
      <c r="B268" s="72"/>
      <c r="C268" s="72"/>
      <c r="D268" s="72"/>
      <c r="E268" s="72"/>
      <c r="F268" s="72"/>
      <c r="G268" s="72"/>
      <c r="H268" s="72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  <c r="AL268" s="72"/>
      <c r="AM268" s="72"/>
      <c r="AN268" s="72"/>
      <c r="AO268" s="72"/>
      <c r="AP268" s="72"/>
      <c r="AQ268" s="72"/>
      <c r="AR268" s="72"/>
      <c r="AS268" s="72"/>
      <c r="AT268" s="72"/>
      <c r="AU268" s="72"/>
      <c r="AV268" s="72"/>
      <c r="AW268" s="72"/>
      <c r="AX268" s="72"/>
      <c r="AY268" s="72"/>
      <c r="AZ268" s="72"/>
      <c r="BA268" s="72"/>
      <c r="BB268" s="80"/>
    </row>
    <row r="269" spans="1:54" ht="15.75" customHeight="1">
      <c r="A269" s="71"/>
      <c r="B269" s="72"/>
      <c r="C269" s="72"/>
      <c r="D269" s="72"/>
      <c r="E269" s="72"/>
      <c r="F269" s="72"/>
      <c r="G269" s="72"/>
      <c r="H269" s="72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  <c r="AL269" s="72"/>
      <c r="AM269" s="72"/>
      <c r="AN269" s="72"/>
      <c r="AO269" s="72"/>
      <c r="AP269" s="72"/>
      <c r="AQ269" s="72"/>
      <c r="AR269" s="72"/>
      <c r="AS269" s="72"/>
      <c r="AT269" s="72"/>
      <c r="AU269" s="72"/>
      <c r="AV269" s="72"/>
      <c r="AW269" s="72"/>
      <c r="AX269" s="72"/>
      <c r="AY269" s="72"/>
      <c r="AZ269" s="72"/>
      <c r="BA269" s="72"/>
      <c r="BB269" s="80"/>
    </row>
    <row r="270" spans="1:54" ht="15.75" customHeight="1">
      <c r="A270" s="71"/>
      <c r="B270" s="72"/>
      <c r="C270" s="72"/>
      <c r="D270" s="72"/>
      <c r="E270" s="72"/>
      <c r="F270" s="72"/>
      <c r="G270" s="72"/>
      <c r="H270" s="72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  <c r="AL270" s="72"/>
      <c r="AM270" s="72"/>
      <c r="AN270" s="72"/>
      <c r="AO270" s="72"/>
      <c r="AP270" s="72"/>
      <c r="AQ270" s="72"/>
      <c r="AR270" s="72"/>
      <c r="AS270" s="72"/>
      <c r="AT270" s="72"/>
      <c r="AU270" s="72"/>
      <c r="AV270" s="72"/>
      <c r="AW270" s="72"/>
      <c r="AX270" s="72"/>
      <c r="AY270" s="72"/>
      <c r="AZ270" s="72"/>
      <c r="BA270" s="72"/>
      <c r="BB270" s="80"/>
    </row>
    <row r="271" spans="1:54" ht="15.75" customHeight="1">
      <c r="A271" s="71"/>
      <c r="B271" s="72"/>
      <c r="C271" s="72"/>
      <c r="D271" s="72"/>
      <c r="E271" s="72"/>
      <c r="F271" s="72"/>
      <c r="G271" s="72"/>
      <c r="H271" s="72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  <c r="AL271" s="72"/>
      <c r="AM271" s="72"/>
      <c r="AN271" s="72"/>
      <c r="AO271" s="72"/>
      <c r="AP271" s="72"/>
      <c r="AQ271" s="72"/>
      <c r="AR271" s="72"/>
      <c r="AS271" s="72"/>
      <c r="AT271" s="72"/>
      <c r="AU271" s="72"/>
      <c r="AV271" s="72"/>
      <c r="AW271" s="72"/>
      <c r="AX271" s="72"/>
      <c r="AY271" s="72"/>
      <c r="AZ271" s="72"/>
      <c r="BA271" s="72"/>
      <c r="BB271" s="80"/>
    </row>
    <row r="272" spans="1:54" ht="15.75" customHeight="1">
      <c r="A272" s="71"/>
      <c r="B272" s="72"/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80"/>
    </row>
    <row r="273" spans="1:54" ht="15.75" customHeight="1">
      <c r="A273" s="71"/>
      <c r="B273" s="7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  <c r="AV273" s="72"/>
      <c r="AW273" s="72"/>
      <c r="AX273" s="72"/>
      <c r="AY273" s="72"/>
      <c r="AZ273" s="72"/>
      <c r="BA273" s="72"/>
      <c r="BB273" s="80"/>
    </row>
    <row r="274" spans="1:54" ht="15.75" customHeight="1">
      <c r="A274" s="71"/>
      <c r="B274" s="7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  <c r="AV274" s="72"/>
      <c r="AW274" s="72"/>
      <c r="AX274" s="72"/>
      <c r="AY274" s="72"/>
      <c r="AZ274" s="72"/>
      <c r="BA274" s="72"/>
      <c r="BB274" s="80"/>
    </row>
    <row r="275" spans="1:54" ht="15.75" customHeight="1">
      <c r="A275" s="71"/>
      <c r="B275" s="7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  <c r="AV275" s="72"/>
      <c r="AW275" s="72"/>
      <c r="AX275" s="72"/>
      <c r="AY275" s="72"/>
      <c r="AZ275" s="72"/>
      <c r="BA275" s="72"/>
      <c r="BB275" s="80"/>
    </row>
    <row r="276" spans="1:54" ht="15.75" customHeight="1">
      <c r="A276" s="71"/>
      <c r="B276" s="72"/>
      <c r="C276" s="72"/>
      <c r="D276" s="72"/>
      <c r="E276" s="72"/>
      <c r="F276" s="72"/>
      <c r="G276" s="72"/>
      <c r="H276" s="72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  <c r="AX276" s="72"/>
      <c r="AY276" s="72"/>
      <c r="AZ276" s="72"/>
      <c r="BA276" s="72"/>
      <c r="BB276" s="80"/>
    </row>
    <row r="277" spans="1:54" ht="15.75" customHeight="1">
      <c r="A277" s="71"/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  <c r="AL277" s="72"/>
      <c r="AM277" s="72"/>
      <c r="AN277" s="72"/>
      <c r="AO277" s="72"/>
      <c r="AP277" s="72"/>
      <c r="AQ277" s="72"/>
      <c r="AR277" s="72"/>
      <c r="AS277" s="72"/>
      <c r="AT277" s="72"/>
      <c r="AU277" s="72"/>
      <c r="AV277" s="72"/>
      <c r="AW277" s="72"/>
      <c r="AX277" s="72"/>
      <c r="AY277" s="72"/>
      <c r="AZ277" s="72"/>
      <c r="BA277" s="72"/>
      <c r="BB277" s="80"/>
    </row>
    <row r="278" spans="1:54" ht="15.75" customHeight="1">
      <c r="A278" s="71"/>
      <c r="B278" s="72"/>
      <c r="C278" s="72"/>
      <c r="D278" s="72"/>
      <c r="E278" s="72"/>
      <c r="F278" s="72"/>
      <c r="G278" s="72"/>
      <c r="H278" s="72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  <c r="AL278" s="72"/>
      <c r="AM278" s="72"/>
      <c r="AN278" s="72"/>
      <c r="AO278" s="72"/>
      <c r="AP278" s="72"/>
      <c r="AQ278" s="72"/>
      <c r="AR278" s="72"/>
      <c r="AS278" s="72"/>
      <c r="AT278" s="72"/>
      <c r="AU278" s="72"/>
      <c r="AV278" s="72"/>
      <c r="AW278" s="72"/>
      <c r="AX278" s="72"/>
      <c r="AY278" s="72"/>
      <c r="AZ278" s="72"/>
      <c r="BA278" s="72"/>
      <c r="BB278" s="80"/>
    </row>
    <row r="279" spans="1:54" ht="15.75" customHeight="1">
      <c r="A279" s="71"/>
      <c r="B279" s="72"/>
      <c r="C279" s="72"/>
      <c r="D279" s="72"/>
      <c r="E279" s="72"/>
      <c r="F279" s="72"/>
      <c r="G279" s="72"/>
      <c r="H279" s="72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  <c r="AL279" s="72"/>
      <c r="AM279" s="72"/>
      <c r="AN279" s="72"/>
      <c r="AO279" s="72"/>
      <c r="AP279" s="72"/>
      <c r="AQ279" s="72"/>
      <c r="AR279" s="72"/>
      <c r="AS279" s="72"/>
      <c r="AT279" s="72"/>
      <c r="AU279" s="72"/>
      <c r="AV279" s="72"/>
      <c r="AW279" s="72"/>
      <c r="AX279" s="72"/>
      <c r="AY279" s="72"/>
      <c r="AZ279" s="72"/>
      <c r="BA279" s="72"/>
      <c r="BB279" s="80"/>
    </row>
    <row r="280" spans="1:54" ht="15.75" customHeight="1">
      <c r="A280" s="71"/>
      <c r="B280" s="72"/>
      <c r="C280" s="72"/>
      <c r="D280" s="72"/>
      <c r="E280" s="72"/>
      <c r="F280" s="72"/>
      <c r="G280" s="72"/>
      <c r="H280" s="72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  <c r="AL280" s="72"/>
      <c r="AM280" s="72"/>
      <c r="AN280" s="72"/>
      <c r="AO280" s="72"/>
      <c r="AP280" s="72"/>
      <c r="AQ280" s="72"/>
      <c r="AR280" s="72"/>
      <c r="AS280" s="72"/>
      <c r="AT280" s="72"/>
      <c r="AU280" s="72"/>
      <c r="AV280" s="72"/>
      <c r="AW280" s="72"/>
      <c r="AX280" s="72"/>
      <c r="AY280" s="72"/>
      <c r="AZ280" s="72"/>
      <c r="BA280" s="72"/>
      <c r="BB280" s="80"/>
    </row>
    <row r="281" spans="1:54" ht="15.75" customHeight="1">
      <c r="A281" s="71"/>
      <c r="B281" s="72"/>
      <c r="C281" s="72"/>
      <c r="D281" s="72"/>
      <c r="E281" s="72"/>
      <c r="F281" s="72"/>
      <c r="G281" s="72"/>
      <c r="H281" s="72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  <c r="AL281" s="72"/>
      <c r="AM281" s="72"/>
      <c r="AN281" s="72"/>
      <c r="AO281" s="72"/>
      <c r="AP281" s="72"/>
      <c r="AQ281" s="72"/>
      <c r="AR281" s="72"/>
      <c r="AS281" s="72"/>
      <c r="AT281" s="72"/>
      <c r="AU281" s="72"/>
      <c r="AV281" s="72"/>
      <c r="AW281" s="72"/>
      <c r="AX281" s="72"/>
      <c r="AY281" s="72"/>
      <c r="AZ281" s="72"/>
      <c r="BA281" s="72"/>
      <c r="BB281" s="80"/>
    </row>
    <row r="282" spans="1:54" ht="15.75" customHeight="1">
      <c r="A282" s="71"/>
      <c r="B282" s="72"/>
      <c r="C282" s="72"/>
      <c r="D282" s="72"/>
      <c r="E282" s="72"/>
      <c r="F282" s="72"/>
      <c r="G282" s="72"/>
      <c r="H282" s="72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  <c r="AL282" s="72"/>
      <c r="AM282" s="72"/>
      <c r="AN282" s="72"/>
      <c r="AO282" s="72"/>
      <c r="AP282" s="72"/>
      <c r="AQ282" s="72"/>
      <c r="AR282" s="72"/>
      <c r="AS282" s="72"/>
      <c r="AT282" s="72"/>
      <c r="AU282" s="72"/>
      <c r="AV282" s="72"/>
      <c r="AW282" s="72"/>
      <c r="AX282" s="72"/>
      <c r="AY282" s="72"/>
      <c r="AZ282" s="72"/>
      <c r="BA282" s="72"/>
      <c r="BB282" s="80"/>
    </row>
    <row r="283" spans="1:54" ht="15.75" customHeight="1">
      <c r="A283" s="71"/>
      <c r="B283" s="72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80"/>
    </row>
    <row r="284" spans="1:54" ht="15.75" customHeight="1">
      <c r="BA284" s="29"/>
      <c r="BB284" s="29"/>
    </row>
    <row r="285" spans="1:54" ht="15.75" customHeight="1">
      <c r="BA285" s="29"/>
      <c r="BB285" s="29"/>
    </row>
    <row r="286" spans="1:54" ht="15.75" customHeight="1">
      <c r="BA286" s="29"/>
      <c r="BB286" s="29"/>
    </row>
    <row r="287" spans="1:54" ht="15.75" customHeight="1">
      <c r="BA287" s="29"/>
      <c r="BB287" s="29"/>
    </row>
    <row r="288" spans="1:54" ht="15.75" customHeight="1">
      <c r="BA288" s="29"/>
      <c r="BB288" s="29"/>
    </row>
    <row r="289" spans="53:54" ht="15.75" customHeight="1">
      <c r="BA289" s="29"/>
      <c r="BB289" s="29"/>
    </row>
    <row r="290" spans="53:54" ht="15.75" customHeight="1">
      <c r="BA290" s="29"/>
      <c r="BB290" s="29"/>
    </row>
    <row r="291" spans="53:54" ht="15.75" customHeight="1">
      <c r="BA291" s="29"/>
      <c r="BB291" s="29"/>
    </row>
    <row r="292" spans="53:54" ht="15.75" customHeight="1">
      <c r="BA292" s="29"/>
      <c r="BB292" s="29"/>
    </row>
    <row r="293" spans="53:54" ht="15.75" customHeight="1">
      <c r="BA293" s="29"/>
      <c r="BB293" s="29"/>
    </row>
    <row r="294" spans="53:54" ht="15.75" customHeight="1">
      <c r="BA294" s="29"/>
      <c r="BB294" s="29"/>
    </row>
    <row r="295" spans="53:54" ht="15.75" customHeight="1">
      <c r="BA295" s="29"/>
      <c r="BB295" s="29"/>
    </row>
    <row r="296" spans="53:54" ht="15.75" customHeight="1">
      <c r="BA296" s="29"/>
      <c r="BB296" s="29"/>
    </row>
    <row r="297" spans="53:54" ht="15.75" customHeight="1">
      <c r="BA297" s="29"/>
      <c r="BB297" s="29"/>
    </row>
    <row r="298" spans="53:54" ht="15.75" customHeight="1">
      <c r="BA298" s="29"/>
      <c r="BB298" s="29"/>
    </row>
    <row r="299" spans="53:54" ht="15.75" customHeight="1">
      <c r="BA299" s="29"/>
      <c r="BB299" s="29"/>
    </row>
    <row r="300" spans="53:54" ht="15.75" customHeight="1">
      <c r="BA300" s="29"/>
      <c r="BB300" s="29"/>
    </row>
    <row r="301" spans="53:54" ht="15.75" customHeight="1">
      <c r="BA301" s="29"/>
      <c r="BB301" s="29"/>
    </row>
    <row r="302" spans="53:54" ht="15.75" customHeight="1">
      <c r="BA302" s="29"/>
      <c r="BB302" s="29"/>
    </row>
    <row r="303" spans="53:54" ht="15.75" customHeight="1">
      <c r="BA303" s="29"/>
      <c r="BB303" s="29"/>
    </row>
    <row r="304" spans="53:54" ht="15.75" customHeight="1">
      <c r="BA304" s="29"/>
      <c r="BB304" s="29"/>
    </row>
    <row r="305" spans="53:54" ht="15.75" customHeight="1">
      <c r="BA305" s="29"/>
      <c r="BB305" s="29"/>
    </row>
    <row r="306" spans="53:54" ht="15.75" customHeight="1">
      <c r="BA306" s="29"/>
      <c r="BB306" s="29"/>
    </row>
    <row r="307" spans="53:54" ht="15.75" customHeight="1">
      <c r="BA307" s="29"/>
      <c r="BB307" s="29"/>
    </row>
    <row r="308" spans="53:54" ht="15.75" customHeight="1">
      <c r="BA308" s="29"/>
      <c r="BB308" s="29"/>
    </row>
    <row r="309" spans="53:54" ht="15.75" customHeight="1">
      <c r="BA309" s="29"/>
      <c r="BB309" s="29"/>
    </row>
    <row r="310" spans="53:54" ht="15.75" customHeight="1">
      <c r="BA310" s="29"/>
      <c r="BB310" s="29"/>
    </row>
    <row r="311" spans="53:54" ht="15.75" customHeight="1">
      <c r="BA311" s="29"/>
      <c r="BB311" s="29"/>
    </row>
    <row r="312" spans="53:54" ht="15.75" customHeight="1">
      <c r="BA312" s="29"/>
      <c r="BB312" s="29"/>
    </row>
    <row r="313" spans="53:54" ht="15.75" customHeight="1">
      <c r="BA313" s="29"/>
      <c r="BB313" s="29"/>
    </row>
    <row r="314" spans="53:54" ht="15.75" customHeight="1">
      <c r="BA314" s="29"/>
      <c r="BB314" s="29"/>
    </row>
    <row r="315" spans="53:54" ht="15.75" customHeight="1">
      <c r="BA315" s="29"/>
      <c r="BB315" s="29"/>
    </row>
    <row r="316" spans="53:54" ht="15.75" customHeight="1">
      <c r="BA316" s="29"/>
      <c r="BB316" s="29"/>
    </row>
    <row r="317" spans="53:54" ht="15.75" customHeight="1">
      <c r="BA317" s="29"/>
      <c r="BB317" s="29"/>
    </row>
    <row r="318" spans="53:54" ht="15.75" customHeight="1">
      <c r="BA318" s="29"/>
      <c r="BB318" s="29"/>
    </row>
    <row r="319" spans="53:54" ht="15.75" customHeight="1">
      <c r="BA319" s="29"/>
      <c r="BB319" s="29"/>
    </row>
    <row r="320" spans="53:54" ht="15.75" customHeight="1">
      <c r="BA320" s="29"/>
      <c r="BB320" s="29"/>
    </row>
    <row r="321" spans="53:54" ht="15.75" customHeight="1">
      <c r="BA321" s="29"/>
      <c r="BB321" s="29"/>
    </row>
    <row r="322" spans="53:54" ht="15.75" customHeight="1">
      <c r="BA322" s="29"/>
      <c r="BB322" s="29"/>
    </row>
    <row r="323" spans="53:54" ht="15.75" customHeight="1">
      <c r="BA323" s="29"/>
      <c r="BB323" s="29"/>
    </row>
    <row r="324" spans="53:54" ht="15.75" customHeight="1">
      <c r="BA324" s="29"/>
      <c r="BB324" s="29"/>
    </row>
    <row r="325" spans="53:54" ht="15.75" customHeight="1">
      <c r="BA325" s="29"/>
      <c r="BB325" s="29"/>
    </row>
    <row r="326" spans="53:54" ht="15.75" customHeight="1">
      <c r="BA326" s="29"/>
      <c r="BB326" s="29"/>
    </row>
    <row r="327" spans="53:54" ht="15.75" customHeight="1">
      <c r="BA327" s="29"/>
      <c r="BB327" s="29"/>
    </row>
    <row r="328" spans="53:54" ht="15.75" customHeight="1">
      <c r="BA328" s="29"/>
      <c r="BB328" s="29"/>
    </row>
    <row r="329" spans="53:54" ht="15.75" customHeight="1">
      <c r="BA329" s="29"/>
      <c r="BB329" s="29"/>
    </row>
    <row r="330" spans="53:54" ht="15.75" customHeight="1">
      <c r="BA330" s="29"/>
      <c r="BB330" s="29"/>
    </row>
    <row r="331" spans="53:54" ht="15.75" customHeight="1">
      <c r="BA331" s="29"/>
      <c r="BB331" s="29"/>
    </row>
    <row r="332" spans="53:54" ht="15.75" customHeight="1">
      <c r="BA332" s="29"/>
      <c r="BB332" s="29"/>
    </row>
    <row r="333" spans="53:54" ht="15.75" customHeight="1">
      <c r="BA333" s="29"/>
      <c r="BB333" s="29"/>
    </row>
    <row r="334" spans="53:54" ht="15.75" customHeight="1">
      <c r="BA334" s="29"/>
      <c r="BB334" s="29"/>
    </row>
    <row r="335" spans="53:54" ht="15.75" customHeight="1">
      <c r="BA335" s="29"/>
      <c r="BB335" s="29"/>
    </row>
    <row r="336" spans="53:54" ht="15.75" customHeight="1">
      <c r="BA336" s="29"/>
      <c r="BB336" s="29"/>
    </row>
    <row r="337" spans="53:54" ht="15.75" customHeight="1">
      <c r="BA337" s="29"/>
      <c r="BB337" s="29"/>
    </row>
    <row r="338" spans="53:54" ht="15.75" customHeight="1">
      <c r="BA338" s="29"/>
      <c r="BB338" s="29"/>
    </row>
    <row r="339" spans="53:54" ht="15.75" customHeight="1">
      <c r="BA339" s="29"/>
      <c r="BB339" s="29"/>
    </row>
    <row r="340" spans="53:54" ht="15.75" customHeight="1">
      <c r="BA340" s="29"/>
      <c r="BB340" s="29"/>
    </row>
    <row r="341" spans="53:54" ht="15.75" customHeight="1">
      <c r="BA341" s="29"/>
      <c r="BB341" s="29"/>
    </row>
    <row r="342" spans="53:54" ht="15.75" customHeight="1">
      <c r="BA342" s="29"/>
      <c r="BB342" s="29"/>
    </row>
    <row r="343" spans="53:54" ht="15.75" customHeight="1">
      <c r="BA343" s="29"/>
      <c r="BB343" s="29"/>
    </row>
    <row r="344" spans="53:54" ht="15.75" customHeight="1">
      <c r="BA344" s="29"/>
      <c r="BB344" s="29"/>
    </row>
    <row r="345" spans="53:54" ht="15.75" customHeight="1">
      <c r="BA345" s="29"/>
      <c r="BB345" s="29"/>
    </row>
    <row r="346" spans="53:54" ht="15.75" customHeight="1">
      <c r="BA346" s="29"/>
      <c r="BB346" s="29"/>
    </row>
    <row r="347" spans="53:54" ht="15.75" customHeight="1">
      <c r="BA347" s="29"/>
      <c r="BB347" s="29"/>
    </row>
    <row r="348" spans="53:54" ht="15.75" customHeight="1">
      <c r="BA348" s="29"/>
      <c r="BB348" s="29"/>
    </row>
    <row r="349" spans="53:54" ht="15.75" customHeight="1">
      <c r="BA349" s="29"/>
      <c r="BB349" s="29"/>
    </row>
    <row r="350" spans="53:54" ht="15.75" customHeight="1">
      <c r="BA350" s="29"/>
      <c r="BB350" s="29"/>
    </row>
    <row r="351" spans="53:54" ht="15.75" customHeight="1">
      <c r="BA351" s="29"/>
      <c r="BB351" s="29"/>
    </row>
    <row r="352" spans="53:54" ht="15.75" customHeight="1">
      <c r="BA352" s="29"/>
      <c r="BB352" s="29"/>
    </row>
    <row r="353" spans="53:54" ht="15.75" customHeight="1">
      <c r="BA353" s="29"/>
      <c r="BB353" s="29"/>
    </row>
    <row r="354" spans="53:54" ht="15.75" customHeight="1">
      <c r="BA354" s="29"/>
      <c r="BB354" s="29"/>
    </row>
    <row r="355" spans="53:54" ht="15.75" customHeight="1">
      <c r="BA355" s="29"/>
      <c r="BB355" s="29"/>
    </row>
    <row r="356" spans="53:54" ht="15.75" customHeight="1">
      <c r="BA356" s="29"/>
      <c r="BB356" s="29"/>
    </row>
    <row r="357" spans="53:54" ht="15.75" customHeight="1">
      <c r="BA357" s="29"/>
      <c r="BB357" s="29"/>
    </row>
    <row r="358" spans="53:54" ht="15.75" customHeight="1">
      <c r="BA358" s="29"/>
      <c r="BB358" s="29"/>
    </row>
    <row r="359" spans="53:54" ht="15.75" customHeight="1">
      <c r="BA359" s="29"/>
      <c r="BB359" s="29"/>
    </row>
    <row r="360" spans="53:54" ht="15.75" customHeight="1">
      <c r="BA360" s="29"/>
      <c r="BB360" s="29"/>
    </row>
    <row r="361" spans="53:54" ht="15.75" customHeight="1">
      <c r="BA361" s="29"/>
      <c r="BB361" s="29"/>
    </row>
    <row r="362" spans="53:54" ht="15.75" customHeight="1">
      <c r="BA362" s="29"/>
      <c r="BB362" s="29"/>
    </row>
    <row r="363" spans="53:54" ht="15.75" customHeight="1">
      <c r="BA363" s="29"/>
      <c r="BB363" s="29"/>
    </row>
    <row r="364" spans="53:54" ht="15.75" customHeight="1">
      <c r="BA364" s="29"/>
      <c r="BB364" s="29"/>
    </row>
    <row r="365" spans="53:54" ht="15.75" customHeight="1">
      <c r="BA365" s="29"/>
      <c r="BB365" s="29"/>
    </row>
    <row r="366" spans="53:54" ht="15.75" customHeight="1">
      <c r="BA366" s="29"/>
      <c r="BB366" s="29"/>
    </row>
    <row r="367" spans="53:54" ht="15.75" customHeight="1">
      <c r="BA367" s="29"/>
      <c r="BB367" s="29"/>
    </row>
    <row r="368" spans="53:54" ht="15.75" customHeight="1">
      <c r="BA368" s="29"/>
      <c r="BB368" s="29"/>
    </row>
    <row r="369" spans="53:54" ht="15.75" customHeight="1">
      <c r="BA369" s="29"/>
      <c r="BB369" s="29"/>
    </row>
    <row r="370" spans="53:54" ht="15.75" customHeight="1">
      <c r="BA370" s="29"/>
      <c r="BB370" s="29"/>
    </row>
    <row r="371" spans="53:54" ht="15.75" customHeight="1">
      <c r="BA371" s="29"/>
      <c r="BB371" s="29"/>
    </row>
    <row r="372" spans="53:54" ht="15.75" customHeight="1">
      <c r="BA372" s="29"/>
      <c r="BB372" s="29"/>
    </row>
    <row r="373" spans="53:54" ht="15.75" customHeight="1">
      <c r="BA373" s="29"/>
      <c r="BB373" s="29"/>
    </row>
    <row r="374" spans="53:54" ht="15.75" customHeight="1">
      <c r="BA374" s="29"/>
      <c r="BB374" s="29"/>
    </row>
    <row r="375" spans="53:54" ht="15.75" customHeight="1">
      <c r="BA375" s="29"/>
      <c r="BB375" s="29"/>
    </row>
    <row r="376" spans="53:54" ht="15.75" customHeight="1">
      <c r="BA376" s="29"/>
      <c r="BB376" s="29"/>
    </row>
    <row r="377" spans="53:54" ht="15.75" customHeight="1">
      <c r="BA377" s="29"/>
      <c r="BB377" s="29"/>
    </row>
    <row r="378" spans="53:54" ht="15.75" customHeight="1">
      <c r="BA378" s="29"/>
      <c r="BB378" s="29"/>
    </row>
    <row r="379" spans="53:54" ht="15.75" customHeight="1">
      <c r="BA379" s="29"/>
      <c r="BB379" s="29"/>
    </row>
    <row r="380" spans="53:54" ht="15.75" customHeight="1">
      <c r="BA380" s="29"/>
      <c r="BB380" s="29"/>
    </row>
    <row r="381" spans="53:54" ht="15.75" customHeight="1">
      <c r="BA381" s="29"/>
      <c r="BB381" s="29"/>
    </row>
    <row r="382" spans="53:54" ht="15.75" customHeight="1">
      <c r="BA382" s="29"/>
      <c r="BB382" s="29"/>
    </row>
    <row r="383" spans="53:54" ht="15.75" customHeight="1">
      <c r="BA383" s="29"/>
      <c r="BB383" s="29"/>
    </row>
    <row r="384" spans="53:54" ht="15.75" customHeight="1">
      <c r="BA384" s="29"/>
      <c r="BB384" s="29"/>
    </row>
    <row r="385" spans="53:54" ht="15.75" customHeight="1">
      <c r="BA385" s="29"/>
      <c r="BB385" s="29"/>
    </row>
    <row r="386" spans="53:54" ht="15.75" customHeight="1">
      <c r="BA386" s="29"/>
      <c r="BB386" s="29"/>
    </row>
    <row r="387" spans="53:54" ht="15.75" customHeight="1">
      <c r="BA387" s="29"/>
      <c r="BB387" s="29"/>
    </row>
    <row r="388" spans="53:54" ht="15.75" customHeight="1">
      <c r="BA388" s="29"/>
      <c r="BB388" s="29"/>
    </row>
    <row r="389" spans="53:54" ht="15.75" customHeight="1">
      <c r="BA389" s="29"/>
      <c r="BB389" s="29"/>
    </row>
    <row r="390" spans="53:54" ht="15.75" customHeight="1">
      <c r="BA390" s="29"/>
      <c r="BB390" s="29"/>
    </row>
    <row r="391" spans="53:54" ht="15.75" customHeight="1">
      <c r="BA391" s="29"/>
      <c r="BB391" s="29"/>
    </row>
    <row r="392" spans="53:54" ht="15.75" customHeight="1">
      <c r="BA392" s="29"/>
      <c r="BB392" s="29"/>
    </row>
    <row r="393" spans="53:54" ht="15.75" customHeight="1">
      <c r="BA393" s="29"/>
      <c r="BB393" s="29"/>
    </row>
    <row r="394" spans="53:54" ht="15.75" customHeight="1">
      <c r="BA394" s="29"/>
      <c r="BB394" s="29"/>
    </row>
    <row r="395" spans="53:54" ht="15.75" customHeight="1">
      <c r="BA395" s="29"/>
      <c r="BB395" s="29"/>
    </row>
    <row r="396" spans="53:54" ht="15.75" customHeight="1">
      <c r="BA396" s="29"/>
      <c r="BB396" s="29"/>
    </row>
    <row r="397" spans="53:54" ht="15.75" customHeight="1">
      <c r="BA397" s="29"/>
      <c r="BB397" s="29"/>
    </row>
    <row r="398" spans="53:54" ht="15.75" customHeight="1">
      <c r="BA398" s="29"/>
      <c r="BB398" s="29"/>
    </row>
    <row r="399" spans="53:54" ht="15.75" customHeight="1">
      <c r="BA399" s="29"/>
      <c r="BB399" s="29"/>
    </row>
    <row r="400" spans="53:54" ht="15.75" customHeight="1">
      <c r="BA400" s="29"/>
      <c r="BB400" s="29"/>
    </row>
    <row r="401" spans="53:54" ht="15.75" customHeight="1">
      <c r="BA401" s="29"/>
      <c r="BB401" s="29"/>
    </row>
    <row r="402" spans="53:54" ht="15.75" customHeight="1">
      <c r="BA402" s="29"/>
      <c r="BB402" s="29"/>
    </row>
    <row r="403" spans="53:54" ht="15.75" customHeight="1">
      <c r="BA403" s="29"/>
      <c r="BB403" s="29"/>
    </row>
    <row r="404" spans="53:54" ht="15.75" customHeight="1">
      <c r="BA404" s="29"/>
      <c r="BB404" s="29"/>
    </row>
    <row r="405" spans="53:54" ht="15.75" customHeight="1">
      <c r="BA405" s="29"/>
      <c r="BB405" s="29"/>
    </row>
    <row r="406" spans="53:54" ht="15.75" customHeight="1">
      <c r="BA406" s="29"/>
      <c r="BB406" s="29"/>
    </row>
    <row r="407" spans="53:54" ht="15.75" customHeight="1">
      <c r="BA407" s="29"/>
      <c r="BB407" s="29"/>
    </row>
    <row r="408" spans="53:54" ht="15.75" customHeight="1">
      <c r="BA408" s="29"/>
      <c r="BB408" s="29"/>
    </row>
    <row r="409" spans="53:54" ht="15.75" customHeight="1">
      <c r="BA409" s="29"/>
      <c r="BB409" s="29"/>
    </row>
    <row r="410" spans="53:54" ht="15.75" customHeight="1">
      <c r="BA410" s="29"/>
      <c r="BB410" s="29"/>
    </row>
    <row r="411" spans="53:54" ht="15.75" customHeight="1">
      <c r="BA411" s="29"/>
      <c r="BB411" s="29"/>
    </row>
    <row r="412" spans="53:54" ht="15.75" customHeight="1">
      <c r="BA412" s="29"/>
      <c r="BB412" s="29"/>
    </row>
    <row r="413" spans="53:54" ht="15.75" customHeight="1">
      <c r="BA413" s="29"/>
      <c r="BB413" s="29"/>
    </row>
    <row r="414" spans="53:54" ht="15.75" customHeight="1">
      <c r="BA414" s="29"/>
      <c r="BB414" s="29"/>
    </row>
    <row r="415" spans="53:54" ht="15.75" customHeight="1">
      <c r="BA415" s="29"/>
      <c r="BB415" s="29"/>
    </row>
    <row r="416" spans="53:54" ht="15.75" customHeight="1">
      <c r="BA416" s="29"/>
      <c r="BB416" s="29"/>
    </row>
    <row r="417" spans="53:54" ht="15.75" customHeight="1">
      <c r="BA417" s="29"/>
      <c r="BB417" s="29"/>
    </row>
    <row r="418" spans="53:54" ht="15.75" customHeight="1">
      <c r="BA418" s="29"/>
      <c r="BB418" s="29"/>
    </row>
    <row r="419" spans="53:54" ht="15.75" customHeight="1">
      <c r="BA419" s="29"/>
      <c r="BB419" s="29"/>
    </row>
    <row r="420" spans="53:54" ht="15.75" customHeight="1">
      <c r="BA420" s="29"/>
      <c r="BB420" s="29"/>
    </row>
    <row r="421" spans="53:54" ht="15.75" customHeight="1">
      <c r="BA421" s="29"/>
      <c r="BB421" s="29"/>
    </row>
    <row r="422" spans="53:54" ht="15.75" customHeight="1">
      <c r="BA422" s="29"/>
      <c r="BB422" s="29"/>
    </row>
    <row r="423" spans="53:54" ht="15.75" customHeight="1">
      <c r="BA423" s="29"/>
      <c r="BB423" s="29"/>
    </row>
    <row r="424" spans="53:54" ht="15.75" customHeight="1">
      <c r="BA424" s="29"/>
      <c r="BB424" s="29"/>
    </row>
    <row r="425" spans="53:54" ht="15.75" customHeight="1">
      <c r="BA425" s="29"/>
      <c r="BB425" s="29"/>
    </row>
    <row r="426" spans="53:54" ht="15.75" customHeight="1">
      <c r="BA426" s="29"/>
      <c r="BB426" s="29"/>
    </row>
    <row r="427" spans="53:54" ht="15.75" customHeight="1">
      <c r="BA427" s="29"/>
      <c r="BB427" s="29"/>
    </row>
    <row r="428" spans="53:54" ht="15.75" customHeight="1">
      <c r="BA428" s="29"/>
      <c r="BB428" s="29"/>
    </row>
    <row r="429" spans="53:54" ht="15.75" customHeight="1">
      <c r="BA429" s="29"/>
      <c r="BB429" s="29"/>
    </row>
    <row r="430" spans="53:54" ht="15.75" customHeight="1">
      <c r="BA430" s="29"/>
      <c r="BB430" s="29"/>
    </row>
    <row r="431" spans="53:54" ht="15.75" customHeight="1">
      <c r="BA431" s="29"/>
      <c r="BB431" s="29"/>
    </row>
    <row r="432" spans="53:54" ht="15.75" customHeight="1">
      <c r="BA432" s="29"/>
      <c r="BB432" s="29"/>
    </row>
    <row r="433" spans="53:54" ht="15.75" customHeight="1">
      <c r="BA433" s="29"/>
      <c r="BB433" s="29"/>
    </row>
    <row r="434" spans="53:54" ht="15.75" customHeight="1">
      <c r="BA434" s="29"/>
      <c r="BB434" s="29"/>
    </row>
    <row r="435" spans="53:54" ht="15.75" customHeight="1">
      <c r="BA435" s="29"/>
      <c r="BB435" s="29"/>
    </row>
    <row r="436" spans="53:54" ht="15.75" customHeight="1">
      <c r="BA436" s="29"/>
      <c r="BB436" s="29"/>
    </row>
    <row r="437" spans="53:54" ht="15.75" customHeight="1">
      <c r="BA437" s="29"/>
      <c r="BB437" s="29"/>
    </row>
    <row r="438" spans="53:54" ht="15.75" customHeight="1">
      <c r="BA438" s="29"/>
      <c r="BB438" s="29"/>
    </row>
    <row r="439" spans="53:54" ht="15.75" customHeight="1">
      <c r="BA439" s="29"/>
      <c r="BB439" s="29"/>
    </row>
    <row r="440" spans="53:54" ht="15.75" customHeight="1">
      <c r="BA440" s="29"/>
      <c r="BB440" s="29"/>
    </row>
    <row r="441" spans="53:54" ht="15.75" customHeight="1">
      <c r="BA441" s="29"/>
      <c r="BB441" s="29"/>
    </row>
    <row r="442" spans="53:54" ht="15.75" customHeight="1">
      <c r="BA442" s="29"/>
      <c r="BB442" s="29"/>
    </row>
    <row r="443" spans="53:54" ht="15.75" customHeight="1">
      <c r="BA443" s="29"/>
      <c r="BB443" s="29"/>
    </row>
    <row r="444" spans="53:54" ht="15.75" customHeight="1">
      <c r="BA444" s="29"/>
      <c r="BB444" s="29"/>
    </row>
    <row r="445" spans="53:54" ht="15.75" customHeight="1">
      <c r="BA445" s="29"/>
      <c r="BB445" s="29"/>
    </row>
    <row r="446" spans="53:54" ht="15.75" customHeight="1">
      <c r="BA446" s="29"/>
      <c r="BB446" s="29"/>
    </row>
    <row r="447" spans="53:54" ht="15.75" customHeight="1">
      <c r="BA447" s="29"/>
      <c r="BB447" s="29"/>
    </row>
    <row r="448" spans="53:54" ht="15.75" customHeight="1">
      <c r="BA448" s="29"/>
      <c r="BB448" s="29"/>
    </row>
    <row r="449" spans="53:54" ht="15.75" customHeight="1">
      <c r="BA449" s="29"/>
      <c r="BB449" s="29"/>
    </row>
    <row r="450" spans="53:54" ht="15.75" customHeight="1">
      <c r="BA450" s="29"/>
      <c r="BB450" s="29"/>
    </row>
    <row r="451" spans="53:54" ht="15.75" customHeight="1">
      <c r="BA451" s="29"/>
      <c r="BB451" s="29"/>
    </row>
    <row r="452" spans="53:54" ht="15.75" customHeight="1">
      <c r="BA452" s="29"/>
      <c r="BB452" s="29"/>
    </row>
    <row r="453" spans="53:54" ht="15.75" customHeight="1">
      <c r="BA453" s="29"/>
      <c r="BB453" s="29"/>
    </row>
    <row r="454" spans="53:54" ht="15.75" customHeight="1">
      <c r="BA454" s="29"/>
      <c r="BB454" s="29"/>
    </row>
    <row r="455" spans="53:54" ht="15.75" customHeight="1">
      <c r="BA455" s="29"/>
      <c r="BB455" s="29"/>
    </row>
    <row r="456" spans="53:54" ht="15.75" customHeight="1">
      <c r="BA456" s="29"/>
      <c r="BB456" s="29"/>
    </row>
    <row r="457" spans="53:54" ht="15.75" customHeight="1">
      <c r="BA457" s="29"/>
      <c r="BB457" s="29"/>
    </row>
    <row r="458" spans="53:54" ht="15.75" customHeight="1">
      <c r="BA458" s="29"/>
      <c r="BB458" s="29"/>
    </row>
    <row r="459" spans="53:54" ht="15.75" customHeight="1">
      <c r="BA459" s="29"/>
      <c r="BB459" s="29"/>
    </row>
    <row r="460" spans="53:54" ht="15.75" customHeight="1">
      <c r="BA460" s="29"/>
      <c r="BB460" s="29"/>
    </row>
    <row r="461" spans="53:54" ht="15.75" customHeight="1">
      <c r="BA461" s="29"/>
      <c r="BB461" s="29"/>
    </row>
    <row r="462" spans="53:54" ht="15.75" customHeight="1">
      <c r="BA462" s="29"/>
      <c r="BB462" s="29"/>
    </row>
    <row r="463" spans="53:54" ht="15.75" customHeight="1">
      <c r="BA463" s="29"/>
      <c r="BB463" s="29"/>
    </row>
    <row r="464" spans="53:54" ht="15.75" customHeight="1">
      <c r="BA464" s="29"/>
      <c r="BB464" s="29"/>
    </row>
    <row r="465" spans="53:54" ht="15.75" customHeight="1">
      <c r="BA465" s="29"/>
      <c r="BB465" s="29"/>
    </row>
    <row r="466" spans="53:54" ht="15.75" customHeight="1">
      <c r="BA466" s="29"/>
      <c r="BB466" s="29"/>
    </row>
    <row r="467" spans="53:54" ht="15.75" customHeight="1">
      <c r="BA467" s="29"/>
      <c r="BB467" s="29"/>
    </row>
    <row r="468" spans="53:54" ht="15.75" customHeight="1">
      <c r="BA468" s="29"/>
      <c r="BB468" s="29"/>
    </row>
    <row r="469" spans="53:54" ht="15.75" customHeight="1">
      <c r="BA469" s="29"/>
      <c r="BB469" s="29"/>
    </row>
    <row r="470" spans="53:54" ht="15.75" customHeight="1">
      <c r="BA470" s="29"/>
      <c r="BB470" s="29"/>
    </row>
    <row r="471" spans="53:54" ht="15.75" customHeight="1">
      <c r="BA471" s="29"/>
      <c r="BB471" s="29"/>
    </row>
    <row r="472" spans="53:54" ht="15.75" customHeight="1">
      <c r="BA472" s="29"/>
      <c r="BB472" s="29"/>
    </row>
    <row r="473" spans="53:54" ht="15.75" customHeight="1">
      <c r="BA473" s="29"/>
      <c r="BB473" s="29"/>
    </row>
    <row r="474" spans="53:54" ht="15.75" customHeight="1">
      <c r="BA474" s="29"/>
      <c r="BB474" s="29"/>
    </row>
    <row r="475" spans="53:54" ht="15.75" customHeight="1">
      <c r="BA475" s="29"/>
      <c r="BB475" s="29"/>
    </row>
    <row r="476" spans="53:54" ht="15.75" customHeight="1">
      <c r="BA476" s="29"/>
      <c r="BB476" s="29"/>
    </row>
    <row r="477" spans="53:54" ht="15.75" customHeight="1">
      <c r="BA477" s="29"/>
      <c r="BB477" s="29"/>
    </row>
    <row r="478" spans="53:54" ht="15.75" customHeight="1">
      <c r="BA478" s="29"/>
      <c r="BB478" s="29"/>
    </row>
    <row r="479" spans="53:54" ht="15.75" customHeight="1">
      <c r="BA479" s="29"/>
      <c r="BB479" s="29"/>
    </row>
    <row r="480" spans="53:54" ht="15.75" customHeight="1">
      <c r="BA480" s="29"/>
      <c r="BB480" s="29"/>
    </row>
    <row r="481" spans="53:54" ht="15.75" customHeight="1">
      <c r="BA481" s="29"/>
      <c r="BB481" s="29"/>
    </row>
    <row r="482" spans="53:54" ht="15.75" customHeight="1">
      <c r="BA482" s="29"/>
      <c r="BB482" s="29"/>
    </row>
    <row r="483" spans="53:54" ht="15.75" customHeight="1">
      <c r="BA483" s="29"/>
      <c r="BB483" s="29"/>
    </row>
    <row r="484" spans="53:54" ht="15.75" customHeight="1">
      <c r="BA484" s="29"/>
      <c r="BB484" s="29"/>
    </row>
    <row r="485" spans="53:54" ht="15.75" customHeight="1">
      <c r="BA485" s="29"/>
      <c r="BB485" s="29"/>
    </row>
    <row r="486" spans="53:54" ht="15.75" customHeight="1">
      <c r="BA486" s="29"/>
      <c r="BB486" s="29"/>
    </row>
    <row r="487" spans="53:54" ht="15.75" customHeight="1">
      <c r="BA487" s="29"/>
      <c r="BB487" s="29"/>
    </row>
    <row r="488" spans="53:54" ht="15.75" customHeight="1">
      <c r="BA488" s="29"/>
      <c r="BB488" s="29"/>
    </row>
    <row r="489" spans="53:54" ht="15.75" customHeight="1">
      <c r="BA489" s="29"/>
      <c r="BB489" s="29"/>
    </row>
    <row r="490" spans="53:54" ht="15.75" customHeight="1">
      <c r="BA490" s="29"/>
      <c r="BB490" s="29"/>
    </row>
    <row r="491" spans="53:54" ht="15.75" customHeight="1">
      <c r="BA491" s="29"/>
      <c r="BB491" s="29"/>
    </row>
    <row r="492" spans="53:54" ht="15.75" customHeight="1">
      <c r="BA492" s="29"/>
      <c r="BB492" s="29"/>
    </row>
    <row r="493" spans="53:54" ht="15.75" customHeight="1">
      <c r="BA493" s="29"/>
      <c r="BB493" s="29"/>
    </row>
    <row r="494" spans="53:54" ht="15.75" customHeight="1">
      <c r="BA494" s="29"/>
      <c r="BB494" s="29"/>
    </row>
    <row r="495" spans="53:54" ht="15.75" customHeight="1">
      <c r="BA495" s="29"/>
      <c r="BB495" s="29"/>
    </row>
    <row r="496" spans="53:54" ht="15.75" customHeight="1">
      <c r="BA496" s="29"/>
      <c r="BB496" s="29"/>
    </row>
    <row r="497" spans="53:54" ht="15.75" customHeight="1">
      <c r="BA497" s="29"/>
      <c r="BB497" s="29"/>
    </row>
    <row r="498" spans="53:54" ht="15.75" customHeight="1">
      <c r="BA498" s="29"/>
      <c r="BB498" s="29"/>
    </row>
    <row r="499" spans="53:54" ht="15.75" customHeight="1">
      <c r="BA499" s="29"/>
      <c r="BB499" s="29"/>
    </row>
    <row r="500" spans="53:54" ht="15.75" customHeight="1">
      <c r="BA500" s="29"/>
      <c r="BB500" s="29"/>
    </row>
    <row r="501" spans="53:54" ht="15.75" customHeight="1">
      <c r="BA501" s="29"/>
      <c r="BB501" s="29"/>
    </row>
    <row r="502" spans="53:54" ht="15.75" customHeight="1">
      <c r="BA502" s="29"/>
      <c r="BB502" s="29"/>
    </row>
    <row r="503" spans="53:54" ht="15.75" customHeight="1">
      <c r="BA503" s="29"/>
      <c r="BB503" s="29"/>
    </row>
    <row r="504" spans="53:54" ht="15.75" customHeight="1">
      <c r="BA504" s="29"/>
      <c r="BB504" s="29"/>
    </row>
    <row r="505" spans="53:54" ht="15.75" customHeight="1">
      <c r="BA505" s="29"/>
      <c r="BB505" s="29"/>
    </row>
    <row r="506" spans="53:54" ht="15.75" customHeight="1">
      <c r="BA506" s="29"/>
      <c r="BB506" s="29"/>
    </row>
    <row r="507" spans="53:54" ht="15.75" customHeight="1">
      <c r="BA507" s="29"/>
      <c r="BB507" s="29"/>
    </row>
    <row r="508" spans="53:54" ht="15.75" customHeight="1">
      <c r="BA508" s="29"/>
      <c r="BB508" s="29"/>
    </row>
    <row r="509" spans="53:54" ht="15.75" customHeight="1">
      <c r="BA509" s="29"/>
      <c r="BB509" s="29"/>
    </row>
    <row r="510" spans="53:54" ht="15.75" customHeight="1">
      <c r="BA510" s="29"/>
      <c r="BB510" s="29"/>
    </row>
    <row r="511" spans="53:54" ht="15.75" customHeight="1">
      <c r="BA511" s="29"/>
      <c r="BB511" s="29"/>
    </row>
    <row r="512" spans="53:54" ht="15.75" customHeight="1">
      <c r="BA512" s="29"/>
      <c r="BB512" s="29"/>
    </row>
    <row r="513" spans="53:54" ht="15.75" customHeight="1">
      <c r="BA513" s="29"/>
      <c r="BB513" s="29"/>
    </row>
    <row r="514" spans="53:54" ht="15.75" customHeight="1">
      <c r="BA514" s="29"/>
      <c r="BB514" s="29"/>
    </row>
    <row r="515" spans="53:54" ht="15.75" customHeight="1">
      <c r="BA515" s="29"/>
      <c r="BB515" s="29"/>
    </row>
    <row r="516" spans="53:54" ht="15.75" customHeight="1">
      <c r="BA516" s="29"/>
      <c r="BB516" s="29"/>
    </row>
    <row r="517" spans="53:54" ht="15.75" customHeight="1">
      <c r="BA517" s="29"/>
      <c r="BB517" s="29"/>
    </row>
    <row r="518" spans="53:54" ht="15.75" customHeight="1">
      <c r="BA518" s="29"/>
      <c r="BB518" s="29"/>
    </row>
    <row r="519" spans="53:54" ht="15.75" customHeight="1">
      <c r="BA519" s="29"/>
      <c r="BB519" s="29"/>
    </row>
    <row r="520" spans="53:54" ht="15.75" customHeight="1">
      <c r="BA520" s="29"/>
      <c r="BB520" s="29"/>
    </row>
    <row r="521" spans="53:54" ht="15.75" customHeight="1">
      <c r="BA521" s="29"/>
      <c r="BB521" s="29"/>
    </row>
    <row r="522" spans="53:54" ht="15.75" customHeight="1">
      <c r="BA522" s="29"/>
      <c r="BB522" s="29"/>
    </row>
    <row r="523" spans="53:54" ht="15.75" customHeight="1">
      <c r="BA523" s="29"/>
      <c r="BB523" s="29"/>
    </row>
    <row r="524" spans="53:54" ht="15.75" customHeight="1">
      <c r="BA524" s="29"/>
      <c r="BB524" s="29"/>
    </row>
    <row r="525" spans="53:54" ht="15.75" customHeight="1">
      <c r="BA525" s="29"/>
      <c r="BB525" s="29"/>
    </row>
    <row r="526" spans="53:54" ht="15.75" customHeight="1">
      <c r="BA526" s="29"/>
      <c r="BB526" s="29"/>
    </row>
    <row r="527" spans="53:54" ht="15.75" customHeight="1">
      <c r="BA527" s="29"/>
      <c r="BB527" s="29"/>
    </row>
    <row r="528" spans="53:54" ht="15.75" customHeight="1">
      <c r="BA528" s="29"/>
      <c r="BB528" s="29"/>
    </row>
    <row r="529" spans="53:54" ht="15.75" customHeight="1">
      <c r="BA529" s="29"/>
      <c r="BB529" s="29"/>
    </row>
    <row r="530" spans="53:54" ht="15.75" customHeight="1">
      <c r="BA530" s="29"/>
      <c r="BB530" s="29"/>
    </row>
    <row r="531" spans="53:54" ht="15.75" customHeight="1">
      <c r="BA531" s="29"/>
      <c r="BB531" s="29"/>
    </row>
    <row r="532" spans="53:54" ht="15.75" customHeight="1">
      <c r="BA532" s="29"/>
      <c r="BB532" s="29"/>
    </row>
    <row r="533" spans="53:54" ht="15.75" customHeight="1">
      <c r="BA533" s="29"/>
      <c r="BB533" s="29"/>
    </row>
    <row r="534" spans="53:54" ht="15.75" customHeight="1">
      <c r="BA534" s="29"/>
      <c r="BB534" s="29"/>
    </row>
    <row r="535" spans="53:54" ht="15.75" customHeight="1">
      <c r="BA535" s="29"/>
      <c r="BB535" s="29"/>
    </row>
    <row r="536" spans="53:54" ht="15.75" customHeight="1">
      <c r="BA536" s="29"/>
      <c r="BB536" s="29"/>
    </row>
    <row r="537" spans="53:54" ht="15.75" customHeight="1">
      <c r="BA537" s="29"/>
      <c r="BB537" s="29"/>
    </row>
    <row r="538" spans="53:54" ht="15.75" customHeight="1">
      <c r="BA538" s="29"/>
      <c r="BB538" s="29"/>
    </row>
    <row r="539" spans="53:54" ht="15.75" customHeight="1">
      <c r="BA539" s="29"/>
      <c r="BB539" s="29"/>
    </row>
    <row r="540" spans="53:54" ht="15.75" customHeight="1">
      <c r="BA540" s="29"/>
      <c r="BB540" s="29"/>
    </row>
    <row r="541" spans="53:54" ht="15.75" customHeight="1">
      <c r="BA541" s="29"/>
      <c r="BB541" s="29"/>
    </row>
    <row r="542" spans="53:54" ht="15.75" customHeight="1">
      <c r="BA542" s="29"/>
      <c r="BB542" s="29"/>
    </row>
    <row r="543" spans="53:54" ht="15.75" customHeight="1">
      <c r="BA543" s="29"/>
      <c r="BB543" s="29"/>
    </row>
    <row r="544" spans="53:54" ht="15.75" customHeight="1">
      <c r="BA544" s="29"/>
      <c r="BB544" s="29"/>
    </row>
    <row r="545" spans="53:54" ht="15.75" customHeight="1">
      <c r="BA545" s="29"/>
      <c r="BB545" s="29"/>
    </row>
    <row r="546" spans="53:54" ht="15.75" customHeight="1">
      <c r="BA546" s="29"/>
      <c r="BB546" s="29"/>
    </row>
    <row r="547" spans="53:54" ht="15.75" customHeight="1">
      <c r="BA547" s="29"/>
      <c r="BB547" s="29"/>
    </row>
    <row r="548" spans="53:54" ht="15.75" customHeight="1">
      <c r="BA548" s="29"/>
      <c r="BB548" s="29"/>
    </row>
    <row r="549" spans="53:54" ht="15.75" customHeight="1">
      <c r="BA549" s="29"/>
      <c r="BB549" s="29"/>
    </row>
    <row r="550" spans="53:54" ht="15.75" customHeight="1">
      <c r="BA550" s="29"/>
      <c r="BB550" s="29"/>
    </row>
    <row r="551" spans="53:54" ht="15.75" customHeight="1">
      <c r="BA551" s="29"/>
      <c r="BB551" s="29"/>
    </row>
    <row r="552" spans="53:54" ht="15.75" customHeight="1">
      <c r="BA552" s="29"/>
      <c r="BB552" s="29"/>
    </row>
    <row r="553" spans="53:54" ht="15.75" customHeight="1">
      <c r="BA553" s="29"/>
      <c r="BB553" s="29"/>
    </row>
    <row r="554" spans="53:54" ht="15.75" customHeight="1">
      <c r="BA554" s="29"/>
      <c r="BB554" s="29"/>
    </row>
    <row r="555" spans="53:54" ht="15.75" customHeight="1">
      <c r="BA555" s="29"/>
      <c r="BB555" s="29"/>
    </row>
    <row r="556" spans="53:54" ht="15.75" customHeight="1">
      <c r="BA556" s="29"/>
      <c r="BB556" s="29"/>
    </row>
    <row r="557" spans="53:54" ht="15.75" customHeight="1">
      <c r="BA557" s="29"/>
      <c r="BB557" s="29"/>
    </row>
    <row r="558" spans="53:54" ht="15.75" customHeight="1">
      <c r="BA558" s="29"/>
      <c r="BB558" s="29"/>
    </row>
    <row r="559" spans="53:54" ht="15.75" customHeight="1">
      <c r="BA559" s="29"/>
      <c r="BB559" s="29"/>
    </row>
    <row r="560" spans="53:54" ht="15.75" customHeight="1">
      <c r="BA560" s="29"/>
      <c r="BB560" s="29"/>
    </row>
    <row r="561" spans="53:54" ht="15.75" customHeight="1">
      <c r="BA561" s="29"/>
      <c r="BB561" s="29"/>
    </row>
    <row r="562" spans="53:54" ht="15.75" customHeight="1">
      <c r="BA562" s="29"/>
      <c r="BB562" s="29"/>
    </row>
    <row r="563" spans="53:54" ht="15.75" customHeight="1">
      <c r="BA563" s="29"/>
      <c r="BB563" s="29"/>
    </row>
    <row r="564" spans="53:54" ht="15.75" customHeight="1">
      <c r="BA564" s="29"/>
      <c r="BB564" s="29"/>
    </row>
    <row r="565" spans="53:54" ht="15.75" customHeight="1">
      <c r="BA565" s="29"/>
      <c r="BB565" s="29"/>
    </row>
    <row r="566" spans="53:54" ht="15.75" customHeight="1">
      <c r="BA566" s="29"/>
      <c r="BB566" s="29"/>
    </row>
    <row r="567" spans="53:54" ht="15.75" customHeight="1">
      <c r="BA567" s="29"/>
      <c r="BB567" s="29"/>
    </row>
    <row r="568" spans="53:54" ht="15.75" customHeight="1">
      <c r="BA568" s="29"/>
      <c r="BB568" s="29"/>
    </row>
    <row r="569" spans="53:54" ht="15.75" customHeight="1">
      <c r="BA569" s="29"/>
      <c r="BB569" s="29"/>
    </row>
    <row r="570" spans="53:54" ht="15.75" customHeight="1">
      <c r="BA570" s="29"/>
      <c r="BB570" s="29"/>
    </row>
    <row r="571" spans="53:54" ht="15.75" customHeight="1">
      <c r="BA571" s="29"/>
      <c r="BB571" s="29"/>
    </row>
    <row r="572" spans="53:54" ht="15.75" customHeight="1">
      <c r="BA572" s="29"/>
      <c r="BB572" s="29"/>
    </row>
    <row r="573" spans="53:54" ht="15.75" customHeight="1">
      <c r="BA573" s="29"/>
      <c r="BB573" s="29"/>
    </row>
    <row r="574" spans="53:54" ht="15.75" customHeight="1">
      <c r="BA574" s="29"/>
      <c r="BB574" s="29"/>
    </row>
    <row r="575" spans="53:54" ht="15.75" customHeight="1">
      <c r="BA575" s="29"/>
      <c r="BB575" s="29"/>
    </row>
    <row r="576" spans="53:54" ht="15.75" customHeight="1">
      <c r="BA576" s="29"/>
      <c r="BB576" s="29"/>
    </row>
    <row r="577" spans="53:54" ht="15.75" customHeight="1">
      <c r="BA577" s="29"/>
      <c r="BB577" s="29"/>
    </row>
    <row r="578" spans="53:54" ht="15.75" customHeight="1">
      <c r="BA578" s="29"/>
      <c r="BB578" s="29"/>
    </row>
    <row r="579" spans="53:54" ht="15.75" customHeight="1">
      <c r="BA579" s="29"/>
      <c r="BB579" s="29"/>
    </row>
    <row r="580" spans="53:54" ht="15.75" customHeight="1">
      <c r="BA580" s="29"/>
      <c r="BB580" s="29"/>
    </row>
    <row r="581" spans="53:54" ht="15.75" customHeight="1">
      <c r="BA581" s="29"/>
      <c r="BB581" s="29"/>
    </row>
    <row r="582" spans="53:54" ht="15.75" customHeight="1">
      <c r="BA582" s="29"/>
      <c r="BB582" s="29"/>
    </row>
    <row r="583" spans="53:54" ht="15.75" customHeight="1">
      <c r="BA583" s="29"/>
      <c r="BB583" s="29"/>
    </row>
    <row r="584" spans="53:54" ht="15.75" customHeight="1">
      <c r="BA584" s="29"/>
      <c r="BB584" s="29"/>
    </row>
    <row r="585" spans="53:54" ht="15.75" customHeight="1">
      <c r="BA585" s="29"/>
      <c r="BB585" s="29"/>
    </row>
    <row r="586" spans="53:54" ht="15.75" customHeight="1">
      <c r="BA586" s="29"/>
      <c r="BB586" s="29"/>
    </row>
    <row r="587" spans="53:54" ht="15.75" customHeight="1">
      <c r="BA587" s="29"/>
      <c r="BB587" s="29"/>
    </row>
    <row r="588" spans="53:54" ht="15.75" customHeight="1">
      <c r="BA588" s="29"/>
      <c r="BB588" s="29"/>
    </row>
    <row r="589" spans="53:54" ht="15.75" customHeight="1">
      <c r="BA589" s="29"/>
      <c r="BB589" s="29"/>
    </row>
    <row r="590" spans="53:54" ht="15.75" customHeight="1">
      <c r="BA590" s="29"/>
      <c r="BB590" s="29"/>
    </row>
    <row r="591" spans="53:54" ht="15.75" customHeight="1">
      <c r="BA591" s="29"/>
      <c r="BB591" s="29"/>
    </row>
    <row r="592" spans="53:54" ht="15.75" customHeight="1">
      <c r="BA592" s="29"/>
      <c r="BB592" s="29"/>
    </row>
    <row r="593" spans="53:54" ht="15.75" customHeight="1">
      <c r="BA593" s="29"/>
      <c r="BB593" s="29"/>
    </row>
    <row r="594" spans="53:54" ht="15.75" customHeight="1">
      <c r="BA594" s="29"/>
      <c r="BB594" s="29"/>
    </row>
    <row r="595" spans="53:54" ht="15.75" customHeight="1">
      <c r="BA595" s="29"/>
      <c r="BB595" s="29"/>
    </row>
    <row r="596" spans="53:54" ht="15.75" customHeight="1">
      <c r="BA596" s="29"/>
      <c r="BB596" s="29"/>
    </row>
    <row r="597" spans="53:54" ht="15.75" customHeight="1">
      <c r="BA597" s="29"/>
      <c r="BB597" s="29"/>
    </row>
    <row r="598" spans="53:54" ht="15.75" customHeight="1">
      <c r="BA598" s="29"/>
      <c r="BB598" s="29"/>
    </row>
    <row r="599" spans="53:54" ht="15.75" customHeight="1">
      <c r="BA599" s="29"/>
      <c r="BB599" s="29"/>
    </row>
    <row r="600" spans="53:54" ht="15.75" customHeight="1">
      <c r="BA600" s="29"/>
      <c r="BB600" s="29"/>
    </row>
    <row r="601" spans="53:54" ht="15.75" customHeight="1">
      <c r="BA601" s="29"/>
      <c r="BB601" s="29"/>
    </row>
    <row r="602" spans="53:54" ht="15.75" customHeight="1">
      <c r="BA602" s="29"/>
      <c r="BB602" s="29"/>
    </row>
    <row r="603" spans="53:54" ht="15.75" customHeight="1">
      <c r="BA603" s="29"/>
      <c r="BB603" s="29"/>
    </row>
    <row r="604" spans="53:54" ht="15.75" customHeight="1">
      <c r="BA604" s="29"/>
      <c r="BB604" s="29"/>
    </row>
    <row r="605" spans="53:54" ht="15.75" customHeight="1">
      <c r="BA605" s="29"/>
      <c r="BB605" s="29"/>
    </row>
    <row r="606" spans="53:54" ht="15.75" customHeight="1">
      <c r="BA606" s="29"/>
      <c r="BB606" s="29"/>
    </row>
    <row r="607" spans="53:54" ht="15.75" customHeight="1">
      <c r="BA607" s="29"/>
      <c r="BB607" s="29"/>
    </row>
    <row r="608" spans="53:54" ht="15.75" customHeight="1">
      <c r="BA608" s="29"/>
      <c r="BB608" s="29"/>
    </row>
    <row r="609" spans="53:54" ht="15.75" customHeight="1">
      <c r="BA609" s="29"/>
      <c r="BB609" s="29"/>
    </row>
    <row r="610" spans="53:54" ht="15.75" customHeight="1">
      <c r="BA610" s="29"/>
      <c r="BB610" s="29"/>
    </row>
    <row r="611" spans="53:54" ht="15.75" customHeight="1">
      <c r="BA611" s="29"/>
      <c r="BB611" s="29"/>
    </row>
    <row r="612" spans="53:54" ht="15.75" customHeight="1">
      <c r="BA612" s="29"/>
      <c r="BB612" s="29"/>
    </row>
    <row r="613" spans="53:54" ht="15.75" customHeight="1">
      <c r="BA613" s="29"/>
      <c r="BB613" s="29"/>
    </row>
    <row r="614" spans="53:54" ht="15.75" customHeight="1">
      <c r="BA614" s="29"/>
      <c r="BB614" s="29"/>
    </row>
    <row r="615" spans="53:54" ht="15.75" customHeight="1">
      <c r="BA615" s="29"/>
      <c r="BB615" s="29"/>
    </row>
    <row r="616" spans="53:54" ht="15.75" customHeight="1">
      <c r="BA616" s="29"/>
      <c r="BB616" s="29"/>
    </row>
    <row r="617" spans="53:54" ht="15.75" customHeight="1">
      <c r="BA617" s="29"/>
      <c r="BB617" s="29"/>
    </row>
    <row r="618" spans="53:54" ht="15.75" customHeight="1">
      <c r="BA618" s="29"/>
      <c r="BB618" s="29"/>
    </row>
    <row r="619" spans="53:54" ht="15.75" customHeight="1">
      <c r="BA619" s="29"/>
      <c r="BB619" s="29"/>
    </row>
    <row r="620" spans="53:54" ht="15.75" customHeight="1">
      <c r="BA620" s="29"/>
      <c r="BB620" s="29"/>
    </row>
    <row r="621" spans="53:54" ht="15.75" customHeight="1">
      <c r="BA621" s="29"/>
      <c r="BB621" s="29"/>
    </row>
    <row r="622" spans="53:54" ht="15.75" customHeight="1">
      <c r="BA622" s="29"/>
      <c r="BB622" s="29"/>
    </row>
    <row r="623" spans="53:54" ht="15.75" customHeight="1">
      <c r="BA623" s="29"/>
      <c r="BB623" s="29"/>
    </row>
    <row r="624" spans="53:54" ht="15.75" customHeight="1">
      <c r="BA624" s="29"/>
      <c r="BB624" s="29"/>
    </row>
    <row r="625" spans="53:54" ht="15.75" customHeight="1">
      <c r="BA625" s="29"/>
      <c r="BB625" s="29"/>
    </row>
    <row r="626" spans="53:54" ht="15.75" customHeight="1">
      <c r="BA626" s="29"/>
      <c r="BB626" s="29"/>
    </row>
    <row r="627" spans="53:54" ht="15.75" customHeight="1">
      <c r="BA627" s="29"/>
      <c r="BB627" s="29"/>
    </row>
    <row r="628" spans="53:54" ht="15.75" customHeight="1">
      <c r="BA628" s="29"/>
      <c r="BB628" s="29"/>
    </row>
    <row r="629" spans="53:54" ht="15.75" customHeight="1">
      <c r="BA629" s="29"/>
      <c r="BB629" s="29"/>
    </row>
    <row r="630" spans="53:54" ht="15.75" customHeight="1">
      <c r="BA630" s="29"/>
      <c r="BB630" s="29"/>
    </row>
    <row r="631" spans="53:54" ht="15.75" customHeight="1">
      <c r="BA631" s="29"/>
      <c r="BB631" s="29"/>
    </row>
    <row r="632" spans="53:54" ht="15.75" customHeight="1">
      <c r="BA632" s="29"/>
      <c r="BB632" s="29"/>
    </row>
    <row r="633" spans="53:54" ht="15.75" customHeight="1">
      <c r="BA633" s="29"/>
      <c r="BB633" s="29"/>
    </row>
    <row r="634" spans="53:54" ht="15.75" customHeight="1">
      <c r="BA634" s="29"/>
      <c r="BB634" s="29"/>
    </row>
    <row r="635" spans="53:54" ht="15.75" customHeight="1">
      <c r="BA635" s="29"/>
      <c r="BB635" s="29"/>
    </row>
    <row r="636" spans="53:54" ht="15.75" customHeight="1">
      <c r="BA636" s="29"/>
      <c r="BB636" s="29"/>
    </row>
    <row r="637" spans="53:54" ht="15.75" customHeight="1">
      <c r="BA637" s="29"/>
      <c r="BB637" s="29"/>
    </row>
    <row r="638" spans="53:54" ht="15.75" customHeight="1">
      <c r="BA638" s="29"/>
      <c r="BB638" s="29"/>
    </row>
    <row r="639" spans="53:54" ht="15.75" customHeight="1">
      <c r="BA639" s="29"/>
      <c r="BB639" s="29"/>
    </row>
    <row r="640" spans="53:54" ht="15.75" customHeight="1">
      <c r="BA640" s="29"/>
      <c r="BB640" s="29"/>
    </row>
    <row r="641" spans="53:54" ht="15.75" customHeight="1">
      <c r="BA641" s="29"/>
      <c r="BB641" s="29"/>
    </row>
    <row r="642" spans="53:54" ht="15.75" customHeight="1">
      <c r="BA642" s="29"/>
      <c r="BB642" s="29"/>
    </row>
    <row r="643" spans="53:54" ht="15.75" customHeight="1">
      <c r="BA643" s="29"/>
      <c r="BB643" s="29"/>
    </row>
    <row r="644" spans="53:54" ht="15.75" customHeight="1">
      <c r="BA644" s="29"/>
      <c r="BB644" s="29"/>
    </row>
    <row r="645" spans="53:54" ht="15.75" customHeight="1">
      <c r="BA645" s="29"/>
      <c r="BB645" s="29"/>
    </row>
    <row r="646" spans="53:54" ht="15.75" customHeight="1">
      <c r="BA646" s="29"/>
      <c r="BB646" s="29"/>
    </row>
    <row r="647" spans="53:54" ht="15.75" customHeight="1">
      <c r="BA647" s="29"/>
      <c r="BB647" s="29"/>
    </row>
    <row r="648" spans="53:54" ht="15.75" customHeight="1">
      <c r="BA648" s="29"/>
      <c r="BB648" s="29"/>
    </row>
    <row r="649" spans="53:54" ht="15.75" customHeight="1">
      <c r="BA649" s="29"/>
      <c r="BB649" s="29"/>
    </row>
    <row r="650" spans="53:54" ht="15.75" customHeight="1">
      <c r="BA650" s="29"/>
      <c r="BB650" s="29"/>
    </row>
    <row r="651" spans="53:54" ht="15.75" customHeight="1">
      <c r="BA651" s="29"/>
      <c r="BB651" s="29"/>
    </row>
    <row r="652" spans="53:54" ht="15.75" customHeight="1">
      <c r="BA652" s="29"/>
      <c r="BB652" s="29"/>
    </row>
    <row r="653" spans="53:54" ht="15.75" customHeight="1">
      <c r="BA653" s="29"/>
      <c r="BB653" s="29"/>
    </row>
    <row r="654" spans="53:54" ht="15.75" customHeight="1">
      <c r="BA654" s="29"/>
      <c r="BB654" s="29"/>
    </row>
    <row r="655" spans="53:54" ht="15.75" customHeight="1">
      <c r="BA655" s="29"/>
      <c r="BB655" s="29"/>
    </row>
    <row r="656" spans="53:54" ht="15.75" customHeight="1">
      <c r="BA656" s="29"/>
      <c r="BB656" s="29"/>
    </row>
    <row r="657" spans="53:54" ht="15.75" customHeight="1">
      <c r="BA657" s="29"/>
      <c r="BB657" s="29"/>
    </row>
    <row r="658" spans="53:54" ht="15.75" customHeight="1">
      <c r="BA658" s="29"/>
      <c r="BB658" s="29"/>
    </row>
    <row r="659" spans="53:54" ht="15.75" customHeight="1">
      <c r="BA659" s="29"/>
      <c r="BB659" s="29"/>
    </row>
    <row r="660" spans="53:54" ht="15.75" customHeight="1">
      <c r="BA660" s="29"/>
      <c r="BB660" s="29"/>
    </row>
    <row r="661" spans="53:54" ht="15.75" customHeight="1">
      <c r="BA661" s="29"/>
      <c r="BB661" s="29"/>
    </row>
    <row r="662" spans="53:54" ht="15.75" customHeight="1">
      <c r="BA662" s="29"/>
      <c r="BB662" s="29"/>
    </row>
    <row r="663" spans="53:54" ht="15.75" customHeight="1">
      <c r="BA663" s="29"/>
      <c r="BB663" s="29"/>
    </row>
    <row r="664" spans="53:54" ht="15.75" customHeight="1">
      <c r="BA664" s="29"/>
      <c r="BB664" s="29"/>
    </row>
    <row r="665" spans="53:54" ht="15.75" customHeight="1">
      <c r="BA665" s="29"/>
      <c r="BB665" s="29"/>
    </row>
    <row r="666" spans="53:54" ht="15.75" customHeight="1">
      <c r="BA666" s="29"/>
      <c r="BB666" s="29"/>
    </row>
    <row r="667" spans="53:54" ht="15.75" customHeight="1">
      <c r="BA667" s="29"/>
      <c r="BB667" s="29"/>
    </row>
    <row r="668" spans="53:54" ht="15.75" customHeight="1">
      <c r="BA668" s="29"/>
      <c r="BB668" s="29"/>
    </row>
    <row r="669" spans="53:54" ht="15.75" customHeight="1">
      <c r="BA669" s="29"/>
      <c r="BB669" s="29"/>
    </row>
    <row r="670" spans="53:54" ht="15.75" customHeight="1">
      <c r="BA670" s="29"/>
      <c r="BB670" s="29"/>
    </row>
    <row r="671" spans="53:54" ht="15.75" customHeight="1">
      <c r="BA671" s="29"/>
      <c r="BB671" s="29"/>
    </row>
    <row r="672" spans="53:54" ht="15.75" customHeight="1">
      <c r="BA672" s="29"/>
      <c r="BB672" s="29"/>
    </row>
    <row r="673" spans="53:54" ht="15.75" customHeight="1">
      <c r="BA673" s="29"/>
      <c r="BB673" s="29"/>
    </row>
    <row r="674" spans="53:54" ht="15.75" customHeight="1">
      <c r="BA674" s="29"/>
      <c r="BB674" s="29"/>
    </row>
    <row r="675" spans="53:54" ht="15.75" customHeight="1">
      <c r="BA675" s="29"/>
      <c r="BB675" s="29"/>
    </row>
    <row r="676" spans="53:54" ht="15.75" customHeight="1">
      <c r="BA676" s="29"/>
      <c r="BB676" s="29"/>
    </row>
    <row r="677" spans="53:54" ht="15.75" customHeight="1">
      <c r="BA677" s="29"/>
      <c r="BB677" s="29"/>
    </row>
    <row r="678" spans="53:54" ht="15.75" customHeight="1">
      <c r="BA678" s="29"/>
      <c r="BB678" s="29"/>
    </row>
    <row r="679" spans="53:54" ht="15.75" customHeight="1">
      <c r="BA679" s="29"/>
      <c r="BB679" s="29"/>
    </row>
    <row r="680" spans="53:54" ht="15.75" customHeight="1">
      <c r="BA680" s="29"/>
      <c r="BB680" s="29"/>
    </row>
    <row r="681" spans="53:54" ht="15.75" customHeight="1">
      <c r="BA681" s="29"/>
      <c r="BB681" s="29"/>
    </row>
    <row r="682" spans="53:54" ht="15.75" customHeight="1">
      <c r="BA682" s="29"/>
      <c r="BB682" s="29"/>
    </row>
    <row r="683" spans="53:54" ht="15.75" customHeight="1">
      <c r="BA683" s="29"/>
      <c r="BB683" s="29"/>
    </row>
    <row r="684" spans="53:54" ht="15.75" customHeight="1">
      <c r="BA684" s="29"/>
      <c r="BB684" s="29"/>
    </row>
    <row r="685" spans="53:54" ht="15.75" customHeight="1">
      <c r="BA685" s="29"/>
      <c r="BB685" s="29"/>
    </row>
    <row r="686" spans="53:54" ht="15.75" customHeight="1">
      <c r="BA686" s="29"/>
      <c r="BB686" s="29"/>
    </row>
    <row r="687" spans="53:54" ht="15.75" customHeight="1">
      <c r="BA687" s="29"/>
      <c r="BB687" s="29"/>
    </row>
    <row r="688" spans="53:54" ht="15.75" customHeight="1">
      <c r="BA688" s="29"/>
      <c r="BB688" s="29"/>
    </row>
    <row r="689" spans="53:54" ht="15.75" customHeight="1">
      <c r="BA689" s="29"/>
      <c r="BB689" s="29"/>
    </row>
    <row r="690" spans="53:54" ht="15.75" customHeight="1">
      <c r="BA690" s="29"/>
      <c r="BB690" s="29"/>
    </row>
    <row r="691" spans="53:54" ht="15.75" customHeight="1">
      <c r="BA691" s="29"/>
      <c r="BB691" s="29"/>
    </row>
    <row r="692" spans="53:54" ht="15.75" customHeight="1">
      <c r="BA692" s="29"/>
      <c r="BB692" s="29"/>
    </row>
    <row r="693" spans="53:54" ht="15.75" customHeight="1">
      <c r="BA693" s="29"/>
      <c r="BB693" s="29"/>
    </row>
    <row r="694" spans="53:54" ht="15.75" customHeight="1">
      <c r="BA694" s="29"/>
      <c r="BB694" s="29"/>
    </row>
    <row r="695" spans="53:54" ht="15.75" customHeight="1">
      <c r="BA695" s="29"/>
      <c r="BB695" s="29"/>
    </row>
    <row r="696" spans="53:54" ht="15.75" customHeight="1">
      <c r="BA696" s="29"/>
      <c r="BB696" s="29"/>
    </row>
    <row r="697" spans="53:54" ht="15.75" customHeight="1">
      <c r="BA697" s="29"/>
      <c r="BB697" s="29"/>
    </row>
    <row r="698" spans="53:54" ht="15.75" customHeight="1">
      <c r="BA698" s="29"/>
      <c r="BB698" s="29"/>
    </row>
    <row r="699" spans="53:54" ht="15.75" customHeight="1">
      <c r="BA699" s="29"/>
      <c r="BB699" s="29"/>
    </row>
    <row r="700" spans="53:54" ht="15.75" customHeight="1">
      <c r="BA700" s="29"/>
      <c r="BB700" s="29"/>
    </row>
    <row r="701" spans="53:54" ht="15.75" customHeight="1">
      <c r="BA701" s="29"/>
      <c r="BB701" s="29"/>
    </row>
    <row r="702" spans="53:54" ht="15.75" customHeight="1">
      <c r="BA702" s="29"/>
      <c r="BB702" s="29"/>
    </row>
    <row r="703" spans="53:54" ht="15.75" customHeight="1">
      <c r="BA703" s="29"/>
      <c r="BB703" s="29"/>
    </row>
    <row r="704" spans="53:54" ht="15.75" customHeight="1">
      <c r="BA704" s="29"/>
      <c r="BB704" s="29"/>
    </row>
    <row r="705" spans="53:54" ht="15.75" customHeight="1">
      <c r="BA705" s="29"/>
      <c r="BB705" s="29"/>
    </row>
    <row r="706" spans="53:54" ht="15.75" customHeight="1">
      <c r="BA706" s="29"/>
      <c r="BB706" s="29"/>
    </row>
    <row r="707" spans="53:54" ht="15.75" customHeight="1">
      <c r="BA707" s="29"/>
      <c r="BB707" s="29"/>
    </row>
    <row r="708" spans="53:54" ht="15.75" customHeight="1">
      <c r="BA708" s="29"/>
      <c r="BB708" s="29"/>
    </row>
    <row r="709" spans="53:54" ht="15.75" customHeight="1">
      <c r="BA709" s="29"/>
      <c r="BB709" s="29"/>
    </row>
    <row r="710" spans="53:54" ht="15.75" customHeight="1">
      <c r="BA710" s="29"/>
      <c r="BB710" s="29"/>
    </row>
    <row r="711" spans="53:54" ht="15.75" customHeight="1">
      <c r="BA711" s="29"/>
      <c r="BB711" s="29"/>
    </row>
    <row r="712" spans="53:54" ht="15.75" customHeight="1">
      <c r="BA712" s="29"/>
      <c r="BB712" s="29"/>
    </row>
    <row r="713" spans="53:54" ht="15.75" customHeight="1">
      <c r="BA713" s="29"/>
      <c r="BB713" s="29"/>
    </row>
    <row r="714" spans="53:54" ht="15.75" customHeight="1">
      <c r="BA714" s="29"/>
      <c r="BB714" s="29"/>
    </row>
    <row r="715" spans="53:54" ht="15.75" customHeight="1">
      <c r="BA715" s="29"/>
      <c r="BB715" s="29"/>
    </row>
    <row r="716" spans="53:54" ht="15.75" customHeight="1">
      <c r="BA716" s="29"/>
      <c r="BB716" s="29"/>
    </row>
    <row r="717" spans="53:54" ht="15.75" customHeight="1">
      <c r="BA717" s="29"/>
      <c r="BB717" s="29"/>
    </row>
    <row r="718" spans="53:54" ht="15.75" customHeight="1">
      <c r="BA718" s="29"/>
      <c r="BB718" s="29"/>
    </row>
    <row r="719" spans="53:54" ht="15.75" customHeight="1">
      <c r="BA719" s="29"/>
      <c r="BB719" s="29"/>
    </row>
    <row r="720" spans="53:54" ht="15.75" customHeight="1">
      <c r="BA720" s="29"/>
      <c r="BB720" s="29"/>
    </row>
    <row r="721" spans="53:54" ht="15.75" customHeight="1">
      <c r="BA721" s="29"/>
      <c r="BB721" s="29"/>
    </row>
    <row r="722" spans="53:54" ht="15.75" customHeight="1">
      <c r="BA722" s="29"/>
      <c r="BB722" s="29"/>
    </row>
    <row r="723" spans="53:54" ht="15.75" customHeight="1">
      <c r="BA723" s="29"/>
      <c r="BB723" s="29"/>
    </row>
    <row r="724" spans="53:54" ht="15.75" customHeight="1">
      <c r="BA724" s="29"/>
      <c r="BB724" s="29"/>
    </row>
    <row r="725" spans="53:54" ht="15.75" customHeight="1">
      <c r="BA725" s="29"/>
      <c r="BB725" s="29"/>
    </row>
    <row r="726" spans="53:54" ht="15.75" customHeight="1">
      <c r="BA726" s="29"/>
      <c r="BB726" s="29"/>
    </row>
    <row r="727" spans="53:54" ht="15.75" customHeight="1">
      <c r="BA727" s="29"/>
      <c r="BB727" s="29"/>
    </row>
    <row r="728" spans="53:54" ht="15.75" customHeight="1">
      <c r="BA728" s="29"/>
      <c r="BB728" s="29"/>
    </row>
    <row r="729" spans="53:54" ht="15.75" customHeight="1">
      <c r="BA729" s="29"/>
      <c r="BB729" s="29"/>
    </row>
    <row r="730" spans="53:54" ht="15.75" customHeight="1">
      <c r="BA730" s="29"/>
      <c r="BB730" s="29"/>
    </row>
    <row r="731" spans="53:54" ht="15.75" customHeight="1">
      <c r="BA731" s="29"/>
      <c r="BB731" s="29"/>
    </row>
    <row r="732" spans="53:54" ht="15.75" customHeight="1">
      <c r="BA732" s="29"/>
      <c r="BB732" s="29"/>
    </row>
    <row r="733" spans="53:54" ht="15.75" customHeight="1">
      <c r="BA733" s="29"/>
      <c r="BB733" s="29"/>
    </row>
    <row r="734" spans="53:54" ht="15.75" customHeight="1">
      <c r="BA734" s="29"/>
      <c r="BB734" s="29"/>
    </row>
    <row r="735" spans="53:54" ht="15.75" customHeight="1">
      <c r="BA735" s="29"/>
      <c r="BB735" s="29"/>
    </row>
    <row r="736" spans="53:54" ht="15.75" customHeight="1">
      <c r="BA736" s="29"/>
      <c r="BB736" s="29"/>
    </row>
    <row r="737" spans="53:54" ht="15.75" customHeight="1">
      <c r="BA737" s="29"/>
      <c r="BB737" s="29"/>
    </row>
    <row r="738" spans="53:54" ht="15.75" customHeight="1">
      <c r="BA738" s="29"/>
      <c r="BB738" s="29"/>
    </row>
    <row r="739" spans="53:54" ht="15.75" customHeight="1">
      <c r="BA739" s="29"/>
      <c r="BB739" s="29"/>
    </row>
    <row r="740" spans="53:54" ht="15.75" customHeight="1">
      <c r="BA740" s="29"/>
      <c r="BB740" s="29"/>
    </row>
    <row r="741" spans="53:54" ht="15.75" customHeight="1">
      <c r="BA741" s="29"/>
      <c r="BB741" s="29"/>
    </row>
    <row r="742" spans="53:54" ht="15.75" customHeight="1">
      <c r="BA742" s="29"/>
      <c r="BB742" s="29"/>
    </row>
    <row r="743" spans="53:54" ht="15.75" customHeight="1">
      <c r="BA743" s="29"/>
      <c r="BB743" s="29"/>
    </row>
    <row r="744" spans="53:54" ht="15.75" customHeight="1">
      <c r="BA744" s="29"/>
      <c r="BB744" s="29"/>
    </row>
    <row r="745" spans="53:54" ht="15.75" customHeight="1">
      <c r="BA745" s="29"/>
      <c r="BB745" s="29"/>
    </row>
    <row r="746" spans="53:54" ht="15.75" customHeight="1">
      <c r="BA746" s="29"/>
      <c r="BB746" s="29"/>
    </row>
    <row r="747" spans="53:54" ht="15.75" customHeight="1">
      <c r="BA747" s="29"/>
      <c r="BB747" s="29"/>
    </row>
    <row r="748" spans="53:54" ht="15.75" customHeight="1">
      <c r="BA748" s="29"/>
      <c r="BB748" s="29"/>
    </row>
    <row r="749" spans="53:54" ht="15.75" customHeight="1">
      <c r="BA749" s="29"/>
      <c r="BB749" s="29"/>
    </row>
    <row r="750" spans="53:54" ht="15.75" customHeight="1">
      <c r="BA750" s="29"/>
      <c r="BB750" s="29"/>
    </row>
    <row r="751" spans="53:54" ht="15.75" customHeight="1">
      <c r="BA751" s="29"/>
      <c r="BB751" s="29"/>
    </row>
    <row r="752" spans="53:54" ht="15.75" customHeight="1">
      <c r="BA752" s="29"/>
      <c r="BB752" s="29"/>
    </row>
    <row r="753" spans="53:54" ht="15.75" customHeight="1">
      <c r="BA753" s="29"/>
      <c r="BB753" s="29"/>
    </row>
    <row r="754" spans="53:54" ht="15.75" customHeight="1">
      <c r="BA754" s="29"/>
      <c r="BB754" s="29"/>
    </row>
    <row r="755" spans="53:54" ht="15.75" customHeight="1">
      <c r="BA755" s="29"/>
      <c r="BB755" s="29"/>
    </row>
    <row r="756" spans="53:54" ht="15.75" customHeight="1">
      <c r="BA756" s="29"/>
      <c r="BB756" s="29"/>
    </row>
    <row r="757" spans="53:54" ht="15.75" customHeight="1">
      <c r="BA757" s="29"/>
      <c r="BB757" s="29"/>
    </row>
    <row r="758" spans="53:54" ht="15.75" customHeight="1">
      <c r="BA758" s="29"/>
      <c r="BB758" s="29"/>
    </row>
    <row r="759" spans="53:54" ht="15.75" customHeight="1">
      <c r="BA759" s="29"/>
      <c r="BB759" s="29"/>
    </row>
    <row r="760" spans="53:54" ht="15.75" customHeight="1">
      <c r="BA760" s="29"/>
      <c r="BB760" s="29"/>
    </row>
    <row r="761" spans="53:54" ht="15.75" customHeight="1">
      <c r="BA761" s="29"/>
      <c r="BB761" s="29"/>
    </row>
    <row r="762" spans="53:54" ht="15.75" customHeight="1">
      <c r="BA762" s="29"/>
      <c r="BB762" s="29"/>
    </row>
    <row r="763" spans="53:54" ht="15.75" customHeight="1">
      <c r="BA763" s="29"/>
      <c r="BB763" s="29"/>
    </row>
    <row r="764" spans="53:54" ht="15.75" customHeight="1">
      <c r="BA764" s="29"/>
      <c r="BB764" s="29"/>
    </row>
    <row r="765" spans="53:54" ht="15.75" customHeight="1">
      <c r="BA765" s="29"/>
      <c r="BB765" s="29"/>
    </row>
    <row r="766" spans="53:54" ht="15.75" customHeight="1">
      <c r="BA766" s="29"/>
      <c r="BB766" s="29"/>
    </row>
    <row r="767" spans="53:54" ht="15.75" customHeight="1">
      <c r="BA767" s="29"/>
      <c r="BB767" s="29"/>
    </row>
    <row r="768" spans="53:54" ht="15.75" customHeight="1">
      <c r="BA768" s="29"/>
      <c r="BB768" s="29"/>
    </row>
    <row r="769" spans="53:54" ht="15.75" customHeight="1">
      <c r="BA769" s="29"/>
      <c r="BB769" s="29"/>
    </row>
    <row r="770" spans="53:54" ht="15.75" customHeight="1">
      <c r="BA770" s="29"/>
      <c r="BB770" s="29"/>
    </row>
    <row r="771" spans="53:54" ht="15.75" customHeight="1">
      <c r="BA771" s="29"/>
      <c r="BB771" s="29"/>
    </row>
    <row r="772" spans="53:54" ht="15.75" customHeight="1">
      <c r="BA772" s="29"/>
      <c r="BB772" s="29"/>
    </row>
    <row r="773" spans="53:54" ht="15.75" customHeight="1">
      <c r="BA773" s="29"/>
      <c r="BB773" s="29"/>
    </row>
    <row r="774" spans="53:54" ht="15.75" customHeight="1">
      <c r="BA774" s="29"/>
      <c r="BB774" s="29"/>
    </row>
    <row r="775" spans="53:54" ht="15.75" customHeight="1">
      <c r="BA775" s="29"/>
      <c r="BB775" s="29"/>
    </row>
    <row r="776" spans="53:54" ht="15.75" customHeight="1">
      <c r="BA776" s="29"/>
      <c r="BB776" s="29"/>
    </row>
    <row r="777" spans="53:54" ht="15.75" customHeight="1">
      <c r="BA777" s="29"/>
      <c r="BB777" s="29"/>
    </row>
    <row r="778" spans="53:54" ht="15.75" customHeight="1">
      <c r="BA778" s="29"/>
      <c r="BB778" s="29"/>
    </row>
    <row r="779" spans="53:54" ht="15.75" customHeight="1">
      <c r="BA779" s="29"/>
      <c r="BB779" s="29"/>
    </row>
    <row r="780" spans="53:54" ht="15.75" customHeight="1">
      <c r="BA780" s="29"/>
      <c r="BB780" s="29"/>
    </row>
    <row r="781" spans="53:54" ht="15.75" customHeight="1">
      <c r="BA781" s="29"/>
      <c r="BB781" s="29"/>
    </row>
    <row r="782" spans="53:54" ht="15.75" customHeight="1">
      <c r="BA782" s="29"/>
      <c r="BB782" s="29"/>
    </row>
    <row r="783" spans="53:54" ht="15.75" customHeight="1">
      <c r="BA783" s="29"/>
      <c r="BB783" s="29"/>
    </row>
    <row r="784" spans="53:54" ht="15.75" customHeight="1">
      <c r="BA784" s="29"/>
      <c r="BB784" s="29"/>
    </row>
    <row r="785" spans="53:54" ht="15.75" customHeight="1">
      <c r="BA785" s="29"/>
      <c r="BB785" s="29"/>
    </row>
    <row r="786" spans="53:54" ht="15.75" customHeight="1">
      <c r="BA786" s="29"/>
      <c r="BB786" s="29"/>
    </row>
    <row r="787" spans="53:54" ht="15.75" customHeight="1">
      <c r="BA787" s="29"/>
      <c r="BB787" s="29"/>
    </row>
    <row r="788" spans="53:54" ht="15.75" customHeight="1">
      <c r="BA788" s="29"/>
      <c r="BB788" s="29"/>
    </row>
    <row r="789" spans="53:54" ht="15.75" customHeight="1">
      <c r="BA789" s="29"/>
      <c r="BB789" s="29"/>
    </row>
    <row r="790" spans="53:54" ht="15.75" customHeight="1">
      <c r="BA790" s="29"/>
      <c r="BB790" s="29"/>
    </row>
    <row r="791" spans="53:54" ht="15.75" customHeight="1">
      <c r="BA791" s="29"/>
      <c r="BB791" s="29"/>
    </row>
    <row r="792" spans="53:54" ht="15.75" customHeight="1">
      <c r="BA792" s="29"/>
      <c r="BB792" s="29"/>
    </row>
    <row r="793" spans="53:54" ht="15.75" customHeight="1">
      <c r="BA793" s="29"/>
      <c r="BB793" s="29"/>
    </row>
    <row r="794" spans="53:54" ht="15.75" customHeight="1">
      <c r="BA794" s="29"/>
      <c r="BB794" s="29"/>
    </row>
    <row r="795" spans="53:54" ht="15.75" customHeight="1">
      <c r="BA795" s="29"/>
      <c r="BB795" s="29"/>
    </row>
    <row r="796" spans="53:54" ht="15.75" customHeight="1">
      <c r="BA796" s="29"/>
      <c r="BB796" s="29"/>
    </row>
    <row r="797" spans="53:54" ht="15.75" customHeight="1">
      <c r="BA797" s="29"/>
      <c r="BB797" s="29"/>
    </row>
    <row r="798" spans="53:54" ht="15.75" customHeight="1">
      <c r="BA798" s="29"/>
      <c r="BB798" s="29"/>
    </row>
    <row r="799" spans="53:54" ht="15.75" customHeight="1">
      <c r="BA799" s="29"/>
      <c r="BB799" s="29"/>
    </row>
    <row r="800" spans="53:54" ht="15.75" customHeight="1">
      <c r="BA800" s="29"/>
      <c r="BB800" s="29"/>
    </row>
    <row r="801" spans="53:54" ht="15.75" customHeight="1">
      <c r="BA801" s="29"/>
      <c r="BB801" s="29"/>
    </row>
    <row r="802" spans="53:54" ht="15.75" customHeight="1">
      <c r="BA802" s="29"/>
      <c r="BB802" s="29"/>
    </row>
    <row r="803" spans="53:54" ht="15.75" customHeight="1">
      <c r="BA803" s="29"/>
      <c r="BB803" s="29"/>
    </row>
    <row r="804" spans="53:54" ht="15.75" customHeight="1">
      <c r="BA804" s="29"/>
      <c r="BB804" s="29"/>
    </row>
    <row r="805" spans="53:54" ht="15.75" customHeight="1">
      <c r="BA805" s="29"/>
      <c r="BB805" s="29"/>
    </row>
    <row r="806" spans="53:54" ht="15.75" customHeight="1">
      <c r="BA806" s="29"/>
      <c r="BB806" s="29"/>
    </row>
    <row r="807" spans="53:54" ht="15.75" customHeight="1">
      <c r="BA807" s="29"/>
      <c r="BB807" s="29"/>
    </row>
    <row r="808" spans="53:54" ht="15.75" customHeight="1">
      <c r="BA808" s="29"/>
      <c r="BB808" s="29"/>
    </row>
    <row r="809" spans="53:54" ht="15.75" customHeight="1">
      <c r="BA809" s="29"/>
      <c r="BB809" s="29"/>
    </row>
    <row r="810" spans="53:54" ht="15.75" customHeight="1">
      <c r="BA810" s="29"/>
      <c r="BB810" s="29"/>
    </row>
    <row r="811" spans="53:54" ht="15.75" customHeight="1">
      <c r="BA811" s="29"/>
      <c r="BB811" s="29"/>
    </row>
    <row r="812" spans="53:54" ht="15.75" customHeight="1">
      <c r="BA812" s="29"/>
      <c r="BB812" s="29"/>
    </row>
    <row r="813" spans="53:54" ht="15.75" customHeight="1">
      <c r="BA813" s="29"/>
      <c r="BB813" s="29"/>
    </row>
    <row r="814" spans="53:54" ht="15.75" customHeight="1">
      <c r="BA814" s="29"/>
      <c r="BB814" s="29"/>
    </row>
    <row r="815" spans="53:54" ht="15.75" customHeight="1">
      <c r="BA815" s="29"/>
      <c r="BB815" s="29"/>
    </row>
    <row r="816" spans="53:54" ht="15.75" customHeight="1">
      <c r="BA816" s="29"/>
      <c r="BB816" s="29"/>
    </row>
    <row r="817" spans="53:54" ht="15.75" customHeight="1">
      <c r="BA817" s="29"/>
      <c r="BB817" s="29"/>
    </row>
    <row r="818" spans="53:54" ht="15.75" customHeight="1">
      <c r="BA818" s="29"/>
      <c r="BB818" s="29"/>
    </row>
    <row r="819" spans="53:54" ht="15.75" customHeight="1">
      <c r="BA819" s="29"/>
      <c r="BB819" s="29"/>
    </row>
    <row r="820" spans="53:54" ht="15.75" customHeight="1">
      <c r="BA820" s="29"/>
      <c r="BB820" s="29"/>
    </row>
    <row r="821" spans="53:54" ht="15.75" customHeight="1">
      <c r="BA821" s="29"/>
      <c r="BB821" s="29"/>
    </row>
    <row r="822" spans="53:54" ht="15.75" customHeight="1">
      <c r="BA822" s="29"/>
      <c r="BB822" s="29"/>
    </row>
    <row r="823" spans="53:54" ht="15.75" customHeight="1">
      <c r="BA823" s="29"/>
      <c r="BB823" s="29"/>
    </row>
    <row r="824" spans="53:54" ht="15.75" customHeight="1">
      <c r="BA824" s="29"/>
      <c r="BB824" s="29"/>
    </row>
    <row r="825" spans="53:54" ht="15.75" customHeight="1">
      <c r="BA825" s="29"/>
      <c r="BB825" s="29"/>
    </row>
    <row r="826" spans="53:54" ht="15.75" customHeight="1">
      <c r="BA826" s="29"/>
      <c r="BB826" s="29"/>
    </row>
    <row r="827" spans="53:54" ht="15.75" customHeight="1">
      <c r="BA827" s="29"/>
      <c r="BB827" s="29"/>
    </row>
    <row r="828" spans="53:54" ht="15.75" customHeight="1">
      <c r="BA828" s="29"/>
      <c r="BB828" s="29"/>
    </row>
    <row r="829" spans="53:54" ht="15.75" customHeight="1">
      <c r="BA829" s="29"/>
      <c r="BB829" s="29"/>
    </row>
    <row r="830" spans="53:54" ht="15.75" customHeight="1">
      <c r="BA830" s="29"/>
      <c r="BB830" s="29"/>
    </row>
    <row r="831" spans="53:54" ht="15.75" customHeight="1">
      <c r="BA831" s="29"/>
      <c r="BB831" s="29"/>
    </row>
    <row r="832" spans="53:54" ht="15.75" customHeight="1">
      <c r="BA832" s="29"/>
      <c r="BB832" s="29"/>
    </row>
    <row r="833" spans="53:54" ht="15.75" customHeight="1">
      <c r="BA833" s="29"/>
      <c r="BB833" s="29"/>
    </row>
    <row r="834" spans="53:54" ht="15.75" customHeight="1">
      <c r="BA834" s="29"/>
      <c r="BB834" s="29"/>
    </row>
    <row r="835" spans="53:54" ht="15.75" customHeight="1">
      <c r="BA835" s="29"/>
      <c r="BB835" s="29"/>
    </row>
    <row r="836" spans="53:54" ht="15.75" customHeight="1">
      <c r="BA836" s="29"/>
      <c r="BB836" s="29"/>
    </row>
    <row r="837" spans="53:54" ht="15.75" customHeight="1">
      <c r="BA837" s="29"/>
      <c r="BB837" s="29"/>
    </row>
    <row r="838" spans="53:54" ht="15.75" customHeight="1">
      <c r="BA838" s="29"/>
      <c r="BB838" s="29"/>
    </row>
    <row r="839" spans="53:54" ht="15.75" customHeight="1">
      <c r="BA839" s="29"/>
      <c r="BB839" s="29"/>
    </row>
    <row r="840" spans="53:54" ht="15.75" customHeight="1">
      <c r="BA840" s="29"/>
      <c r="BB840" s="29"/>
    </row>
    <row r="841" spans="53:54" ht="15.75" customHeight="1">
      <c r="BA841" s="29"/>
      <c r="BB841" s="29"/>
    </row>
    <row r="842" spans="53:54" ht="15.75" customHeight="1">
      <c r="BA842" s="29"/>
      <c r="BB842" s="29"/>
    </row>
    <row r="843" spans="53:54" ht="15.75" customHeight="1">
      <c r="BA843" s="29"/>
      <c r="BB843" s="29"/>
    </row>
    <row r="844" spans="53:54" ht="15.75" customHeight="1">
      <c r="BA844" s="29"/>
      <c r="BB844" s="29"/>
    </row>
    <row r="845" spans="53:54" ht="15.75" customHeight="1">
      <c r="BA845" s="29"/>
      <c r="BB845" s="29"/>
    </row>
    <row r="846" spans="53:54" ht="15.75" customHeight="1">
      <c r="BA846" s="29"/>
      <c r="BB846" s="29"/>
    </row>
    <row r="847" spans="53:54" ht="15.75" customHeight="1">
      <c r="BA847" s="29"/>
      <c r="BB847" s="29"/>
    </row>
    <row r="848" spans="53:54" ht="15.75" customHeight="1">
      <c r="BA848" s="29"/>
      <c r="BB848" s="29"/>
    </row>
    <row r="849" spans="53:54" ht="15.75" customHeight="1">
      <c r="BA849" s="29"/>
      <c r="BB849" s="29"/>
    </row>
    <row r="850" spans="53:54" ht="15.75" customHeight="1">
      <c r="BA850" s="29"/>
      <c r="BB850" s="29"/>
    </row>
    <row r="851" spans="53:54" ht="15.75" customHeight="1">
      <c r="BA851" s="29"/>
      <c r="BB851" s="29"/>
    </row>
    <row r="852" spans="53:54" ht="15.75" customHeight="1">
      <c r="BA852" s="29"/>
      <c r="BB852" s="29"/>
    </row>
    <row r="853" spans="53:54" ht="15.75" customHeight="1">
      <c r="BA853" s="29"/>
      <c r="BB853" s="29"/>
    </row>
    <row r="854" spans="53:54" ht="15.75" customHeight="1">
      <c r="BA854" s="29"/>
      <c r="BB854" s="29"/>
    </row>
    <row r="855" spans="53:54" ht="15.75" customHeight="1">
      <c r="BA855" s="29"/>
      <c r="BB855" s="29"/>
    </row>
    <row r="856" spans="53:54" ht="15.75" customHeight="1">
      <c r="BA856" s="29"/>
      <c r="BB856" s="29"/>
    </row>
    <row r="857" spans="53:54" ht="15.75" customHeight="1">
      <c r="BA857" s="29"/>
      <c r="BB857" s="29"/>
    </row>
    <row r="858" spans="53:54" ht="15.75" customHeight="1">
      <c r="BA858" s="29"/>
      <c r="BB858" s="29"/>
    </row>
    <row r="859" spans="53:54" ht="15.75" customHeight="1">
      <c r="BA859" s="29"/>
      <c r="BB859" s="29"/>
    </row>
    <row r="860" spans="53:54" ht="15.75" customHeight="1">
      <c r="BA860" s="29"/>
      <c r="BB860" s="29"/>
    </row>
    <row r="861" spans="53:54" ht="15.75" customHeight="1">
      <c r="BA861" s="29"/>
      <c r="BB861" s="29"/>
    </row>
    <row r="862" spans="53:54" ht="15.75" customHeight="1">
      <c r="BA862" s="29"/>
      <c r="BB862" s="29"/>
    </row>
    <row r="863" spans="53:54" ht="15.75" customHeight="1">
      <c r="BA863" s="29"/>
      <c r="BB863" s="29"/>
    </row>
    <row r="864" spans="53:54" ht="15.75" customHeight="1">
      <c r="BA864" s="29"/>
      <c r="BB864" s="29"/>
    </row>
    <row r="865" spans="53:54" ht="15.75" customHeight="1">
      <c r="BA865" s="29"/>
      <c r="BB865" s="29"/>
    </row>
    <row r="866" spans="53:54" ht="15.75" customHeight="1">
      <c r="BA866" s="29"/>
      <c r="BB866" s="29"/>
    </row>
    <row r="867" spans="53:54" ht="15.75" customHeight="1">
      <c r="BA867" s="29"/>
      <c r="BB867" s="29"/>
    </row>
    <row r="868" spans="53:54" ht="15.75" customHeight="1">
      <c r="BA868" s="29"/>
      <c r="BB868" s="29"/>
    </row>
    <row r="869" spans="53:54" ht="15.75" customHeight="1">
      <c r="BA869" s="29"/>
      <c r="BB869" s="29"/>
    </row>
    <row r="870" spans="53:54" ht="15.75" customHeight="1">
      <c r="BA870" s="29"/>
      <c r="BB870" s="29"/>
    </row>
    <row r="871" spans="53:54" ht="15.75" customHeight="1">
      <c r="BA871" s="29"/>
      <c r="BB871" s="29"/>
    </row>
    <row r="872" spans="53:54" ht="15.75" customHeight="1">
      <c r="BA872" s="29"/>
      <c r="BB872" s="29"/>
    </row>
    <row r="873" spans="53:54" ht="15.75" customHeight="1">
      <c r="BA873" s="29"/>
      <c r="BB873" s="29"/>
    </row>
    <row r="874" spans="53:54" ht="15.75" customHeight="1">
      <c r="BA874" s="29"/>
      <c r="BB874" s="29"/>
    </row>
    <row r="875" spans="53:54" ht="15.75" customHeight="1">
      <c r="BA875" s="29"/>
      <c r="BB875" s="29"/>
    </row>
    <row r="876" spans="53:54" ht="15.75" customHeight="1">
      <c r="BA876" s="29"/>
      <c r="BB876" s="29"/>
    </row>
    <row r="877" spans="53:54" ht="15.75" customHeight="1">
      <c r="BA877" s="29"/>
      <c r="BB877" s="29"/>
    </row>
    <row r="878" spans="53:54" ht="15.75" customHeight="1">
      <c r="BA878" s="29"/>
      <c r="BB878" s="29"/>
    </row>
    <row r="879" spans="53:54" ht="15.75" customHeight="1">
      <c r="BA879" s="29"/>
      <c r="BB879" s="29"/>
    </row>
    <row r="880" spans="53:54" ht="15.75" customHeight="1">
      <c r="BA880" s="29"/>
      <c r="BB880" s="29"/>
    </row>
    <row r="881" spans="53:54" ht="15.75" customHeight="1">
      <c r="BA881" s="29"/>
      <c r="BB881" s="29"/>
    </row>
    <row r="882" spans="53:54" ht="15.75" customHeight="1">
      <c r="BA882" s="29"/>
      <c r="BB882" s="29"/>
    </row>
    <row r="883" spans="53:54" ht="15.75" customHeight="1">
      <c r="BA883" s="29"/>
      <c r="BB883" s="29"/>
    </row>
    <row r="884" spans="53:54" ht="15.75" customHeight="1">
      <c r="BA884" s="29"/>
      <c r="BB884" s="29"/>
    </row>
    <row r="885" spans="53:54" ht="15.75" customHeight="1">
      <c r="BA885" s="29"/>
      <c r="BB885" s="29"/>
    </row>
    <row r="886" spans="53:54" ht="15.75" customHeight="1">
      <c r="BA886" s="29"/>
      <c r="BB886" s="29"/>
    </row>
    <row r="887" spans="53:54" ht="15.75" customHeight="1">
      <c r="BA887" s="29"/>
      <c r="BB887" s="29"/>
    </row>
    <row r="888" spans="53:54" ht="15.75" customHeight="1">
      <c r="BA888" s="29"/>
      <c r="BB888" s="29"/>
    </row>
    <row r="889" spans="53:54" ht="15.75" customHeight="1">
      <c r="BA889" s="29"/>
      <c r="BB889" s="29"/>
    </row>
    <row r="890" spans="53:54" ht="15.75" customHeight="1">
      <c r="BA890" s="29"/>
      <c r="BB890" s="29"/>
    </row>
    <row r="891" spans="53:54" ht="15.75" customHeight="1">
      <c r="BA891" s="29"/>
      <c r="BB891" s="29"/>
    </row>
    <row r="892" spans="53:54" ht="15.75" customHeight="1">
      <c r="BA892" s="29"/>
      <c r="BB892" s="29"/>
    </row>
    <row r="893" spans="53:54" ht="15.75" customHeight="1">
      <c r="BA893" s="29"/>
      <c r="BB893" s="29"/>
    </row>
    <row r="894" spans="53:54" ht="15.75" customHeight="1">
      <c r="BA894" s="29"/>
      <c r="BB894" s="29"/>
    </row>
    <row r="895" spans="53:54" ht="15.75" customHeight="1">
      <c r="BA895" s="29"/>
      <c r="BB895" s="29"/>
    </row>
    <row r="896" spans="53:54" ht="15.75" customHeight="1">
      <c r="BA896" s="29"/>
      <c r="BB896" s="29"/>
    </row>
    <row r="897" spans="53:54" ht="15.75" customHeight="1">
      <c r="BA897" s="29"/>
      <c r="BB897" s="29"/>
    </row>
    <row r="898" spans="53:54" ht="15.75" customHeight="1">
      <c r="BA898" s="29"/>
      <c r="BB898" s="29"/>
    </row>
    <row r="899" spans="53:54" ht="15.75" customHeight="1">
      <c r="BA899" s="29"/>
      <c r="BB899" s="29"/>
    </row>
    <row r="900" spans="53:54" ht="15.75" customHeight="1">
      <c r="BA900" s="29"/>
      <c r="BB900" s="29"/>
    </row>
    <row r="901" spans="53:54" ht="15.75" customHeight="1">
      <c r="BA901" s="29"/>
      <c r="BB901" s="29"/>
    </row>
    <row r="902" spans="53:54" ht="15.75" customHeight="1">
      <c r="BA902" s="29"/>
      <c r="BB902" s="29"/>
    </row>
    <row r="903" spans="53:54" ht="15.75" customHeight="1">
      <c r="BA903" s="29"/>
      <c r="BB903" s="29"/>
    </row>
    <row r="904" spans="53:54" ht="15.75" customHeight="1">
      <c r="BA904" s="29"/>
      <c r="BB904" s="29"/>
    </row>
    <row r="905" spans="53:54" ht="15.75" customHeight="1">
      <c r="BA905" s="29"/>
      <c r="BB905" s="29"/>
    </row>
    <row r="906" spans="53:54" ht="15.75" customHeight="1">
      <c r="BA906" s="29"/>
      <c r="BB906" s="29"/>
    </row>
    <row r="907" spans="53:54" ht="15.75" customHeight="1">
      <c r="BA907" s="29"/>
      <c r="BB907" s="29"/>
    </row>
    <row r="908" spans="53:54" ht="15.75" customHeight="1">
      <c r="BA908" s="29"/>
      <c r="BB908" s="29"/>
    </row>
    <row r="909" spans="53:54" ht="15.75" customHeight="1">
      <c r="BA909" s="29"/>
      <c r="BB909" s="29"/>
    </row>
    <row r="910" spans="53:54" ht="15.75" customHeight="1">
      <c r="BA910" s="29"/>
      <c r="BB910" s="29"/>
    </row>
    <row r="911" spans="53:54" ht="15.75" customHeight="1">
      <c r="BA911" s="29"/>
      <c r="BB911" s="29"/>
    </row>
    <row r="912" spans="53:54" ht="15.75" customHeight="1">
      <c r="BA912" s="29"/>
      <c r="BB912" s="29"/>
    </row>
    <row r="913" spans="53:54" ht="15.75" customHeight="1">
      <c r="BA913" s="29"/>
      <c r="BB913" s="29"/>
    </row>
    <row r="914" spans="53:54" ht="15.75" customHeight="1">
      <c r="BA914" s="29"/>
      <c r="BB914" s="29"/>
    </row>
    <row r="915" spans="53:54" ht="15.75" customHeight="1">
      <c r="BA915" s="29"/>
      <c r="BB915" s="29"/>
    </row>
    <row r="916" spans="53:54" ht="15.75" customHeight="1">
      <c r="BA916" s="29"/>
      <c r="BB916" s="29"/>
    </row>
    <row r="917" spans="53:54" ht="15.75" customHeight="1">
      <c r="BA917" s="29"/>
      <c r="BB917" s="29"/>
    </row>
    <row r="918" spans="53:54" ht="15.75" customHeight="1">
      <c r="BA918" s="29"/>
      <c r="BB918" s="29"/>
    </row>
    <row r="919" spans="53:54" ht="15.75" customHeight="1">
      <c r="BA919" s="29"/>
      <c r="BB919" s="29"/>
    </row>
    <row r="920" spans="53:54" ht="15.75" customHeight="1">
      <c r="BA920" s="29"/>
      <c r="BB920" s="29"/>
    </row>
    <row r="921" spans="53:54" ht="15.75" customHeight="1">
      <c r="BA921" s="29"/>
      <c r="BB921" s="29"/>
    </row>
    <row r="922" spans="53:54" ht="15.75" customHeight="1">
      <c r="BA922" s="29"/>
      <c r="BB922" s="29"/>
    </row>
    <row r="923" spans="53:54" ht="15.75" customHeight="1">
      <c r="BA923" s="29"/>
      <c r="BB923" s="29"/>
    </row>
    <row r="924" spans="53:54" ht="15.75" customHeight="1">
      <c r="BA924" s="29"/>
      <c r="BB924" s="29"/>
    </row>
    <row r="925" spans="53:54" ht="15.75" customHeight="1">
      <c r="BA925" s="29"/>
      <c r="BB925" s="29"/>
    </row>
    <row r="926" spans="53:54" ht="15.75" customHeight="1">
      <c r="BA926" s="29"/>
      <c r="BB926" s="29"/>
    </row>
    <row r="927" spans="53:54" ht="15.75" customHeight="1">
      <c r="BA927" s="29"/>
      <c r="BB927" s="29"/>
    </row>
    <row r="928" spans="53:54" ht="15.75" customHeight="1">
      <c r="BA928" s="29"/>
      <c r="BB928" s="29"/>
    </row>
    <row r="929" spans="53:54" ht="15.75" customHeight="1">
      <c r="BA929" s="29"/>
      <c r="BB929" s="29"/>
    </row>
    <row r="930" spans="53:54" ht="15.75" customHeight="1">
      <c r="BA930" s="29"/>
      <c r="BB930" s="29"/>
    </row>
    <row r="931" spans="53:54" ht="15.75" customHeight="1">
      <c r="BA931" s="29"/>
      <c r="BB931" s="29"/>
    </row>
    <row r="932" spans="53:54" ht="15.75" customHeight="1">
      <c r="BA932" s="29"/>
      <c r="BB932" s="29"/>
    </row>
    <row r="933" spans="53:54" ht="15.75" customHeight="1">
      <c r="BA933" s="29"/>
      <c r="BB933" s="29"/>
    </row>
    <row r="934" spans="53:54" ht="15.75" customHeight="1">
      <c r="BA934" s="29"/>
      <c r="BB934" s="29"/>
    </row>
    <row r="935" spans="53:54" ht="15.75" customHeight="1">
      <c r="BA935" s="29"/>
      <c r="BB935" s="29"/>
    </row>
    <row r="936" spans="53:54" ht="15.75" customHeight="1">
      <c r="BA936" s="29"/>
      <c r="BB936" s="29"/>
    </row>
    <row r="937" spans="53:54" ht="15.75" customHeight="1">
      <c r="BA937" s="29"/>
      <c r="BB937" s="29"/>
    </row>
    <row r="938" spans="53:54" ht="15.75" customHeight="1">
      <c r="BA938" s="29"/>
      <c r="BB938" s="29"/>
    </row>
    <row r="939" spans="53:54" ht="15.75" customHeight="1">
      <c r="BA939" s="29"/>
      <c r="BB939" s="29"/>
    </row>
    <row r="940" spans="53:54" ht="15.75" customHeight="1">
      <c r="BA940" s="29"/>
      <c r="BB940" s="29"/>
    </row>
    <row r="941" spans="53:54" ht="15.75" customHeight="1">
      <c r="BA941" s="29"/>
      <c r="BB941" s="29"/>
    </row>
    <row r="942" spans="53:54" ht="15.75" customHeight="1">
      <c r="BA942" s="29"/>
      <c r="BB942" s="29"/>
    </row>
    <row r="943" spans="53:54" ht="15.75" customHeight="1">
      <c r="BA943" s="29"/>
      <c r="BB943" s="29"/>
    </row>
    <row r="944" spans="53:54" ht="15.75" customHeight="1">
      <c r="BA944" s="29"/>
      <c r="BB944" s="29"/>
    </row>
    <row r="945" spans="53:54" ht="15.75" customHeight="1">
      <c r="BA945" s="29"/>
      <c r="BB945" s="29"/>
    </row>
    <row r="946" spans="53:54" ht="15.75" customHeight="1">
      <c r="BA946" s="29"/>
      <c r="BB946" s="29"/>
    </row>
    <row r="947" spans="53:54" ht="15.75" customHeight="1">
      <c r="BA947" s="29"/>
      <c r="BB947" s="29"/>
    </row>
    <row r="948" spans="53:54" ht="15.75" customHeight="1">
      <c r="BA948" s="29"/>
      <c r="BB948" s="29"/>
    </row>
    <row r="949" spans="53:54" ht="15.75" customHeight="1">
      <c r="BA949" s="29"/>
      <c r="BB949" s="29"/>
    </row>
    <row r="950" spans="53:54" ht="15.75" customHeight="1">
      <c r="BA950" s="29"/>
      <c r="BB950" s="29"/>
    </row>
    <row r="951" spans="53:54" ht="15.75" customHeight="1">
      <c r="BA951" s="29"/>
      <c r="BB951" s="29"/>
    </row>
    <row r="952" spans="53:54" ht="15.75" customHeight="1">
      <c r="BA952" s="29"/>
      <c r="BB952" s="29"/>
    </row>
    <row r="953" spans="53:54" ht="15.75" customHeight="1">
      <c r="BA953" s="29"/>
      <c r="BB953" s="29"/>
    </row>
    <row r="954" spans="53:54" ht="15.75" customHeight="1">
      <c r="BA954" s="29"/>
      <c r="BB954" s="29"/>
    </row>
    <row r="955" spans="53:54" ht="15.75" customHeight="1">
      <c r="BA955" s="29"/>
      <c r="BB955" s="29"/>
    </row>
    <row r="956" spans="53:54" ht="15.75" customHeight="1">
      <c r="BA956" s="29"/>
      <c r="BB956" s="29"/>
    </row>
    <row r="957" spans="53:54" ht="15.75" customHeight="1">
      <c r="BA957" s="29"/>
      <c r="BB957" s="29"/>
    </row>
    <row r="958" spans="53:54" ht="15.75" customHeight="1">
      <c r="BA958" s="29"/>
      <c r="BB958" s="29"/>
    </row>
    <row r="959" spans="53:54" ht="15.75" customHeight="1">
      <c r="BA959" s="29"/>
      <c r="BB959" s="29"/>
    </row>
    <row r="960" spans="53:54" ht="15.75" customHeight="1">
      <c r="BA960" s="29"/>
      <c r="BB960" s="29"/>
    </row>
    <row r="961" spans="53:54" ht="15.75" customHeight="1">
      <c r="BA961" s="29"/>
      <c r="BB961" s="29"/>
    </row>
    <row r="962" spans="53:54" ht="15.75" customHeight="1">
      <c r="BA962" s="29"/>
      <c r="BB962" s="29"/>
    </row>
    <row r="963" spans="53:54" ht="15.75" customHeight="1">
      <c r="BA963" s="29"/>
      <c r="BB963" s="29"/>
    </row>
    <row r="964" spans="53:54" ht="15.75" customHeight="1">
      <c r="BA964" s="29"/>
      <c r="BB964" s="29"/>
    </row>
    <row r="965" spans="53:54" ht="15.75" customHeight="1">
      <c r="BA965" s="29"/>
      <c r="BB965" s="29"/>
    </row>
    <row r="966" spans="53:54" ht="15.75" customHeight="1">
      <c r="BA966" s="29"/>
      <c r="BB966" s="29"/>
    </row>
    <row r="967" spans="53:54" ht="15.75" customHeight="1">
      <c r="BA967" s="29"/>
      <c r="BB967" s="29"/>
    </row>
    <row r="968" spans="53:54" ht="15.75" customHeight="1">
      <c r="BA968" s="29"/>
      <c r="BB968" s="29"/>
    </row>
    <row r="969" spans="53:54" ht="15.75" customHeight="1">
      <c r="BA969" s="29"/>
      <c r="BB969" s="29"/>
    </row>
    <row r="970" spans="53:54" ht="15.75" customHeight="1">
      <c r="BA970" s="29"/>
      <c r="BB970" s="29"/>
    </row>
    <row r="971" spans="53:54" ht="15.75" customHeight="1">
      <c r="BA971" s="29"/>
      <c r="BB971" s="29"/>
    </row>
    <row r="972" spans="53:54" ht="15.75" customHeight="1">
      <c r="BA972" s="29"/>
      <c r="BB972" s="29"/>
    </row>
    <row r="973" spans="53:54" ht="15.75" customHeight="1">
      <c r="BA973" s="29"/>
      <c r="BB973" s="29"/>
    </row>
    <row r="974" spans="53:54" ht="15.75" customHeight="1">
      <c r="BA974" s="29"/>
      <c r="BB974" s="29"/>
    </row>
    <row r="975" spans="53:54" ht="15.75" customHeight="1">
      <c r="BA975" s="29"/>
      <c r="BB975" s="29"/>
    </row>
    <row r="976" spans="53:54" ht="15.75" customHeight="1">
      <c r="BA976" s="29"/>
      <c r="BB976" s="29"/>
    </row>
    <row r="977" spans="53:54" ht="15.75" customHeight="1">
      <c r="BA977" s="29"/>
      <c r="BB977" s="29"/>
    </row>
    <row r="978" spans="53:54" ht="15.75" customHeight="1">
      <c r="BA978" s="29"/>
      <c r="BB978" s="29"/>
    </row>
    <row r="979" spans="53:54" ht="15.75" customHeight="1">
      <c r="BA979" s="29"/>
      <c r="BB979" s="29"/>
    </row>
    <row r="980" spans="53:54" ht="15.75" customHeight="1">
      <c r="BA980" s="29"/>
      <c r="BB980" s="29"/>
    </row>
    <row r="981" spans="53:54" ht="15.75" customHeight="1">
      <c r="BA981" s="29"/>
      <c r="BB981" s="29"/>
    </row>
    <row r="982" spans="53:54" ht="15.75" customHeight="1">
      <c r="BA982" s="29"/>
      <c r="BB982" s="29"/>
    </row>
    <row r="983" spans="53:54" ht="15.75" customHeight="1">
      <c r="BA983" s="29"/>
      <c r="BB983" s="29"/>
    </row>
    <row r="984" spans="53:54" ht="15.75" customHeight="1">
      <c r="BA984" s="29"/>
      <c r="BB984" s="29"/>
    </row>
    <row r="985" spans="53:54" ht="15.75" customHeight="1">
      <c r="BA985" s="29"/>
      <c r="BB985" s="29"/>
    </row>
    <row r="986" spans="53:54" ht="15.75" customHeight="1">
      <c r="BA986" s="29"/>
      <c r="BB986" s="29"/>
    </row>
    <row r="987" spans="53:54" ht="15.75" customHeight="1">
      <c r="BA987" s="29"/>
      <c r="BB987" s="29"/>
    </row>
    <row r="988" spans="53:54" ht="15.75" customHeight="1">
      <c r="BA988" s="29"/>
      <c r="BB988" s="29"/>
    </row>
    <row r="989" spans="53:54" ht="15.75" customHeight="1">
      <c r="BA989" s="29"/>
      <c r="BB989" s="29"/>
    </row>
    <row r="990" spans="53:54" ht="15.75" customHeight="1">
      <c r="BA990" s="29"/>
      <c r="BB990" s="29"/>
    </row>
    <row r="991" spans="53:54" ht="15.75" customHeight="1">
      <c r="BA991" s="29"/>
      <c r="BB991" s="29"/>
    </row>
    <row r="992" spans="53:54" ht="15.75" customHeight="1">
      <c r="BA992" s="29"/>
      <c r="BB992" s="29"/>
    </row>
    <row r="993" spans="53:54" ht="15.75" customHeight="1">
      <c r="BA993" s="29"/>
      <c r="BB993" s="29"/>
    </row>
    <row r="994" spans="53:54" ht="15.75" customHeight="1">
      <c r="BA994" s="29"/>
      <c r="BB994" s="29"/>
    </row>
    <row r="995" spans="53:54" ht="15.75" customHeight="1">
      <c r="BA995" s="29"/>
      <c r="BB995" s="29"/>
    </row>
    <row r="996" spans="53:54" ht="15.75" customHeight="1">
      <c r="BA996" s="29"/>
      <c r="BB996" s="29"/>
    </row>
    <row r="997" spans="53:54" ht="15.75" customHeight="1">
      <c r="BA997" s="29"/>
      <c r="BB997" s="29"/>
    </row>
    <row r="998" spans="53:54" ht="15.75" customHeight="1">
      <c r="BA998" s="29"/>
      <c r="BB998" s="29"/>
    </row>
    <row r="999" spans="53:54" ht="15.75" customHeight="1">
      <c r="BA999" s="29"/>
      <c r="BB999" s="29"/>
    </row>
    <row r="1000" spans="53:54" ht="15.75" customHeight="1">
      <c r="BA1000" s="29"/>
      <c r="BB1000" s="29"/>
    </row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4A319-5A4D-574C-823D-2CA8085CBC0F}">
  <dimension ref="A1:Z13"/>
  <sheetViews>
    <sheetView workbookViewId="0">
      <selection activeCell="C1" sqref="C1:Z1"/>
    </sheetView>
  </sheetViews>
  <sheetFormatPr baseColWidth="10" defaultRowHeight="13"/>
  <cols>
    <col min="1" max="1" width="10.83203125" style="174"/>
    <col min="2" max="2" width="18.1640625" style="174" customWidth="1"/>
    <col min="3" max="16384" width="10.83203125" style="174"/>
  </cols>
  <sheetData>
    <row r="1" spans="1:26" s="171" customFormat="1" ht="37.5" customHeight="1">
      <c r="A1" s="170"/>
      <c r="B1" s="11" t="s">
        <v>365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71" customFormat="1" ht="18" customHeight="1" thickBot="1">
      <c r="A2" s="172" t="s">
        <v>366</v>
      </c>
      <c r="B2" s="11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</row>
    <row r="3" spans="1:26" ht="17" customHeight="1"/>
    <row r="4" spans="1:26" ht="17" customHeight="1">
      <c r="B4" s="175" t="s">
        <v>367</v>
      </c>
    </row>
    <row r="5" spans="1:26" ht="17" customHeight="1">
      <c r="B5" s="176" t="s">
        <v>368</v>
      </c>
    </row>
    <row r="6" spans="1:26" ht="17" customHeight="1">
      <c r="B6" s="176" t="s">
        <v>369</v>
      </c>
    </row>
    <row r="7" spans="1:26" ht="17" customHeight="1">
      <c r="B7" s="175" t="s">
        <v>370</v>
      </c>
    </row>
    <row r="8" spans="1:26" ht="17" customHeight="1">
      <c r="B8" s="175" t="s">
        <v>371</v>
      </c>
    </row>
    <row r="9" spans="1:26" ht="17" customHeight="1">
      <c r="B9" s="175" t="s">
        <v>372</v>
      </c>
    </row>
    <row r="10" spans="1:26" ht="17" customHeight="1">
      <c r="B10" s="175" t="s">
        <v>373</v>
      </c>
    </row>
    <row r="11" spans="1:26" ht="17" customHeight="1">
      <c r="B11" s="177"/>
    </row>
    <row r="12" spans="1:26" ht="17" customHeight="1">
      <c r="B12" s="178" t="s">
        <v>374</v>
      </c>
    </row>
    <row r="13" spans="1:26" ht="17" customHeight="1">
      <c r="B13" s="178" t="s">
        <v>375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1813-C14C-6F4B-BB49-93CC4058DC26}">
  <sheetPr>
    <outlinePr summaryBelow="0" summaryRight="0"/>
  </sheetPr>
  <dimension ref="A1:Z1000"/>
  <sheetViews>
    <sheetView workbookViewId="0">
      <selection activeCell="E22" sqref="E22"/>
    </sheetView>
  </sheetViews>
  <sheetFormatPr baseColWidth="10" defaultColWidth="14.5" defaultRowHeight="15" customHeight="1"/>
  <cols>
    <col min="1" max="1" width="14.5" style="174" customWidth="1"/>
    <col min="2" max="2" width="12.5" style="174" customWidth="1"/>
    <col min="3" max="3" width="11" style="174" customWidth="1"/>
    <col min="4" max="4" width="6.1640625" style="174" customWidth="1"/>
    <col min="5" max="5" width="10.33203125" style="174" customWidth="1"/>
    <col min="6" max="6" width="4.33203125" style="174" customWidth="1"/>
    <col min="7" max="7" width="10.33203125" style="174" customWidth="1"/>
    <col min="8" max="8" width="2.1640625" style="174" customWidth="1"/>
    <col min="9" max="9" width="8.6640625" style="174" customWidth="1"/>
    <col min="10" max="10" width="2.1640625" style="174" customWidth="1"/>
    <col min="11" max="11" width="4.6640625" style="174" customWidth="1"/>
    <col min="12" max="12" width="11" style="174" customWidth="1"/>
    <col min="13" max="13" width="2.1640625" style="174" customWidth="1"/>
    <col min="14" max="14" width="5.6640625" style="174" customWidth="1"/>
    <col min="15" max="15" width="7.6640625" style="174" customWidth="1"/>
    <col min="16" max="16384" width="14.5" style="174"/>
  </cols>
  <sheetData>
    <row r="1" spans="1:26" ht="38.25" customHeight="1">
      <c r="A1" s="179"/>
      <c r="B1" s="11" t="s">
        <v>376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.75" customHeight="1" thickBot="1">
      <c r="A2" s="180" t="s">
        <v>377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</row>
    <row r="3" spans="1:26" ht="15.75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</row>
    <row r="4" spans="1:26" ht="15.75" customHeight="1">
      <c r="A4" s="182"/>
      <c r="B4" s="183">
        <v>1000</v>
      </c>
      <c r="C4" s="184" t="s">
        <v>247</v>
      </c>
      <c r="D4" s="185">
        <v>5</v>
      </c>
      <c r="E4" s="186" t="s">
        <v>378</v>
      </c>
      <c r="F4" s="187">
        <v>100</v>
      </c>
      <c r="G4" s="186" t="s">
        <v>379</v>
      </c>
      <c r="H4" s="188" t="s">
        <v>380</v>
      </c>
      <c r="I4" s="189">
        <f t="shared" ref="I4:I5" si="0">B4*D4*F4</f>
        <v>500000</v>
      </c>
      <c r="J4" s="188" t="s">
        <v>380</v>
      </c>
      <c r="K4" s="190">
        <f>I4/I5</f>
        <v>200</v>
      </c>
      <c r="L4" s="191" t="s">
        <v>247</v>
      </c>
      <c r="M4" s="188" t="s">
        <v>380</v>
      </c>
      <c r="N4" s="192">
        <f>K4/B4*B5</f>
        <v>1</v>
      </c>
      <c r="O4" s="193" t="s">
        <v>381</v>
      </c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</row>
    <row r="5" spans="1:26" ht="15.75" customHeight="1">
      <c r="A5" s="182"/>
      <c r="B5" s="194">
        <v>5</v>
      </c>
      <c r="C5" s="195" t="s">
        <v>378</v>
      </c>
      <c r="D5" s="196">
        <v>50</v>
      </c>
      <c r="E5" s="195" t="s">
        <v>379</v>
      </c>
      <c r="F5" s="196">
        <v>10</v>
      </c>
      <c r="G5" s="195" t="s">
        <v>381</v>
      </c>
      <c r="H5" s="197" t="s">
        <v>380</v>
      </c>
      <c r="I5" s="198">
        <f t="shared" si="0"/>
        <v>2500</v>
      </c>
      <c r="J5" s="197" t="s">
        <v>380</v>
      </c>
      <c r="K5" s="199"/>
      <c r="L5" s="200" t="s">
        <v>381</v>
      </c>
      <c r="M5" s="197" t="s">
        <v>380</v>
      </c>
      <c r="N5" s="199"/>
      <c r="O5" s="201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</row>
    <row r="6" spans="1:26" ht="15.75" customHeight="1">
      <c r="A6" s="182"/>
      <c r="B6" s="182"/>
      <c r="C6" s="182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</row>
    <row r="7" spans="1:26" ht="15.75" customHeight="1">
      <c r="A7" s="182"/>
      <c r="B7" s="182"/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</row>
    <row r="8" spans="1:26" ht="15.75" customHeight="1">
      <c r="A8" s="182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</row>
    <row r="9" spans="1:26" ht="15.75" customHeight="1">
      <c r="A9" s="182"/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1:26" ht="15.75" customHeight="1">
      <c r="A10" s="182"/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</row>
    <row r="11" spans="1:26" ht="15.75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</row>
    <row r="12" spans="1:26" ht="15.75" customHeight="1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</row>
    <row r="13" spans="1:26" ht="15.75" customHeight="1">
      <c r="A13" s="182"/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</row>
    <row r="14" spans="1:26" ht="15.75" customHeight="1">
      <c r="A14" s="182"/>
      <c r="B14" s="182"/>
      <c r="C14" s="182"/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</row>
    <row r="15" spans="1:26" ht="15.75" customHeight="1">
      <c r="A15" s="182"/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 spans="1:26" ht="15.75" customHeight="1">
      <c r="A16" s="182"/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</row>
    <row r="17" spans="1:26" ht="15.75" customHeight="1">
      <c r="A17" s="182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</row>
    <row r="18" spans="1:26" ht="15.75" customHeight="1">
      <c r="A18" s="182"/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</row>
    <row r="19" spans="1:26" ht="15.75" customHeight="1">
      <c r="A19" s="182"/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</row>
    <row r="20" spans="1:26" ht="15.75" customHeight="1">
      <c r="A20" s="182"/>
      <c r="B20" s="182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</row>
    <row r="21" spans="1:26" ht="15.75" customHeight="1">
      <c r="A21" s="182"/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</row>
    <row r="22" spans="1:26" ht="15.75" customHeight="1">
      <c r="A22" s="182"/>
      <c r="B22" s="182"/>
      <c r="C22" s="182"/>
      <c r="D22" s="182"/>
      <c r="E22" s="11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</row>
    <row r="23" spans="1:26" ht="15.75" customHeight="1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</row>
    <row r="24" spans="1:26" ht="15.75" customHeight="1">
      <c r="A24" s="182"/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</row>
    <row r="25" spans="1:26" ht="15.75" customHeight="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</row>
    <row r="26" spans="1:26" ht="15.75" customHeight="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</row>
    <row r="27" spans="1:26" ht="15.75" customHeight="1">
      <c r="A27" s="182"/>
      <c r="B27" s="182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</row>
    <row r="28" spans="1:26" ht="15.75" customHeight="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</row>
    <row r="29" spans="1:26" ht="15.75" customHeight="1">
      <c r="A29" s="182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</row>
    <row r="30" spans="1:26" ht="15.75" customHeight="1">
      <c r="A30" s="182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</row>
    <row r="31" spans="1:26" ht="15.75" customHeight="1">
      <c r="A31" s="182"/>
      <c r="B31" s="182"/>
      <c r="C31" s="182"/>
      <c r="D31" s="182"/>
      <c r="E31" s="182"/>
      <c r="F31" s="182"/>
      <c r="G31" s="182"/>
      <c r="H31" s="182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</row>
    <row r="32" spans="1:26" ht="15.75" customHeigh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</row>
    <row r="33" spans="1:26" ht="15.75" customHeight="1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</row>
    <row r="34" spans="1:26" ht="15.75" customHeight="1">
      <c r="A34" s="182"/>
      <c r="B34" s="182"/>
      <c r="C34" s="182"/>
      <c r="D34" s="182"/>
      <c r="E34" s="182"/>
      <c r="F34" s="182"/>
      <c r="G34" s="182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</row>
    <row r="35" spans="1:26" ht="15.75" customHeigh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</row>
    <row r="36" spans="1:26" ht="15.75" customHeight="1">
      <c r="A36" s="182"/>
      <c r="B36" s="182"/>
      <c r="C36" s="182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</row>
    <row r="37" spans="1:26" ht="15.75" customHeight="1">
      <c r="A37" s="182"/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</row>
    <row r="38" spans="1:26" ht="15.75" customHeight="1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</row>
    <row r="39" spans="1:26" ht="15.75" customHeight="1">
      <c r="A39" s="182"/>
      <c r="B39" s="182"/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</row>
    <row r="40" spans="1:26" ht="15.75" customHeight="1">
      <c r="A40" s="182"/>
      <c r="B40" s="182"/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</row>
    <row r="41" spans="1:26" ht="15.75" customHeight="1">
      <c r="A41" s="182"/>
      <c r="B41" s="182"/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</row>
    <row r="42" spans="1:26" ht="15.75" customHeight="1">
      <c r="A42" s="182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</row>
    <row r="43" spans="1:26" ht="15.75" customHeight="1">
      <c r="A43" s="182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</row>
    <row r="44" spans="1:26" ht="15.75" customHeight="1">
      <c r="A44" s="182"/>
      <c r="B44" s="182"/>
      <c r="C44" s="182"/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</row>
    <row r="45" spans="1:26" ht="15.75" customHeight="1">
      <c r="A45" s="182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</row>
    <row r="46" spans="1:26" ht="15.75" customHeight="1">
      <c r="A46" s="182"/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</row>
    <row r="47" spans="1:26" ht="15.75" customHeight="1">
      <c r="A47" s="182"/>
      <c r="B47" s="182"/>
      <c r="C47" s="182"/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</row>
    <row r="48" spans="1:26" ht="15.75" customHeight="1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</row>
    <row r="49" spans="1:26" ht="15.75" customHeight="1">
      <c r="A49" s="182"/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</row>
    <row r="50" spans="1:26" ht="15.75" customHeight="1">
      <c r="A50" s="182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</row>
    <row r="51" spans="1:26" ht="15.75" customHeight="1">
      <c r="A51" s="182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</row>
    <row r="52" spans="1:26" ht="15.75" customHeight="1">
      <c r="A52" s="182"/>
      <c r="B52" s="182"/>
      <c r="C52" s="182"/>
      <c r="D52" s="182"/>
      <c r="E52" s="182"/>
      <c r="F52" s="182"/>
      <c r="G52" s="182"/>
      <c r="H52" s="182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</row>
    <row r="53" spans="1:26" ht="15.75" customHeight="1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</row>
    <row r="54" spans="1:26" ht="15.75" customHeight="1">
      <c r="A54" s="18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</row>
    <row r="55" spans="1:26" ht="15.75" customHeight="1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</row>
    <row r="56" spans="1:26" ht="15.75" customHeight="1">
      <c r="A56" s="182"/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</row>
    <row r="57" spans="1:26" ht="15.75" customHeight="1">
      <c r="A57" s="182"/>
      <c r="B57" s="182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</row>
    <row r="58" spans="1:26" ht="15.75" customHeight="1">
      <c r="A58" s="182"/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</row>
    <row r="59" spans="1:26" ht="15.75" customHeight="1">
      <c r="A59" s="182"/>
      <c r="B59" s="182"/>
      <c r="C59" s="182"/>
      <c r="D59" s="182"/>
      <c r="E59" s="182"/>
      <c r="F59" s="182"/>
      <c r="G59" s="182"/>
      <c r="H59" s="182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</row>
    <row r="60" spans="1:26" ht="15.75" customHeight="1">
      <c r="A60" s="182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</row>
    <row r="61" spans="1:26" ht="15.75" customHeight="1">
      <c r="A61" s="182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</row>
    <row r="62" spans="1:26" ht="15.75" customHeight="1">
      <c r="A62" s="182"/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</row>
    <row r="63" spans="1:26" ht="15.75" customHeight="1">
      <c r="A63" s="182"/>
      <c r="B63" s="182"/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</row>
    <row r="64" spans="1:26" ht="15.75" customHeight="1">
      <c r="A64" s="182"/>
      <c r="B64" s="182"/>
      <c r="C64" s="182"/>
      <c r="D64" s="182"/>
      <c r="E64" s="182"/>
      <c r="F64" s="182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</row>
    <row r="65" spans="1:26" ht="15.75" customHeight="1">
      <c r="A65" s="182"/>
      <c r="B65" s="182"/>
      <c r="C65" s="182"/>
      <c r="D65" s="182"/>
      <c r="E65" s="182"/>
      <c r="F65" s="182"/>
      <c r="G65" s="182"/>
      <c r="H65" s="182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</row>
    <row r="66" spans="1:26" ht="15.75" customHeight="1">
      <c r="A66" s="182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</row>
    <row r="67" spans="1:26" ht="15.75" customHeight="1">
      <c r="A67" s="182"/>
      <c r="B67" s="182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</row>
    <row r="68" spans="1:26" ht="15.75" customHeight="1">
      <c r="A68" s="182"/>
      <c r="B68" s="182"/>
      <c r="C68" s="182"/>
      <c r="D68" s="182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</row>
    <row r="69" spans="1:26" ht="15.75" customHeight="1">
      <c r="A69" s="182"/>
      <c r="B69" s="182"/>
      <c r="C69" s="182"/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</row>
    <row r="70" spans="1:26" ht="15.75" customHeight="1">
      <c r="A70" s="182"/>
      <c r="B70" s="182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</row>
    <row r="71" spans="1:26" ht="15.75" customHeight="1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</row>
    <row r="72" spans="1:26" ht="15.75" customHeight="1">
      <c r="A72" s="182"/>
      <c r="B72" s="182"/>
      <c r="C72" s="182"/>
      <c r="D72" s="182"/>
      <c r="E72" s="182"/>
      <c r="F72" s="182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</row>
    <row r="73" spans="1:26" ht="15.75" customHeight="1">
      <c r="A73" s="182"/>
      <c r="B73" s="18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</row>
    <row r="74" spans="1:26" ht="15.75" customHeight="1">
      <c r="A74" s="182"/>
      <c r="B74" s="182"/>
      <c r="C74" s="182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</row>
    <row r="75" spans="1:26" ht="15.75" customHeight="1">
      <c r="A75" s="182"/>
      <c r="B75" s="182"/>
      <c r="C75" s="182"/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</row>
    <row r="76" spans="1:26" ht="15.75" customHeight="1">
      <c r="A76" s="182"/>
      <c r="B76" s="182"/>
      <c r="C76" s="182"/>
      <c r="D76" s="182"/>
      <c r="E76" s="182"/>
      <c r="F76" s="182"/>
      <c r="G76" s="182"/>
      <c r="H76" s="182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</row>
    <row r="77" spans="1:26" ht="15.75" customHeigh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</row>
    <row r="78" spans="1:26" ht="15.75" customHeight="1">
      <c r="A78" s="182"/>
      <c r="B78" s="182"/>
      <c r="C78" s="182"/>
      <c r="D78" s="182"/>
      <c r="E78" s="182"/>
      <c r="F78" s="182"/>
      <c r="G78" s="182"/>
      <c r="H78" s="182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</row>
    <row r="79" spans="1:26" ht="15.75" customHeight="1">
      <c r="A79" s="182"/>
      <c r="B79" s="182"/>
      <c r="C79" s="182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</row>
    <row r="80" spans="1:26" ht="15.75" customHeight="1">
      <c r="A80" s="182"/>
      <c r="B80" s="182"/>
      <c r="C80" s="182"/>
      <c r="D80" s="182"/>
      <c r="E80" s="182"/>
      <c r="F80" s="182"/>
      <c r="G80" s="182"/>
      <c r="H80" s="182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</row>
    <row r="81" spans="1:26" ht="15.75" customHeight="1">
      <c r="A81" s="182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</row>
    <row r="82" spans="1:26" ht="15.75" customHeight="1">
      <c r="A82" s="182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</row>
    <row r="83" spans="1:26" ht="15.75" customHeight="1">
      <c r="A83" s="182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</row>
    <row r="84" spans="1:26" ht="15.75" customHeight="1">
      <c r="A84" s="182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</row>
    <row r="85" spans="1:26" ht="15.75" customHeight="1">
      <c r="A85" s="182"/>
      <c r="B85" s="182"/>
      <c r="C85" s="182"/>
      <c r="D85" s="182"/>
      <c r="E85" s="182"/>
      <c r="F85" s="182"/>
      <c r="G85" s="182"/>
      <c r="H85" s="182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</row>
    <row r="86" spans="1:26" ht="15.75" customHeight="1">
      <c r="A86" s="182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</row>
    <row r="87" spans="1:26" ht="15.75" customHeight="1">
      <c r="A87" s="182"/>
      <c r="B87" s="182"/>
      <c r="C87" s="182"/>
      <c r="D87" s="182"/>
      <c r="E87" s="182"/>
      <c r="F87" s="182"/>
      <c r="G87" s="182"/>
      <c r="H87" s="182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</row>
    <row r="88" spans="1:26" ht="15.75" customHeight="1">
      <c r="A88" s="182"/>
      <c r="B88" s="182"/>
      <c r="C88" s="182"/>
      <c r="D88" s="182"/>
      <c r="E88" s="182"/>
      <c r="F88" s="182"/>
      <c r="G88" s="182"/>
      <c r="H88" s="182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</row>
    <row r="89" spans="1:26" ht="15.75" customHeight="1">
      <c r="A89" s="182"/>
      <c r="B89" s="182"/>
      <c r="C89" s="182"/>
      <c r="D89" s="182"/>
      <c r="E89" s="182"/>
      <c r="F89" s="182"/>
      <c r="G89" s="182"/>
      <c r="H89" s="182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</row>
    <row r="90" spans="1:26" ht="15.75" customHeight="1">
      <c r="A90" s="182"/>
      <c r="B90" s="182"/>
      <c r="C90" s="182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</row>
    <row r="91" spans="1:26" ht="15.75" customHeight="1">
      <c r="A91" s="182"/>
      <c r="B91" s="182"/>
      <c r="C91" s="182"/>
      <c r="D91" s="182"/>
      <c r="E91" s="182"/>
      <c r="F91" s="182"/>
      <c r="G91" s="182"/>
      <c r="H91" s="182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</row>
    <row r="92" spans="1:26" ht="15.75" customHeight="1">
      <c r="A92" s="182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</row>
    <row r="93" spans="1:26" ht="15.75" customHeight="1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</row>
    <row r="94" spans="1:26" ht="15.75" customHeight="1">
      <c r="A94" s="182"/>
      <c r="B94" s="182"/>
      <c r="C94" s="182"/>
      <c r="D94" s="182"/>
      <c r="E94" s="182"/>
      <c r="F94" s="182"/>
      <c r="G94" s="182"/>
      <c r="H94" s="182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</row>
    <row r="95" spans="1:26" ht="15.75" customHeight="1">
      <c r="A95" s="182"/>
      <c r="B95" s="182"/>
      <c r="C95" s="182"/>
      <c r="D95" s="182"/>
      <c r="E95" s="182"/>
      <c r="F95" s="182"/>
      <c r="G95" s="182"/>
      <c r="H95" s="182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</row>
    <row r="96" spans="1:26" ht="15.75" customHeight="1">
      <c r="A96" s="182"/>
      <c r="B96" s="182"/>
      <c r="C96" s="182"/>
      <c r="D96" s="182"/>
      <c r="E96" s="182"/>
      <c r="F96" s="182"/>
      <c r="G96" s="182"/>
      <c r="H96" s="182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</row>
    <row r="97" spans="1:26" ht="15.75" customHeight="1">
      <c r="A97" s="182"/>
      <c r="B97" s="182"/>
      <c r="C97" s="182"/>
      <c r="D97" s="182"/>
      <c r="E97" s="182"/>
      <c r="F97" s="182"/>
      <c r="G97" s="182"/>
      <c r="H97" s="182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</row>
    <row r="98" spans="1:26" ht="15.75" customHeight="1">
      <c r="A98" s="182"/>
      <c r="B98" s="182"/>
      <c r="C98" s="182"/>
      <c r="D98" s="182"/>
      <c r="E98" s="182"/>
      <c r="F98" s="182"/>
      <c r="G98" s="182"/>
      <c r="H98" s="182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</row>
    <row r="99" spans="1:26" ht="15.75" customHeight="1">
      <c r="A99" s="182"/>
      <c r="B99" s="182"/>
      <c r="C99" s="182"/>
      <c r="D99" s="182"/>
      <c r="E99" s="182"/>
      <c r="F99" s="182"/>
      <c r="G99" s="182"/>
      <c r="H99" s="182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</row>
    <row r="100" spans="1:26" ht="15.75" customHeight="1">
      <c r="A100" s="182"/>
      <c r="B100" s="182"/>
      <c r="C100" s="182"/>
      <c r="D100" s="182"/>
      <c r="E100" s="182"/>
      <c r="F100" s="182"/>
      <c r="G100" s="182"/>
      <c r="H100" s="182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</row>
    <row r="101" spans="1:26" ht="15.75" customHeight="1">
      <c r="A101" s="182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</row>
    <row r="102" spans="1:26" ht="15.75" customHeight="1">
      <c r="A102" s="182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</row>
    <row r="103" spans="1:26" ht="15.75" customHeight="1">
      <c r="A103" s="182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</row>
    <row r="104" spans="1:26" ht="15.75" customHeight="1">
      <c r="A104" s="182"/>
      <c r="B104" s="182"/>
      <c r="C104" s="182"/>
      <c r="D104" s="182"/>
      <c r="E104" s="182"/>
      <c r="F104" s="182"/>
      <c r="G104" s="182"/>
      <c r="H104" s="182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</row>
    <row r="105" spans="1:26" ht="15.75" customHeight="1">
      <c r="A105" s="182"/>
      <c r="B105" s="182"/>
      <c r="C105" s="182"/>
      <c r="D105" s="182"/>
      <c r="E105" s="182"/>
      <c r="F105" s="182"/>
      <c r="G105" s="182"/>
      <c r="H105" s="182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</row>
    <row r="106" spans="1:26" ht="15.75" customHeight="1">
      <c r="A106" s="182"/>
      <c r="B106" s="182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</row>
    <row r="107" spans="1:26" ht="15.75" customHeight="1">
      <c r="A107" s="182"/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</row>
    <row r="108" spans="1:26" ht="15.75" customHeight="1">
      <c r="A108" s="182"/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</row>
    <row r="109" spans="1:26" ht="15.75" customHeight="1">
      <c r="A109" s="182"/>
      <c r="B109" s="182"/>
      <c r="C109" s="182"/>
      <c r="D109" s="182"/>
      <c r="E109" s="182"/>
      <c r="F109" s="182"/>
      <c r="G109" s="182"/>
      <c r="H109" s="182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</row>
    <row r="110" spans="1:26" ht="15.75" customHeight="1">
      <c r="A110" s="182"/>
      <c r="B110" s="182"/>
      <c r="C110" s="182"/>
      <c r="D110" s="182"/>
      <c r="E110" s="182"/>
      <c r="F110" s="182"/>
      <c r="G110" s="182"/>
      <c r="H110" s="182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</row>
    <row r="111" spans="1:26" ht="15.75" customHeight="1">
      <c r="A111" s="182"/>
      <c r="B111" s="182"/>
      <c r="C111" s="182"/>
      <c r="D111" s="182"/>
      <c r="E111" s="182"/>
      <c r="F111" s="182"/>
      <c r="G111" s="182"/>
      <c r="H111" s="182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</row>
    <row r="112" spans="1:26" ht="15.75" customHeight="1">
      <c r="A112" s="182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</row>
    <row r="113" spans="1:26" ht="15.75" customHeight="1">
      <c r="A113" s="182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</row>
    <row r="114" spans="1:26" ht="15.75" customHeight="1">
      <c r="A114" s="182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</row>
    <row r="115" spans="1:26" ht="15.75" customHeight="1">
      <c r="A115" s="182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</row>
    <row r="116" spans="1:26" ht="15.75" customHeight="1">
      <c r="A116" s="182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</row>
    <row r="117" spans="1:26" ht="15.75" customHeight="1">
      <c r="A117" s="182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</row>
    <row r="118" spans="1:26" ht="15.75" customHeight="1">
      <c r="A118" s="182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</row>
    <row r="119" spans="1:26" ht="15.75" customHeight="1">
      <c r="A119" s="182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</row>
    <row r="120" spans="1:26" ht="15.75" customHeight="1">
      <c r="A120" s="182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</row>
    <row r="121" spans="1:26" ht="15.75" customHeight="1">
      <c r="A121" s="182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</row>
    <row r="122" spans="1:26" ht="15.75" customHeight="1">
      <c r="A122" s="182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</row>
    <row r="123" spans="1:26" ht="15.75" customHeigh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</row>
    <row r="124" spans="1:26" ht="15.75" customHeigh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</row>
    <row r="125" spans="1:26" ht="15.75" customHeigh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</row>
    <row r="126" spans="1:26" ht="15.75" customHeight="1">
      <c r="A126" s="182"/>
      <c r="B126" s="182"/>
      <c r="C126" s="182"/>
      <c r="D126" s="182"/>
      <c r="E126" s="182"/>
      <c r="F126" s="182"/>
      <c r="G126" s="182"/>
      <c r="H126" s="182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</row>
    <row r="127" spans="1:26" ht="15.75" customHeight="1">
      <c r="A127" s="182"/>
      <c r="B127" s="182"/>
      <c r="C127" s="182"/>
      <c r="D127" s="182"/>
      <c r="E127" s="182"/>
      <c r="F127" s="182"/>
      <c r="G127" s="182"/>
      <c r="H127" s="182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</row>
    <row r="128" spans="1:26" ht="15.75" customHeight="1">
      <c r="A128" s="182"/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</row>
    <row r="129" spans="1:26" ht="15.75" customHeigh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</row>
    <row r="130" spans="1:26" ht="15.75" customHeight="1">
      <c r="A130" s="182"/>
      <c r="B130" s="182"/>
      <c r="C130" s="182"/>
      <c r="D130" s="182"/>
      <c r="E130" s="182"/>
      <c r="F130" s="182"/>
      <c r="G130" s="182"/>
      <c r="H130" s="182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</row>
    <row r="131" spans="1:26" ht="15.75" customHeight="1">
      <c r="A131" s="182"/>
      <c r="B131" s="182"/>
      <c r="C131" s="182"/>
      <c r="D131" s="182"/>
      <c r="E131" s="182"/>
      <c r="F131" s="182"/>
      <c r="G131" s="182"/>
      <c r="H131" s="182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</row>
    <row r="132" spans="1:26" ht="15.75" customHeight="1">
      <c r="A132" s="182"/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</row>
    <row r="133" spans="1:26" ht="15.75" customHeigh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</row>
    <row r="134" spans="1:26" ht="15.75" customHeight="1">
      <c r="A134" s="182"/>
      <c r="B134" s="182"/>
      <c r="C134" s="182"/>
      <c r="D134" s="182"/>
      <c r="E134" s="182"/>
      <c r="F134" s="182"/>
      <c r="G134" s="182"/>
      <c r="H134" s="182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</row>
    <row r="135" spans="1:26" ht="15.75" customHeight="1">
      <c r="A135" s="182"/>
      <c r="B135" s="182"/>
      <c r="C135" s="182"/>
      <c r="D135" s="182"/>
      <c r="E135" s="182"/>
      <c r="F135" s="182"/>
      <c r="G135" s="182"/>
      <c r="H135" s="182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</row>
    <row r="136" spans="1:26" ht="15.75" customHeight="1">
      <c r="A136" s="182"/>
      <c r="B136" s="182"/>
      <c r="C136" s="182"/>
      <c r="D136" s="182"/>
      <c r="E136" s="182"/>
      <c r="F136" s="182"/>
      <c r="G136" s="182"/>
      <c r="H136" s="182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</row>
    <row r="137" spans="1:26" ht="15.75" customHeight="1">
      <c r="A137" s="182"/>
      <c r="B137" s="182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</row>
    <row r="138" spans="1:26" ht="15.75" customHeight="1">
      <c r="A138" s="182"/>
      <c r="B138" s="182"/>
      <c r="C138" s="182"/>
      <c r="D138" s="182"/>
      <c r="E138" s="182"/>
      <c r="F138" s="182"/>
      <c r="G138" s="182"/>
      <c r="H138" s="182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</row>
    <row r="139" spans="1:26" ht="15.75" customHeight="1">
      <c r="A139" s="182"/>
      <c r="B139" s="182"/>
      <c r="C139" s="182"/>
      <c r="D139" s="182"/>
      <c r="E139" s="182"/>
      <c r="F139" s="182"/>
      <c r="G139" s="182"/>
      <c r="H139" s="182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</row>
    <row r="140" spans="1:26" ht="15.75" customHeight="1">
      <c r="A140" s="182"/>
      <c r="B140" s="182"/>
      <c r="C140" s="182"/>
      <c r="D140" s="182"/>
      <c r="E140" s="182"/>
      <c r="F140" s="182"/>
      <c r="G140" s="182"/>
      <c r="H140" s="182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</row>
    <row r="141" spans="1:26" ht="15.75" customHeight="1">
      <c r="A141" s="182"/>
      <c r="B141" s="182"/>
      <c r="C141" s="182"/>
      <c r="D141" s="182"/>
      <c r="E141" s="182"/>
      <c r="F141" s="182"/>
      <c r="G141" s="182"/>
      <c r="H141" s="182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</row>
    <row r="142" spans="1:26" ht="15.75" customHeight="1">
      <c r="A142" s="182"/>
      <c r="B142" s="182"/>
      <c r="C142" s="182"/>
      <c r="D142" s="182"/>
      <c r="E142" s="182"/>
      <c r="F142" s="182"/>
      <c r="G142" s="182"/>
      <c r="H142" s="182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</row>
    <row r="143" spans="1:26" ht="15.75" customHeight="1">
      <c r="A143" s="182"/>
      <c r="B143" s="182"/>
      <c r="C143" s="182"/>
      <c r="D143" s="182"/>
      <c r="E143" s="182"/>
      <c r="F143" s="182"/>
      <c r="G143" s="182"/>
      <c r="H143" s="182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</row>
    <row r="144" spans="1:26" ht="15.75" customHeight="1">
      <c r="A144" s="182"/>
      <c r="B144" s="182"/>
      <c r="C144" s="182"/>
      <c r="D144" s="182"/>
      <c r="E144" s="182"/>
      <c r="F144" s="182"/>
      <c r="G144" s="182"/>
      <c r="H144" s="182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</row>
    <row r="145" spans="1:26" ht="15.75" customHeight="1">
      <c r="A145" s="182"/>
      <c r="B145" s="182"/>
      <c r="C145" s="182"/>
      <c r="D145" s="182"/>
      <c r="E145" s="182"/>
      <c r="F145" s="182"/>
      <c r="G145" s="182"/>
      <c r="H145" s="182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</row>
    <row r="146" spans="1:26" ht="15.75" customHeight="1">
      <c r="A146" s="182"/>
      <c r="B146" s="182"/>
      <c r="C146" s="182"/>
      <c r="D146" s="182"/>
      <c r="E146" s="182"/>
      <c r="F146" s="182"/>
      <c r="G146" s="182"/>
      <c r="H146" s="182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</row>
    <row r="147" spans="1:26" ht="15.75" customHeight="1">
      <c r="A147" s="182"/>
      <c r="B147" s="182"/>
      <c r="C147" s="182"/>
      <c r="D147" s="182"/>
      <c r="E147" s="182"/>
      <c r="F147" s="182"/>
      <c r="G147" s="182"/>
      <c r="H147" s="182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</row>
    <row r="148" spans="1:26" ht="15.75" customHeight="1">
      <c r="A148" s="182"/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</row>
    <row r="149" spans="1:26" ht="15.75" customHeight="1">
      <c r="A149" s="182"/>
      <c r="B149" s="182"/>
      <c r="C149" s="182"/>
      <c r="D149" s="182"/>
      <c r="E149" s="182"/>
      <c r="F149" s="182"/>
      <c r="G149" s="182"/>
      <c r="H149" s="182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</row>
    <row r="150" spans="1:26" ht="15.75" customHeight="1">
      <c r="A150" s="182"/>
      <c r="B150" s="182"/>
      <c r="C150" s="182"/>
      <c r="D150" s="182"/>
      <c r="E150" s="182"/>
      <c r="F150" s="182"/>
      <c r="G150" s="182"/>
      <c r="H150" s="182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</row>
    <row r="151" spans="1:26" ht="15.75" customHeight="1">
      <c r="A151" s="182"/>
      <c r="B151" s="182"/>
      <c r="C151" s="182"/>
      <c r="D151" s="182"/>
      <c r="E151" s="182"/>
      <c r="F151" s="182"/>
      <c r="G151" s="182"/>
      <c r="H151" s="182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</row>
    <row r="152" spans="1:26" ht="15.75" customHeight="1">
      <c r="A152" s="182"/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</row>
    <row r="153" spans="1:26" ht="15.75" customHeight="1">
      <c r="A153" s="182"/>
      <c r="B153" s="182"/>
      <c r="C153" s="182"/>
      <c r="D153" s="182"/>
      <c r="E153" s="182"/>
      <c r="F153" s="182"/>
      <c r="G153" s="182"/>
      <c r="H153" s="182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</row>
    <row r="154" spans="1:26" ht="15.75" customHeight="1">
      <c r="A154" s="182"/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</row>
    <row r="155" spans="1:26" ht="15.75" customHeight="1">
      <c r="A155" s="182"/>
      <c r="B155" s="182"/>
      <c r="C155" s="182"/>
      <c r="D155" s="182"/>
      <c r="E155" s="182"/>
      <c r="F155" s="182"/>
      <c r="G155" s="182"/>
      <c r="H155" s="182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</row>
    <row r="156" spans="1:26" ht="15.75" customHeight="1">
      <c r="A156" s="182"/>
      <c r="B156" s="182"/>
      <c r="C156" s="182"/>
      <c r="D156" s="182"/>
      <c r="E156" s="182"/>
      <c r="F156" s="182"/>
      <c r="G156" s="182"/>
      <c r="H156" s="182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</row>
    <row r="157" spans="1:26" ht="15.75" customHeight="1">
      <c r="A157" s="182"/>
      <c r="B157" s="182"/>
      <c r="C157" s="182"/>
      <c r="D157" s="182"/>
      <c r="E157" s="182"/>
      <c r="F157" s="182"/>
      <c r="G157" s="182"/>
      <c r="H157" s="182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</row>
    <row r="158" spans="1:26" ht="15.75" customHeight="1">
      <c r="A158" s="182"/>
      <c r="B158" s="182"/>
      <c r="C158" s="182"/>
      <c r="D158" s="182"/>
      <c r="E158" s="182"/>
      <c r="F158" s="182"/>
      <c r="G158" s="182"/>
      <c r="H158" s="182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</row>
    <row r="159" spans="1:26" ht="15.75" customHeight="1">
      <c r="A159" s="182"/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</row>
    <row r="160" spans="1:26" ht="15.75" customHeight="1">
      <c r="A160" s="182"/>
      <c r="B160" s="182"/>
      <c r="C160" s="182"/>
      <c r="D160" s="182"/>
      <c r="E160" s="182"/>
      <c r="F160" s="182"/>
      <c r="G160" s="182"/>
      <c r="H160" s="182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</row>
    <row r="161" spans="1:26" ht="15.75" customHeight="1">
      <c r="A161" s="182"/>
      <c r="B161" s="182"/>
      <c r="C161" s="182"/>
      <c r="D161" s="182"/>
      <c r="E161" s="182"/>
      <c r="F161" s="182"/>
      <c r="G161" s="182"/>
      <c r="H161" s="182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</row>
    <row r="162" spans="1:26" ht="15.75" customHeight="1">
      <c r="A162" s="182"/>
      <c r="B162" s="182"/>
      <c r="C162" s="182"/>
      <c r="D162" s="182"/>
      <c r="E162" s="182"/>
      <c r="F162" s="182"/>
      <c r="G162" s="182"/>
      <c r="H162" s="182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</row>
    <row r="163" spans="1:26" ht="15.75" customHeight="1">
      <c r="A163" s="182"/>
      <c r="B163" s="182"/>
      <c r="C163" s="182"/>
      <c r="D163" s="182"/>
      <c r="E163" s="182"/>
      <c r="F163" s="182"/>
      <c r="G163" s="182"/>
      <c r="H163" s="182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</row>
    <row r="164" spans="1:26" ht="15.75" customHeight="1">
      <c r="A164" s="182"/>
      <c r="B164" s="182"/>
      <c r="C164" s="182"/>
      <c r="D164" s="182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</row>
    <row r="165" spans="1:26" ht="15.75" customHeight="1">
      <c r="A165" s="182"/>
      <c r="B165" s="182"/>
      <c r="C165" s="182"/>
      <c r="D165" s="182"/>
      <c r="E165" s="182"/>
      <c r="F165" s="182"/>
      <c r="G165" s="182"/>
      <c r="H165" s="182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</row>
    <row r="166" spans="1:26" ht="15.75" customHeight="1">
      <c r="A166" s="182"/>
      <c r="B166" s="182"/>
      <c r="C166" s="182"/>
      <c r="D166" s="182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</row>
    <row r="167" spans="1:26" ht="15.75" customHeight="1">
      <c r="A167" s="182"/>
      <c r="B167" s="182"/>
      <c r="C167" s="182"/>
      <c r="D167" s="182"/>
      <c r="E167" s="182"/>
      <c r="F167" s="182"/>
      <c r="G167" s="182"/>
      <c r="H167" s="182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</row>
    <row r="168" spans="1:26" ht="15.75" customHeight="1">
      <c r="A168" s="182"/>
      <c r="B168" s="182"/>
      <c r="C168" s="182"/>
      <c r="D168" s="182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</row>
    <row r="169" spans="1:26" ht="15.75" customHeight="1">
      <c r="A169" s="182"/>
      <c r="B169" s="182"/>
      <c r="C169" s="182"/>
      <c r="D169" s="182"/>
      <c r="E169" s="182"/>
      <c r="F169" s="182"/>
      <c r="G169" s="182"/>
      <c r="H169" s="182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</row>
    <row r="170" spans="1:26" ht="15.75" customHeight="1">
      <c r="A170" s="182"/>
      <c r="B170" s="182"/>
      <c r="C170" s="182"/>
      <c r="D170" s="182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</row>
    <row r="171" spans="1:26" ht="15.75" customHeight="1">
      <c r="A171" s="182"/>
      <c r="B171" s="182"/>
      <c r="C171" s="182"/>
      <c r="D171" s="182"/>
      <c r="E171" s="182"/>
      <c r="F171" s="182"/>
      <c r="G171" s="182"/>
      <c r="H171" s="182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</row>
    <row r="172" spans="1:26" ht="15.75" customHeight="1">
      <c r="A172" s="182"/>
      <c r="B172" s="182"/>
      <c r="C172" s="182"/>
      <c r="D172" s="182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</row>
    <row r="173" spans="1:26" ht="15.75" customHeight="1">
      <c r="A173" s="182"/>
      <c r="B173" s="182"/>
      <c r="C173" s="182"/>
      <c r="D173" s="182"/>
      <c r="E173" s="182"/>
      <c r="F173" s="182"/>
      <c r="G173" s="182"/>
      <c r="H173" s="182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</row>
    <row r="174" spans="1:26" ht="15.75" customHeight="1">
      <c r="A174" s="182"/>
      <c r="B174" s="182"/>
      <c r="C174" s="182"/>
      <c r="D174" s="182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</row>
    <row r="175" spans="1:26" ht="15.75" customHeight="1">
      <c r="A175" s="182"/>
      <c r="B175" s="182"/>
      <c r="C175" s="182"/>
      <c r="D175" s="182"/>
      <c r="E175" s="182"/>
      <c r="F175" s="182"/>
      <c r="G175" s="182"/>
      <c r="H175" s="182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</row>
    <row r="176" spans="1:26" ht="15.75" customHeight="1">
      <c r="A176" s="182"/>
      <c r="B176" s="182"/>
      <c r="C176" s="182"/>
      <c r="D176" s="182"/>
      <c r="E176" s="182"/>
      <c r="F176" s="182"/>
      <c r="G176" s="182"/>
      <c r="H176" s="182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</row>
    <row r="177" spans="1:26" ht="15.75" customHeight="1">
      <c r="A177" s="182"/>
      <c r="B177" s="182"/>
      <c r="C177" s="182"/>
      <c r="D177" s="182"/>
      <c r="E177" s="182"/>
      <c r="F177" s="182"/>
      <c r="G177" s="182"/>
      <c r="H177" s="182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</row>
    <row r="178" spans="1:26" ht="15.75" customHeight="1">
      <c r="A178" s="182"/>
      <c r="B178" s="182"/>
      <c r="C178" s="182"/>
      <c r="D178" s="182"/>
      <c r="E178" s="182"/>
      <c r="F178" s="182"/>
      <c r="G178" s="182"/>
      <c r="H178" s="182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</row>
    <row r="179" spans="1:26" ht="15.75" customHeight="1">
      <c r="A179" s="182"/>
      <c r="B179" s="182"/>
      <c r="C179" s="182"/>
      <c r="D179" s="182"/>
      <c r="E179" s="182"/>
      <c r="F179" s="182"/>
      <c r="G179" s="182"/>
      <c r="H179" s="182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</row>
    <row r="180" spans="1:26" ht="15.75" customHeight="1">
      <c r="A180" s="182"/>
      <c r="B180" s="182"/>
      <c r="C180" s="182"/>
      <c r="D180" s="182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</row>
    <row r="181" spans="1:26" ht="15.75" customHeight="1">
      <c r="A181" s="182"/>
      <c r="B181" s="182"/>
      <c r="C181" s="182"/>
      <c r="D181" s="182"/>
      <c r="E181" s="182"/>
      <c r="F181" s="182"/>
      <c r="G181" s="182"/>
      <c r="H181" s="182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</row>
    <row r="182" spans="1:26" ht="15.75" customHeight="1">
      <c r="A182" s="182"/>
      <c r="B182" s="182"/>
      <c r="C182" s="182"/>
      <c r="D182" s="182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</row>
    <row r="183" spans="1:26" ht="15.75" customHeight="1">
      <c r="A183" s="182"/>
      <c r="B183" s="182"/>
      <c r="C183" s="182"/>
      <c r="D183" s="182"/>
      <c r="E183" s="182"/>
      <c r="F183" s="182"/>
      <c r="G183" s="182"/>
      <c r="H183" s="182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</row>
    <row r="184" spans="1:26" ht="15.75" customHeight="1">
      <c r="A184" s="182"/>
      <c r="B184" s="182"/>
      <c r="C184" s="182"/>
      <c r="D184" s="182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</row>
    <row r="185" spans="1:26" ht="15.75" customHeight="1">
      <c r="A185" s="182"/>
      <c r="B185" s="182"/>
      <c r="C185" s="182"/>
      <c r="D185" s="182"/>
      <c r="E185" s="182"/>
      <c r="F185" s="182"/>
      <c r="G185" s="182"/>
      <c r="H185" s="182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</row>
    <row r="186" spans="1:26" ht="15.75" customHeight="1">
      <c r="A186" s="182"/>
      <c r="B186" s="182"/>
      <c r="C186" s="182"/>
      <c r="D186" s="182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</row>
    <row r="187" spans="1:26" ht="15.75" customHeight="1">
      <c r="A187" s="182"/>
      <c r="B187" s="182"/>
      <c r="C187" s="182"/>
      <c r="D187" s="182"/>
      <c r="E187" s="182"/>
      <c r="F187" s="182"/>
      <c r="G187" s="182"/>
      <c r="H187" s="182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</row>
    <row r="188" spans="1:26" ht="15.75" customHeight="1">
      <c r="A188" s="182"/>
      <c r="B188" s="182"/>
      <c r="C188" s="182"/>
      <c r="D188" s="182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</row>
    <row r="189" spans="1:26" ht="15.75" customHeight="1">
      <c r="A189" s="182"/>
      <c r="B189" s="182"/>
      <c r="C189" s="182"/>
      <c r="D189" s="182"/>
      <c r="E189" s="182"/>
      <c r="F189" s="182"/>
      <c r="G189" s="182"/>
      <c r="H189" s="182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</row>
    <row r="190" spans="1:26" ht="15.75" customHeight="1">
      <c r="A190" s="182"/>
      <c r="B190" s="182"/>
      <c r="C190" s="182"/>
      <c r="D190" s="182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</row>
    <row r="191" spans="1:26" ht="15.75" customHeight="1">
      <c r="A191" s="182"/>
      <c r="B191" s="182"/>
      <c r="C191" s="182"/>
      <c r="D191" s="182"/>
      <c r="E191" s="182"/>
      <c r="F191" s="182"/>
      <c r="G191" s="182"/>
      <c r="H191" s="182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</row>
    <row r="192" spans="1:26" ht="15.75" customHeight="1">
      <c r="A192" s="182"/>
      <c r="B192" s="182"/>
      <c r="C192" s="182"/>
      <c r="D192" s="182"/>
      <c r="E192" s="182"/>
      <c r="F192" s="182"/>
      <c r="G192" s="182"/>
      <c r="H192" s="182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</row>
    <row r="193" spans="1:26" ht="15.75" customHeight="1">
      <c r="A193" s="182"/>
      <c r="B193" s="182"/>
      <c r="C193" s="182"/>
      <c r="D193" s="182"/>
      <c r="E193" s="182"/>
      <c r="F193" s="182"/>
      <c r="G193" s="182"/>
      <c r="H193" s="182"/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</row>
    <row r="194" spans="1:26" ht="15.75" customHeight="1">
      <c r="A194" s="182"/>
      <c r="B194" s="182"/>
      <c r="C194" s="182"/>
      <c r="D194" s="182"/>
      <c r="E194" s="182"/>
      <c r="F194" s="182"/>
      <c r="G194" s="182"/>
      <c r="H194" s="182"/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</row>
    <row r="195" spans="1:26" ht="15.75" customHeight="1">
      <c r="A195" s="182"/>
      <c r="B195" s="182"/>
      <c r="C195" s="182"/>
      <c r="D195" s="182"/>
      <c r="E195" s="182"/>
      <c r="F195" s="182"/>
      <c r="G195" s="182"/>
      <c r="H195" s="182"/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</row>
    <row r="196" spans="1:26" ht="15.75" customHeight="1">
      <c r="A196" s="182"/>
      <c r="B196" s="182"/>
      <c r="C196" s="182"/>
      <c r="D196" s="182"/>
      <c r="E196" s="182"/>
      <c r="F196" s="182"/>
      <c r="G196" s="182"/>
      <c r="H196" s="182"/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</row>
    <row r="197" spans="1:26" ht="15.75" customHeight="1">
      <c r="A197" s="182"/>
      <c r="B197" s="182"/>
      <c r="C197" s="182"/>
      <c r="D197" s="182"/>
      <c r="E197" s="182"/>
      <c r="F197" s="182"/>
      <c r="G197" s="182"/>
      <c r="H197" s="182"/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</row>
    <row r="198" spans="1:26" ht="15.75" customHeight="1">
      <c r="A198" s="182"/>
      <c r="B198" s="182"/>
      <c r="C198" s="182"/>
      <c r="D198" s="182"/>
      <c r="E198" s="182"/>
      <c r="F198" s="182"/>
      <c r="G198" s="182"/>
      <c r="H198" s="182"/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</row>
    <row r="199" spans="1:26" ht="15.75" customHeight="1">
      <c r="A199" s="182"/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</row>
    <row r="200" spans="1:26" ht="15.75" customHeight="1">
      <c r="A200" s="182"/>
      <c r="B200" s="182"/>
      <c r="C200" s="182"/>
      <c r="D200" s="182"/>
      <c r="E200" s="182"/>
      <c r="F200" s="182"/>
      <c r="G200" s="182"/>
      <c r="H200" s="182"/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</row>
    <row r="201" spans="1:26" ht="15.75" customHeight="1">
      <c r="A201" s="182"/>
      <c r="B201" s="182"/>
      <c r="C201" s="182"/>
      <c r="D201" s="182"/>
      <c r="E201" s="182"/>
      <c r="F201" s="182"/>
      <c r="G201" s="182"/>
      <c r="H201" s="182"/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</row>
    <row r="202" spans="1:26" ht="15.75" customHeight="1">
      <c r="A202" s="182"/>
      <c r="B202" s="182"/>
      <c r="C202" s="182"/>
      <c r="D202" s="182"/>
      <c r="E202" s="182"/>
      <c r="F202" s="182"/>
      <c r="G202" s="182"/>
      <c r="H202" s="182"/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</row>
    <row r="203" spans="1:26" ht="15.75" customHeight="1">
      <c r="A203" s="182"/>
      <c r="B203" s="182"/>
      <c r="C203" s="182"/>
      <c r="D203" s="182"/>
      <c r="E203" s="182"/>
      <c r="F203" s="182"/>
      <c r="G203" s="182"/>
      <c r="H203" s="182"/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</row>
    <row r="204" spans="1:26" ht="15.75" customHeight="1">
      <c r="A204" s="182"/>
      <c r="B204" s="182"/>
      <c r="C204" s="182"/>
      <c r="D204" s="182"/>
      <c r="E204" s="182"/>
      <c r="F204" s="182"/>
      <c r="G204" s="182"/>
      <c r="H204" s="182"/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</row>
    <row r="205" spans="1:26" ht="15.75" customHeight="1">
      <c r="A205" s="182"/>
      <c r="B205" s="182"/>
      <c r="C205" s="182"/>
      <c r="D205" s="182"/>
      <c r="E205" s="182"/>
      <c r="F205" s="182"/>
      <c r="G205" s="182"/>
      <c r="H205" s="182"/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</row>
    <row r="206" spans="1:26" ht="15.75" customHeight="1">
      <c r="A206" s="182"/>
      <c r="B206" s="182"/>
      <c r="C206" s="182"/>
      <c r="D206" s="182"/>
      <c r="E206" s="182"/>
      <c r="F206" s="182"/>
      <c r="G206" s="182"/>
      <c r="H206" s="182"/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</row>
    <row r="207" spans="1:26" ht="15.75" customHeight="1">
      <c r="A207" s="182"/>
      <c r="B207" s="182"/>
      <c r="C207" s="182"/>
      <c r="D207" s="182"/>
      <c r="E207" s="182"/>
      <c r="F207" s="182"/>
      <c r="G207" s="182"/>
      <c r="H207" s="182"/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</row>
    <row r="208" spans="1:26" ht="15.75" customHeight="1">
      <c r="A208" s="182"/>
      <c r="B208" s="182"/>
      <c r="C208" s="182"/>
      <c r="D208" s="182"/>
      <c r="E208" s="182"/>
      <c r="F208" s="182"/>
      <c r="G208" s="182"/>
      <c r="H208" s="182"/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</row>
    <row r="209" spans="1:26" ht="15.75" customHeight="1">
      <c r="A209" s="182"/>
      <c r="B209" s="182"/>
      <c r="C209" s="182"/>
      <c r="D209" s="182"/>
      <c r="E209" s="182"/>
      <c r="F209" s="182"/>
      <c r="G209" s="182"/>
      <c r="H209" s="182"/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</row>
    <row r="210" spans="1:26" ht="15.75" customHeight="1">
      <c r="A210" s="182"/>
      <c r="B210" s="182"/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</row>
    <row r="211" spans="1:26" ht="15.75" customHeight="1">
      <c r="A211" s="182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</row>
    <row r="212" spans="1:26" ht="15.75" customHeight="1">
      <c r="A212" s="182"/>
      <c r="B212" s="182"/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</row>
    <row r="213" spans="1:26" ht="15.75" customHeight="1">
      <c r="A213" s="182"/>
      <c r="B213" s="182"/>
      <c r="C213" s="182"/>
      <c r="D213" s="182"/>
      <c r="E213" s="182"/>
      <c r="F213" s="182"/>
      <c r="G213" s="182"/>
      <c r="H213" s="182"/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</row>
    <row r="214" spans="1:26" ht="15.75" customHeight="1">
      <c r="A214" s="182"/>
      <c r="B214" s="182"/>
      <c r="C214" s="182"/>
      <c r="D214" s="182"/>
      <c r="E214" s="182"/>
      <c r="F214" s="182"/>
      <c r="G214" s="182"/>
      <c r="H214" s="182"/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</row>
    <row r="215" spans="1:26" ht="15.75" customHeight="1">
      <c r="A215" s="182"/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</row>
    <row r="216" spans="1:26" ht="15.75" customHeight="1">
      <c r="A216" s="182"/>
      <c r="B216" s="182"/>
      <c r="C216" s="182"/>
      <c r="D216" s="182"/>
      <c r="E216" s="182"/>
      <c r="F216" s="182"/>
      <c r="G216" s="182"/>
      <c r="H216" s="182"/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</row>
    <row r="217" spans="1:26" ht="15.75" customHeight="1">
      <c r="A217" s="182"/>
      <c r="B217" s="182"/>
      <c r="C217" s="182"/>
      <c r="D217" s="182"/>
      <c r="E217" s="182"/>
      <c r="F217" s="182"/>
      <c r="G217" s="182"/>
      <c r="H217" s="182"/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</row>
    <row r="218" spans="1:26" ht="15.75" customHeight="1">
      <c r="A218" s="182"/>
      <c r="B218" s="182"/>
      <c r="C218" s="182"/>
      <c r="D218" s="182"/>
      <c r="E218" s="182"/>
      <c r="F218" s="182"/>
      <c r="G218" s="182"/>
      <c r="H218" s="182"/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</row>
    <row r="219" spans="1:26" ht="15.75" customHeight="1">
      <c r="A219" s="182"/>
      <c r="B219" s="182"/>
      <c r="C219" s="182"/>
      <c r="D219" s="182"/>
      <c r="E219" s="182"/>
      <c r="F219" s="182"/>
      <c r="G219" s="182"/>
      <c r="H219" s="182"/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</row>
    <row r="220" spans="1:26" ht="15.75" customHeight="1">
      <c r="A220" s="182"/>
      <c r="B220" s="182"/>
      <c r="C220" s="182"/>
      <c r="D220" s="182"/>
      <c r="E220" s="182"/>
      <c r="F220" s="182"/>
      <c r="G220" s="182"/>
      <c r="H220" s="182"/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</row>
    <row r="221" spans="1:26" ht="15.75" customHeight="1">
      <c r="A221" s="182"/>
      <c r="B221" s="182"/>
      <c r="C221" s="182"/>
      <c r="D221" s="182"/>
      <c r="E221" s="182"/>
      <c r="F221" s="182"/>
      <c r="G221" s="182"/>
      <c r="H221" s="182"/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</row>
    <row r="222" spans="1:26" ht="15.75" customHeight="1">
      <c r="A222" s="182"/>
      <c r="B222" s="182"/>
      <c r="C222" s="182"/>
      <c r="D222" s="182"/>
      <c r="E222" s="182"/>
      <c r="F222" s="182"/>
      <c r="G222" s="182"/>
      <c r="H222" s="182"/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</row>
    <row r="223" spans="1:26" ht="15.75" customHeight="1">
      <c r="A223" s="182"/>
      <c r="B223" s="182"/>
      <c r="C223" s="182"/>
      <c r="D223" s="182"/>
      <c r="E223" s="182"/>
      <c r="F223" s="182"/>
      <c r="G223" s="182"/>
      <c r="H223" s="182"/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</row>
    <row r="224" spans="1:26" ht="15.75" customHeight="1">
      <c r="A224" s="182"/>
      <c r="B224" s="182"/>
      <c r="C224" s="182"/>
      <c r="D224" s="182"/>
      <c r="E224" s="182"/>
      <c r="F224" s="182"/>
      <c r="G224" s="182"/>
      <c r="H224" s="182"/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</row>
    <row r="225" spans="1:26" ht="15.75" customHeight="1">
      <c r="A225" s="182"/>
      <c r="B225" s="182"/>
      <c r="C225" s="182"/>
      <c r="D225" s="182"/>
      <c r="E225" s="182"/>
      <c r="F225" s="182"/>
      <c r="G225" s="182"/>
      <c r="H225" s="182"/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</row>
    <row r="226" spans="1:26" ht="15.75" customHeight="1">
      <c r="A226" s="182"/>
      <c r="B226" s="182"/>
      <c r="C226" s="182"/>
      <c r="D226" s="182"/>
      <c r="E226" s="182"/>
      <c r="F226" s="182"/>
      <c r="G226" s="182"/>
      <c r="H226" s="182"/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</row>
    <row r="227" spans="1:26" ht="15.75" customHeight="1">
      <c r="A227" s="182"/>
      <c r="B227" s="182"/>
      <c r="C227" s="182"/>
      <c r="D227" s="182"/>
      <c r="E227" s="182"/>
      <c r="F227" s="182"/>
      <c r="G227" s="182"/>
      <c r="H227" s="182"/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</row>
    <row r="228" spans="1:26" ht="15.75" customHeight="1">
      <c r="A228" s="182"/>
      <c r="B228" s="182"/>
      <c r="C228" s="182"/>
      <c r="D228" s="182"/>
      <c r="E228" s="182"/>
      <c r="F228" s="182"/>
      <c r="G228" s="182"/>
      <c r="H228" s="182"/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</row>
    <row r="229" spans="1:26" ht="15.75" customHeight="1">
      <c r="A229" s="182"/>
      <c r="B229" s="182"/>
      <c r="C229" s="182"/>
      <c r="D229" s="182"/>
      <c r="E229" s="182"/>
      <c r="F229" s="182"/>
      <c r="G229" s="182"/>
      <c r="H229" s="182"/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</row>
    <row r="230" spans="1:26" ht="15.75" customHeight="1">
      <c r="A230" s="182"/>
      <c r="B230" s="182"/>
      <c r="C230" s="182"/>
      <c r="D230" s="182"/>
      <c r="E230" s="182"/>
      <c r="F230" s="182"/>
      <c r="G230" s="182"/>
      <c r="H230" s="182"/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</row>
    <row r="231" spans="1:26" ht="15.75" customHeight="1">
      <c r="A231" s="182"/>
      <c r="B231" s="182"/>
      <c r="C231" s="182"/>
      <c r="D231" s="182"/>
      <c r="E231" s="182"/>
      <c r="F231" s="182"/>
      <c r="G231" s="182"/>
      <c r="H231" s="182"/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</row>
    <row r="232" spans="1:26" ht="15.75" customHeight="1">
      <c r="A232" s="182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</row>
    <row r="233" spans="1:26" ht="15.75" customHeight="1">
      <c r="A233" s="182"/>
      <c r="B233" s="182"/>
      <c r="C233" s="182"/>
      <c r="D233" s="182"/>
      <c r="E233" s="182"/>
      <c r="F233" s="182"/>
      <c r="G233" s="182"/>
      <c r="H233" s="182"/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</row>
    <row r="234" spans="1:26" ht="15.75" customHeight="1">
      <c r="A234" s="182"/>
      <c r="B234" s="182"/>
      <c r="C234" s="182"/>
      <c r="D234" s="182"/>
      <c r="E234" s="182"/>
      <c r="F234" s="182"/>
      <c r="G234" s="182"/>
      <c r="H234" s="182"/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</row>
    <row r="235" spans="1:26" ht="15.75" customHeight="1">
      <c r="A235" s="182"/>
      <c r="B235" s="182"/>
      <c r="C235" s="182"/>
      <c r="D235" s="182"/>
      <c r="E235" s="182"/>
      <c r="F235" s="182"/>
      <c r="G235" s="182"/>
      <c r="H235" s="182"/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</row>
    <row r="236" spans="1:26" ht="15.75" customHeight="1">
      <c r="A236" s="182"/>
      <c r="B236" s="182"/>
      <c r="C236" s="182"/>
      <c r="D236" s="182"/>
      <c r="E236" s="182"/>
      <c r="F236" s="182"/>
      <c r="G236" s="182"/>
      <c r="H236" s="182"/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</row>
    <row r="237" spans="1:26" ht="15.75" customHeight="1">
      <c r="A237" s="182"/>
      <c r="B237" s="182"/>
      <c r="C237" s="182"/>
      <c r="D237" s="182"/>
      <c r="E237" s="182"/>
      <c r="F237" s="182"/>
      <c r="G237" s="182"/>
      <c r="H237" s="182"/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</row>
    <row r="238" spans="1:26" ht="15.75" customHeight="1">
      <c r="A238" s="182"/>
      <c r="B238" s="182"/>
      <c r="C238" s="182"/>
      <c r="D238" s="182"/>
      <c r="E238" s="182"/>
      <c r="F238" s="182"/>
      <c r="G238" s="182"/>
      <c r="H238" s="182"/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</row>
    <row r="239" spans="1:26" ht="15.75" customHeight="1">
      <c r="A239" s="182"/>
      <c r="B239" s="182"/>
      <c r="C239" s="182"/>
      <c r="D239" s="182"/>
      <c r="E239" s="182"/>
      <c r="F239" s="182"/>
      <c r="G239" s="182"/>
      <c r="H239" s="182"/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</row>
    <row r="240" spans="1:26" ht="15.75" customHeight="1">
      <c r="A240" s="182"/>
      <c r="B240" s="182"/>
      <c r="C240" s="182"/>
      <c r="D240" s="182"/>
      <c r="E240" s="182"/>
      <c r="F240" s="182"/>
      <c r="G240" s="182"/>
      <c r="H240" s="182"/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</row>
    <row r="241" spans="1:26" ht="15.75" customHeight="1">
      <c r="A241" s="182"/>
      <c r="B241" s="182"/>
      <c r="C241" s="182"/>
      <c r="D241" s="182"/>
      <c r="E241" s="182"/>
      <c r="F241" s="182"/>
      <c r="G241" s="182"/>
      <c r="H241" s="182"/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</row>
    <row r="242" spans="1:26" ht="15.75" customHeight="1">
      <c r="A242" s="182"/>
      <c r="B242" s="182"/>
      <c r="C242" s="182"/>
      <c r="D242" s="182"/>
      <c r="E242" s="182"/>
      <c r="F242" s="182"/>
      <c r="G242" s="182"/>
      <c r="H242" s="182"/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</row>
    <row r="243" spans="1:26" ht="15.75" customHeight="1">
      <c r="A243" s="182"/>
      <c r="B243" s="182"/>
      <c r="C243" s="182"/>
      <c r="D243" s="182"/>
      <c r="E243" s="182"/>
      <c r="F243" s="182"/>
      <c r="G243" s="182"/>
      <c r="H243" s="182"/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</row>
    <row r="244" spans="1:26" ht="15.75" customHeight="1">
      <c r="A244" s="182"/>
      <c r="B244" s="182"/>
      <c r="C244" s="182"/>
      <c r="D244" s="182"/>
      <c r="E244" s="182"/>
      <c r="F244" s="182"/>
      <c r="G244" s="182"/>
      <c r="H244" s="182"/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</row>
    <row r="245" spans="1:26" ht="15.75" customHeight="1">
      <c r="A245" s="182"/>
      <c r="B245" s="182"/>
      <c r="C245" s="182"/>
      <c r="D245" s="182"/>
      <c r="E245" s="182"/>
      <c r="F245" s="182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</row>
    <row r="246" spans="1:26" ht="15.75" customHeight="1">
      <c r="A246" s="182"/>
      <c r="B246" s="182"/>
      <c r="C246" s="182"/>
      <c r="D246" s="182"/>
      <c r="E246" s="182"/>
      <c r="F246" s="182"/>
      <c r="G246" s="182"/>
      <c r="H246" s="182"/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</row>
    <row r="247" spans="1:26" ht="15.75" customHeight="1">
      <c r="A247" s="182"/>
      <c r="B247" s="182"/>
      <c r="C247" s="182"/>
      <c r="D247" s="182"/>
      <c r="E247" s="182"/>
      <c r="F247" s="182"/>
      <c r="G247" s="182"/>
      <c r="H247" s="182"/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</row>
    <row r="248" spans="1:26" ht="15.75" customHeight="1">
      <c r="A248" s="182"/>
      <c r="B248" s="182"/>
      <c r="C248" s="182"/>
      <c r="D248" s="182"/>
      <c r="E248" s="182"/>
      <c r="F248" s="182"/>
      <c r="G248" s="182"/>
      <c r="H248" s="182"/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</row>
    <row r="249" spans="1:26" ht="15.75" customHeight="1">
      <c r="A249" s="182"/>
      <c r="B249" s="182"/>
      <c r="C249" s="182"/>
      <c r="D249" s="182"/>
      <c r="E249" s="182"/>
      <c r="F249" s="182"/>
      <c r="G249" s="182"/>
      <c r="H249" s="182"/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</row>
    <row r="250" spans="1:26" ht="15.75" customHeight="1">
      <c r="A250" s="182"/>
      <c r="B250" s="182"/>
      <c r="C250" s="182"/>
      <c r="D250" s="182"/>
      <c r="E250" s="182"/>
      <c r="F250" s="182"/>
      <c r="G250" s="182"/>
      <c r="H250" s="182"/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</row>
    <row r="251" spans="1:26" ht="15.75" customHeight="1">
      <c r="A251" s="182"/>
      <c r="B251" s="182"/>
      <c r="C251" s="182"/>
      <c r="D251" s="182"/>
      <c r="E251" s="182"/>
      <c r="F251" s="182"/>
      <c r="G251" s="182"/>
      <c r="H251" s="182"/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</row>
    <row r="252" spans="1:26" ht="15.75" customHeight="1">
      <c r="A252" s="182"/>
      <c r="B252" s="182"/>
      <c r="C252" s="182"/>
      <c r="D252" s="182"/>
      <c r="E252" s="182"/>
      <c r="F252" s="182"/>
      <c r="G252" s="182"/>
      <c r="H252" s="182"/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</row>
    <row r="253" spans="1:26" ht="15.75" customHeight="1">
      <c r="A253" s="182"/>
      <c r="B253" s="182"/>
      <c r="C253" s="182"/>
      <c r="D253" s="182"/>
      <c r="E253" s="182"/>
      <c r="F253" s="182"/>
      <c r="G253" s="182"/>
      <c r="H253" s="182"/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</row>
    <row r="254" spans="1:26" ht="15.75" customHeight="1">
      <c r="A254" s="182"/>
      <c r="B254" s="182"/>
      <c r="C254" s="182"/>
      <c r="D254" s="182"/>
      <c r="E254" s="182"/>
      <c r="F254" s="182"/>
      <c r="G254" s="182"/>
      <c r="H254" s="182"/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</row>
    <row r="255" spans="1:26" ht="15.75" customHeight="1">
      <c r="A255" s="182"/>
      <c r="B255" s="182"/>
      <c r="C255" s="182"/>
      <c r="D255" s="182"/>
      <c r="E255" s="182"/>
      <c r="F255" s="182"/>
      <c r="G255" s="182"/>
      <c r="H255" s="182"/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</row>
    <row r="256" spans="1:26" ht="15.75" customHeight="1">
      <c r="A256" s="182"/>
      <c r="B256" s="182"/>
      <c r="C256" s="182"/>
      <c r="D256" s="182"/>
      <c r="E256" s="182"/>
      <c r="F256" s="182"/>
      <c r="G256" s="182"/>
      <c r="H256" s="182"/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</row>
    <row r="257" spans="1:26" ht="15.75" customHeight="1">
      <c r="A257" s="182"/>
      <c r="B257" s="182"/>
      <c r="C257" s="182"/>
      <c r="D257" s="182"/>
      <c r="E257" s="182"/>
      <c r="F257" s="182"/>
      <c r="G257" s="182"/>
      <c r="H257" s="182"/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</row>
    <row r="258" spans="1:26" ht="15.75" customHeight="1">
      <c r="A258" s="182"/>
      <c r="B258" s="182"/>
      <c r="C258" s="182"/>
      <c r="D258" s="182"/>
      <c r="E258" s="182"/>
      <c r="F258" s="182"/>
      <c r="G258" s="182"/>
      <c r="H258" s="182"/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</row>
    <row r="259" spans="1:26" ht="15.75" customHeight="1">
      <c r="A259" s="182"/>
      <c r="B259" s="182"/>
      <c r="C259" s="182"/>
      <c r="D259" s="182"/>
      <c r="E259" s="182"/>
      <c r="F259" s="182"/>
      <c r="G259" s="182"/>
      <c r="H259" s="182"/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</row>
    <row r="260" spans="1:26" ht="15.75" customHeight="1">
      <c r="A260" s="182"/>
      <c r="B260" s="182"/>
      <c r="C260" s="182"/>
      <c r="D260" s="182"/>
      <c r="E260" s="182"/>
      <c r="F260" s="182"/>
      <c r="G260" s="182"/>
      <c r="H260" s="182"/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</row>
    <row r="261" spans="1:26" ht="15.75" customHeight="1">
      <c r="A261" s="182"/>
      <c r="B261" s="182"/>
      <c r="C261" s="182"/>
      <c r="D261" s="182"/>
      <c r="E261" s="182"/>
      <c r="F261" s="182"/>
      <c r="G261" s="182"/>
      <c r="H261" s="182"/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</row>
    <row r="262" spans="1:26" ht="15.75" customHeight="1">
      <c r="A262" s="182"/>
      <c r="B262" s="182"/>
      <c r="C262" s="182"/>
      <c r="D262" s="182"/>
      <c r="E262" s="182"/>
      <c r="F262" s="182"/>
      <c r="G262" s="182"/>
      <c r="H262" s="182"/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</row>
    <row r="263" spans="1:26" ht="15.75" customHeight="1">
      <c r="A263" s="182"/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</row>
    <row r="264" spans="1:26" ht="15.75" customHeight="1">
      <c r="A264" s="182"/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</row>
    <row r="265" spans="1:26" ht="15.75" customHeight="1">
      <c r="A265" s="182"/>
      <c r="B265" s="182"/>
      <c r="C265" s="182"/>
      <c r="D265" s="182"/>
      <c r="E265" s="182"/>
      <c r="F265" s="182"/>
      <c r="G265" s="182"/>
      <c r="H265" s="182"/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</row>
    <row r="266" spans="1:26" ht="15.75" customHeight="1">
      <c r="A266" s="182"/>
      <c r="B266" s="182"/>
      <c r="C266" s="182"/>
      <c r="D266" s="182"/>
      <c r="E266" s="182"/>
      <c r="F266" s="182"/>
      <c r="G266" s="182"/>
      <c r="H266" s="182"/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</row>
    <row r="267" spans="1:26" ht="15.75" customHeight="1">
      <c r="A267" s="182"/>
      <c r="B267" s="182"/>
      <c r="C267" s="182"/>
      <c r="D267" s="182"/>
      <c r="E267" s="182"/>
      <c r="F267" s="182"/>
      <c r="G267" s="182"/>
      <c r="H267" s="182"/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</row>
    <row r="268" spans="1:26" ht="15.75" customHeight="1">
      <c r="A268" s="182"/>
      <c r="B268" s="182"/>
      <c r="C268" s="182"/>
      <c r="D268" s="182"/>
      <c r="E268" s="182"/>
      <c r="F268" s="182"/>
      <c r="G268" s="182"/>
      <c r="H268" s="182"/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</row>
    <row r="269" spans="1:26" ht="15.75" customHeight="1">
      <c r="A269" s="182"/>
      <c r="B269" s="182"/>
      <c r="C269" s="182"/>
      <c r="D269" s="182"/>
      <c r="E269" s="182"/>
      <c r="F269" s="182"/>
      <c r="G269" s="182"/>
      <c r="H269" s="182"/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</row>
    <row r="270" spans="1:26" ht="15.75" customHeight="1">
      <c r="A270" s="182"/>
      <c r="B270" s="182"/>
      <c r="C270" s="182"/>
      <c r="D270" s="182"/>
      <c r="E270" s="182"/>
      <c r="F270" s="182"/>
      <c r="G270" s="182"/>
      <c r="H270" s="182"/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</row>
    <row r="271" spans="1:26" ht="15.75" customHeight="1">
      <c r="A271" s="182"/>
      <c r="B271" s="182"/>
      <c r="C271" s="182"/>
      <c r="D271" s="182"/>
      <c r="E271" s="182"/>
      <c r="F271" s="182"/>
      <c r="G271" s="182"/>
      <c r="H271" s="182"/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</row>
    <row r="272" spans="1:26" ht="15.75" customHeight="1">
      <c r="A272" s="182"/>
      <c r="B272" s="182"/>
      <c r="C272" s="182"/>
      <c r="D272" s="182"/>
      <c r="E272" s="182"/>
      <c r="F272" s="182"/>
      <c r="G272" s="182"/>
      <c r="H272" s="182"/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</row>
    <row r="273" spans="1:26" ht="15.75" customHeight="1">
      <c r="A273" s="182"/>
      <c r="B273" s="182"/>
      <c r="C273" s="182"/>
      <c r="D273" s="182"/>
      <c r="E273" s="182"/>
      <c r="F273" s="182"/>
      <c r="G273" s="182"/>
      <c r="H273" s="182"/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</row>
    <row r="274" spans="1:26" ht="15.75" customHeight="1">
      <c r="A274" s="182"/>
      <c r="B274" s="182"/>
      <c r="C274" s="182"/>
      <c r="D274" s="182"/>
      <c r="E274" s="182"/>
      <c r="F274" s="182"/>
      <c r="G274" s="182"/>
      <c r="H274" s="182"/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</row>
    <row r="275" spans="1:26" ht="15.75" customHeight="1">
      <c r="A275" s="182"/>
      <c r="B275" s="182"/>
      <c r="C275" s="182"/>
      <c r="D275" s="182"/>
      <c r="E275" s="182"/>
      <c r="F275" s="182"/>
      <c r="G275" s="182"/>
      <c r="H275" s="182"/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</row>
    <row r="276" spans="1:26" ht="15.75" customHeight="1">
      <c r="A276" s="182"/>
      <c r="B276" s="182"/>
      <c r="C276" s="182"/>
      <c r="D276" s="182"/>
      <c r="E276" s="182"/>
      <c r="F276" s="182"/>
      <c r="G276" s="182"/>
      <c r="H276" s="182"/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</row>
    <row r="277" spans="1:26" ht="15.75" customHeight="1">
      <c r="A277" s="182"/>
      <c r="B277" s="182"/>
      <c r="C277" s="182"/>
      <c r="D277" s="182"/>
      <c r="E277" s="182"/>
      <c r="F277" s="182"/>
      <c r="G277" s="182"/>
      <c r="H277" s="182"/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</row>
    <row r="278" spans="1:26" ht="15.75" customHeight="1">
      <c r="A278" s="182"/>
      <c r="B278" s="182"/>
      <c r="C278" s="182"/>
      <c r="D278" s="182"/>
      <c r="E278" s="182"/>
      <c r="F278" s="182"/>
      <c r="G278" s="182"/>
      <c r="H278" s="182"/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</row>
    <row r="279" spans="1:26" ht="15.75" customHeight="1">
      <c r="A279" s="182"/>
      <c r="B279" s="182"/>
      <c r="C279" s="182"/>
      <c r="D279" s="182"/>
      <c r="E279" s="182"/>
      <c r="F279" s="182"/>
      <c r="G279" s="182"/>
      <c r="H279" s="182"/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</row>
    <row r="280" spans="1:26" ht="15.75" customHeight="1">
      <c r="A280" s="182"/>
      <c r="B280" s="182"/>
      <c r="C280" s="182"/>
      <c r="D280" s="182"/>
      <c r="E280" s="182"/>
      <c r="F280" s="182"/>
      <c r="G280" s="182"/>
      <c r="H280" s="182"/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</row>
    <row r="281" spans="1:26" ht="15.75" customHeight="1">
      <c r="A281" s="182"/>
      <c r="B281" s="182"/>
      <c r="C281" s="182"/>
      <c r="D281" s="182"/>
      <c r="E281" s="182"/>
      <c r="F281" s="182"/>
      <c r="G281" s="182"/>
      <c r="H281" s="182"/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</row>
    <row r="282" spans="1:26" ht="15.75" customHeight="1">
      <c r="A282" s="182"/>
      <c r="B282" s="182"/>
      <c r="C282" s="182"/>
      <c r="D282" s="182"/>
      <c r="E282" s="182"/>
      <c r="F282" s="182"/>
      <c r="G282" s="182"/>
      <c r="H282" s="182"/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</row>
    <row r="283" spans="1:26" ht="15.75" customHeight="1">
      <c r="A283" s="182"/>
      <c r="B283" s="182"/>
      <c r="C283" s="182"/>
      <c r="D283" s="182"/>
      <c r="E283" s="182"/>
      <c r="F283" s="182"/>
      <c r="G283" s="182"/>
      <c r="H283" s="182"/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</row>
    <row r="284" spans="1:26" ht="15.75" customHeight="1">
      <c r="A284" s="182"/>
      <c r="B284" s="182"/>
      <c r="C284" s="182"/>
      <c r="D284" s="182"/>
      <c r="E284" s="182"/>
      <c r="F284" s="182"/>
      <c r="G284" s="182"/>
      <c r="H284" s="182"/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</row>
    <row r="285" spans="1:26" ht="15.75" customHeight="1">
      <c r="A285" s="182"/>
      <c r="B285" s="182"/>
      <c r="C285" s="182"/>
      <c r="D285" s="182"/>
      <c r="E285" s="182"/>
      <c r="F285" s="182"/>
      <c r="G285" s="182"/>
      <c r="H285" s="182"/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</row>
    <row r="286" spans="1:26" ht="15.75" customHeight="1">
      <c r="A286" s="182"/>
      <c r="B286" s="182"/>
      <c r="C286" s="182"/>
      <c r="D286" s="182"/>
      <c r="E286" s="182"/>
      <c r="F286" s="182"/>
      <c r="G286" s="182"/>
      <c r="H286" s="182"/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</row>
    <row r="287" spans="1:26" ht="15.75" customHeight="1">
      <c r="A287" s="182"/>
      <c r="B287" s="182"/>
      <c r="C287" s="182"/>
      <c r="D287" s="182"/>
      <c r="E287" s="182"/>
      <c r="F287" s="182"/>
      <c r="G287" s="182"/>
      <c r="H287" s="182"/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</row>
    <row r="288" spans="1:26" ht="15.75" customHeight="1">
      <c r="A288" s="182"/>
      <c r="B288" s="182"/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</row>
    <row r="289" spans="1:26" ht="15.75" customHeight="1">
      <c r="A289" s="182"/>
      <c r="B289" s="182"/>
      <c r="C289" s="182"/>
      <c r="D289" s="182"/>
      <c r="E289" s="182"/>
      <c r="F289" s="182"/>
      <c r="G289" s="182"/>
      <c r="H289" s="182"/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</row>
    <row r="290" spans="1:26" ht="15.75" customHeight="1">
      <c r="A290" s="182"/>
      <c r="B290" s="182"/>
      <c r="C290" s="182"/>
      <c r="D290" s="182"/>
      <c r="E290" s="182"/>
      <c r="F290" s="182"/>
      <c r="G290" s="182"/>
      <c r="H290" s="182"/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</row>
    <row r="291" spans="1:26" ht="15.75" customHeight="1">
      <c r="A291" s="182"/>
      <c r="B291" s="182"/>
      <c r="C291" s="182"/>
      <c r="D291" s="182"/>
      <c r="E291" s="182"/>
      <c r="F291" s="182"/>
      <c r="G291" s="182"/>
      <c r="H291" s="182"/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</row>
    <row r="292" spans="1:26" ht="15.75" customHeight="1">
      <c r="A292" s="182"/>
      <c r="B292" s="182"/>
      <c r="C292" s="182"/>
      <c r="D292" s="182"/>
      <c r="E292" s="182"/>
      <c r="F292" s="182"/>
      <c r="G292" s="182"/>
      <c r="H292" s="182"/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</row>
    <row r="293" spans="1:26" ht="15.75" customHeight="1">
      <c r="A293" s="182"/>
      <c r="B293" s="182"/>
      <c r="C293" s="182"/>
      <c r="D293" s="182"/>
      <c r="E293" s="182"/>
      <c r="F293" s="182"/>
      <c r="G293" s="182"/>
      <c r="H293" s="182"/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</row>
    <row r="294" spans="1:26" ht="15.75" customHeight="1">
      <c r="A294" s="182"/>
      <c r="B294" s="182"/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</row>
    <row r="295" spans="1:26" ht="15.75" customHeight="1">
      <c r="A295" s="182"/>
      <c r="B295" s="182"/>
      <c r="C295" s="182"/>
      <c r="D295" s="182"/>
      <c r="E295" s="182"/>
      <c r="F295" s="182"/>
      <c r="G295" s="182"/>
      <c r="H295" s="182"/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</row>
    <row r="296" spans="1:26" ht="15.75" customHeight="1">
      <c r="A296" s="182"/>
      <c r="B296" s="182"/>
      <c r="C296" s="182"/>
      <c r="D296" s="182"/>
      <c r="E296" s="182"/>
      <c r="F296" s="182"/>
      <c r="G296" s="182"/>
      <c r="H296" s="182"/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</row>
    <row r="297" spans="1:26" ht="15.75" customHeight="1">
      <c r="A297" s="182"/>
      <c r="B297" s="182"/>
      <c r="C297" s="182"/>
      <c r="D297" s="182"/>
      <c r="E297" s="182"/>
      <c r="F297" s="182"/>
      <c r="G297" s="182"/>
      <c r="H297" s="182"/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</row>
    <row r="298" spans="1:26" ht="15.75" customHeight="1">
      <c r="A298" s="182"/>
      <c r="B298" s="182"/>
      <c r="C298" s="182"/>
      <c r="D298" s="182"/>
      <c r="E298" s="182"/>
      <c r="F298" s="182"/>
      <c r="G298" s="182"/>
      <c r="H298" s="182"/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</row>
    <row r="299" spans="1:26" ht="15.75" customHeight="1">
      <c r="A299" s="182"/>
      <c r="B299" s="182"/>
      <c r="C299" s="182"/>
      <c r="D299" s="182"/>
      <c r="E299" s="182"/>
      <c r="F299" s="182"/>
      <c r="G299" s="182"/>
      <c r="H299" s="182"/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</row>
    <row r="300" spans="1:26" ht="15.75" customHeight="1">
      <c r="A300" s="182"/>
      <c r="B300" s="182"/>
      <c r="C300" s="182"/>
      <c r="D300" s="182"/>
      <c r="E300" s="182"/>
      <c r="F300" s="182"/>
      <c r="G300" s="182"/>
      <c r="H300" s="182"/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</row>
    <row r="301" spans="1:26" ht="15.75" customHeight="1">
      <c r="A301" s="182"/>
      <c r="B301" s="182"/>
      <c r="C301" s="182"/>
      <c r="D301" s="182"/>
      <c r="E301" s="182"/>
      <c r="F301" s="182"/>
      <c r="G301" s="182"/>
      <c r="H301" s="182"/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</row>
    <row r="302" spans="1:26" ht="15.75" customHeight="1">
      <c r="A302" s="182"/>
      <c r="B302" s="182"/>
      <c r="C302" s="182"/>
      <c r="D302" s="182"/>
      <c r="E302" s="182"/>
      <c r="F302" s="182"/>
      <c r="G302" s="182"/>
      <c r="H302" s="182"/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</row>
    <row r="303" spans="1:26" ht="15.75" customHeight="1">
      <c r="A303" s="182"/>
      <c r="B303" s="182"/>
      <c r="C303" s="182"/>
      <c r="D303" s="182"/>
      <c r="E303" s="182"/>
      <c r="F303" s="182"/>
      <c r="G303" s="182"/>
      <c r="H303" s="182"/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</row>
    <row r="304" spans="1:26" ht="15.75" customHeight="1">
      <c r="A304" s="182"/>
      <c r="B304" s="182"/>
      <c r="C304" s="182"/>
      <c r="D304" s="182"/>
      <c r="E304" s="182"/>
      <c r="F304" s="182"/>
      <c r="G304" s="182"/>
      <c r="H304" s="182"/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</row>
    <row r="305" spans="1:26" ht="15.75" customHeight="1">
      <c r="A305" s="182"/>
      <c r="B305" s="182"/>
      <c r="C305" s="182"/>
      <c r="D305" s="182"/>
      <c r="E305" s="182"/>
      <c r="F305" s="182"/>
      <c r="G305" s="182"/>
      <c r="H305" s="182"/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</row>
    <row r="306" spans="1:26" ht="15.75" customHeight="1">
      <c r="A306" s="182"/>
      <c r="B306" s="182"/>
      <c r="C306" s="182"/>
      <c r="D306" s="182"/>
      <c r="E306" s="182"/>
      <c r="F306" s="182"/>
      <c r="G306" s="182"/>
      <c r="H306" s="182"/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</row>
    <row r="307" spans="1:26" ht="15.75" customHeight="1">
      <c r="A307" s="182"/>
      <c r="B307" s="182"/>
      <c r="C307" s="182"/>
      <c r="D307" s="182"/>
      <c r="E307" s="182"/>
      <c r="F307" s="182"/>
      <c r="G307" s="182"/>
      <c r="H307" s="182"/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</row>
    <row r="308" spans="1:26" ht="15.75" customHeight="1">
      <c r="A308" s="182"/>
      <c r="B308" s="182"/>
      <c r="C308" s="182"/>
      <c r="D308" s="182"/>
      <c r="E308" s="182"/>
      <c r="F308" s="182"/>
      <c r="G308" s="182"/>
      <c r="H308" s="182"/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</row>
    <row r="309" spans="1:26" ht="15.75" customHeight="1">
      <c r="A309" s="182"/>
      <c r="B309" s="182"/>
      <c r="C309" s="182"/>
      <c r="D309" s="182"/>
      <c r="E309" s="182"/>
      <c r="F309" s="182"/>
      <c r="G309" s="182"/>
      <c r="H309" s="182"/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</row>
    <row r="310" spans="1:26" ht="15.75" customHeight="1">
      <c r="A310" s="182"/>
      <c r="B310" s="182"/>
      <c r="C310" s="182"/>
      <c r="D310" s="182"/>
      <c r="E310" s="182"/>
      <c r="F310" s="182"/>
      <c r="G310" s="182"/>
      <c r="H310" s="182"/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</row>
    <row r="311" spans="1:26" ht="15.75" customHeight="1">
      <c r="A311" s="182"/>
      <c r="B311" s="182"/>
      <c r="C311" s="182"/>
      <c r="D311" s="182"/>
      <c r="E311" s="182"/>
      <c r="F311" s="182"/>
      <c r="G311" s="182"/>
      <c r="H311" s="182"/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</row>
    <row r="312" spans="1:26" ht="15.75" customHeight="1">
      <c r="A312" s="182"/>
      <c r="B312" s="182"/>
      <c r="C312" s="182"/>
      <c r="D312" s="182"/>
      <c r="E312" s="182"/>
      <c r="F312" s="182"/>
      <c r="G312" s="182"/>
      <c r="H312" s="182"/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</row>
    <row r="313" spans="1:26" ht="15.75" customHeight="1">
      <c r="A313" s="182"/>
      <c r="B313" s="182"/>
      <c r="C313" s="182"/>
      <c r="D313" s="182"/>
      <c r="E313" s="182"/>
      <c r="F313" s="182"/>
      <c r="G313" s="182"/>
      <c r="H313" s="182"/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</row>
    <row r="314" spans="1:26" ht="15.75" customHeight="1">
      <c r="A314" s="182"/>
      <c r="B314" s="182"/>
      <c r="C314" s="182"/>
      <c r="D314" s="182"/>
      <c r="E314" s="182"/>
      <c r="F314" s="182"/>
      <c r="G314" s="182"/>
      <c r="H314" s="182"/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</row>
    <row r="315" spans="1:26" ht="15.75" customHeight="1">
      <c r="A315" s="182"/>
      <c r="B315" s="182"/>
      <c r="C315" s="182"/>
      <c r="D315" s="182"/>
      <c r="E315" s="182"/>
      <c r="F315" s="182"/>
      <c r="G315" s="182"/>
      <c r="H315" s="182"/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</row>
    <row r="316" spans="1:26" ht="15.75" customHeight="1">
      <c r="A316" s="182"/>
      <c r="B316" s="182"/>
      <c r="C316" s="182"/>
      <c r="D316" s="182"/>
      <c r="E316" s="182"/>
      <c r="F316" s="182"/>
      <c r="G316" s="182"/>
      <c r="H316" s="182"/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</row>
    <row r="317" spans="1:26" ht="15.75" customHeight="1">
      <c r="A317" s="182"/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</row>
    <row r="318" spans="1:26" ht="15.75" customHeight="1">
      <c r="A318" s="182"/>
      <c r="B318" s="182"/>
      <c r="C318" s="182"/>
      <c r="D318" s="182"/>
      <c r="E318" s="182"/>
      <c r="F318" s="182"/>
      <c r="G318" s="182"/>
      <c r="H318" s="182"/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</row>
    <row r="319" spans="1:26" ht="15.75" customHeight="1">
      <c r="A319" s="182"/>
      <c r="B319" s="182"/>
      <c r="C319" s="182"/>
      <c r="D319" s="182"/>
      <c r="E319" s="182"/>
      <c r="F319" s="182"/>
      <c r="G319" s="182"/>
      <c r="H319" s="182"/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</row>
    <row r="320" spans="1:26" ht="15.75" customHeight="1">
      <c r="A320" s="182"/>
      <c r="B320" s="182"/>
      <c r="C320" s="182"/>
      <c r="D320" s="182"/>
      <c r="E320" s="182"/>
      <c r="F320" s="182"/>
      <c r="G320" s="182"/>
      <c r="H320" s="182"/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</row>
    <row r="321" spans="1:26" ht="15.75" customHeight="1">
      <c r="A321" s="182"/>
      <c r="B321" s="182"/>
      <c r="C321" s="182"/>
      <c r="D321" s="182"/>
      <c r="E321" s="182"/>
      <c r="F321" s="182"/>
      <c r="G321" s="182"/>
      <c r="H321" s="182"/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</row>
    <row r="322" spans="1:26" ht="15.75" customHeight="1">
      <c r="A322" s="182"/>
      <c r="B322" s="182"/>
      <c r="C322" s="182"/>
      <c r="D322" s="182"/>
      <c r="E322" s="182"/>
      <c r="F322" s="182"/>
      <c r="G322" s="182"/>
      <c r="H322" s="182"/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</row>
    <row r="323" spans="1:26" ht="15.75" customHeight="1">
      <c r="A323" s="182"/>
      <c r="B323" s="182"/>
      <c r="C323" s="182"/>
      <c r="D323" s="182"/>
      <c r="E323" s="182"/>
      <c r="F323" s="182"/>
      <c r="G323" s="182"/>
      <c r="H323" s="182"/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</row>
    <row r="324" spans="1:26" ht="15.75" customHeight="1">
      <c r="A324" s="182"/>
      <c r="B324" s="182"/>
      <c r="C324" s="182"/>
      <c r="D324" s="182"/>
      <c r="E324" s="182"/>
      <c r="F324" s="182"/>
      <c r="G324" s="182"/>
      <c r="H324" s="182"/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</row>
    <row r="325" spans="1:26" ht="15.75" customHeight="1">
      <c r="A325" s="182"/>
      <c r="B325" s="182"/>
      <c r="C325" s="182"/>
      <c r="D325" s="182"/>
      <c r="E325" s="182"/>
      <c r="F325" s="182"/>
      <c r="G325" s="182"/>
      <c r="H325" s="182"/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</row>
    <row r="326" spans="1:26" ht="15.75" customHeight="1">
      <c r="A326" s="182"/>
      <c r="B326" s="182"/>
      <c r="C326" s="182"/>
      <c r="D326" s="182"/>
      <c r="E326" s="182"/>
      <c r="F326" s="182"/>
      <c r="G326" s="182"/>
      <c r="H326" s="182"/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</row>
    <row r="327" spans="1:26" ht="15.75" customHeight="1">
      <c r="A327" s="182"/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</row>
    <row r="328" spans="1:26" ht="15.75" customHeight="1">
      <c r="A328" s="182"/>
      <c r="B328" s="182"/>
      <c r="C328" s="182"/>
      <c r="D328" s="182"/>
      <c r="E328" s="182"/>
      <c r="F328" s="182"/>
      <c r="G328" s="182"/>
      <c r="H328" s="182"/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</row>
    <row r="329" spans="1:26" ht="15.75" customHeight="1">
      <c r="A329" s="182"/>
      <c r="B329" s="182"/>
      <c r="C329" s="182"/>
      <c r="D329" s="182"/>
      <c r="E329" s="182"/>
      <c r="F329" s="182"/>
      <c r="G329" s="182"/>
      <c r="H329" s="182"/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</row>
    <row r="330" spans="1:26" ht="15.75" customHeight="1">
      <c r="A330" s="182"/>
      <c r="B330" s="182"/>
      <c r="C330" s="182"/>
      <c r="D330" s="182"/>
      <c r="E330" s="182"/>
      <c r="F330" s="182"/>
      <c r="G330" s="182"/>
      <c r="H330" s="182"/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</row>
    <row r="331" spans="1:26" ht="15.75" customHeight="1">
      <c r="A331" s="182"/>
      <c r="B331" s="182"/>
      <c r="C331" s="182"/>
      <c r="D331" s="182"/>
      <c r="E331" s="182"/>
      <c r="F331" s="182"/>
      <c r="G331" s="182"/>
      <c r="H331" s="182"/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</row>
    <row r="332" spans="1:26" ht="15.75" customHeight="1">
      <c r="A332" s="182"/>
      <c r="B332" s="182"/>
      <c r="C332" s="182"/>
      <c r="D332" s="182"/>
      <c r="E332" s="182"/>
      <c r="F332" s="182"/>
      <c r="G332" s="182"/>
      <c r="H332" s="182"/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</row>
    <row r="333" spans="1:26" ht="15.75" customHeight="1">
      <c r="A333" s="182"/>
      <c r="B333" s="182"/>
      <c r="C333" s="182"/>
      <c r="D333" s="182"/>
      <c r="E333" s="182"/>
      <c r="F333" s="182"/>
      <c r="G333" s="182"/>
      <c r="H333" s="182"/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</row>
    <row r="334" spans="1:26" ht="15.75" customHeight="1">
      <c r="A334" s="182"/>
      <c r="B334" s="182"/>
      <c r="C334" s="182"/>
      <c r="D334" s="182"/>
      <c r="E334" s="182"/>
      <c r="F334" s="182"/>
      <c r="G334" s="182"/>
      <c r="H334" s="182"/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</row>
    <row r="335" spans="1:26" ht="15.75" customHeight="1">
      <c r="A335" s="182"/>
      <c r="B335" s="182"/>
      <c r="C335" s="182"/>
      <c r="D335" s="182"/>
      <c r="E335" s="182"/>
      <c r="F335" s="182"/>
      <c r="G335" s="182"/>
      <c r="H335" s="182"/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</row>
    <row r="336" spans="1:26" ht="15.75" customHeight="1">
      <c r="A336" s="182"/>
      <c r="B336" s="182"/>
      <c r="C336" s="182"/>
      <c r="D336" s="182"/>
      <c r="E336" s="182"/>
      <c r="F336" s="182"/>
      <c r="G336" s="182"/>
      <c r="H336" s="182"/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</row>
    <row r="337" spans="1:26" ht="15.75" customHeight="1">
      <c r="A337" s="182"/>
      <c r="B337" s="182"/>
      <c r="C337" s="182"/>
      <c r="D337" s="182"/>
      <c r="E337" s="182"/>
      <c r="F337" s="182"/>
      <c r="G337" s="182"/>
      <c r="H337" s="182"/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</row>
    <row r="338" spans="1:26" ht="15.75" customHeight="1">
      <c r="A338" s="182"/>
      <c r="B338" s="182"/>
      <c r="C338" s="182"/>
      <c r="D338" s="182"/>
      <c r="E338" s="182"/>
      <c r="F338" s="182"/>
      <c r="G338" s="182"/>
      <c r="H338" s="182"/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</row>
    <row r="339" spans="1:26" ht="15.75" customHeight="1">
      <c r="A339" s="182"/>
      <c r="B339" s="182"/>
      <c r="C339" s="182"/>
      <c r="D339" s="182"/>
      <c r="E339" s="182"/>
      <c r="F339" s="182"/>
      <c r="G339" s="182"/>
      <c r="H339" s="182"/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</row>
    <row r="340" spans="1:26" ht="15.75" customHeight="1">
      <c r="A340" s="182"/>
      <c r="B340" s="182"/>
      <c r="C340" s="182"/>
      <c r="D340" s="182"/>
      <c r="E340" s="182"/>
      <c r="F340" s="182"/>
      <c r="G340" s="182"/>
      <c r="H340" s="182"/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</row>
    <row r="341" spans="1:26" ht="15.75" customHeight="1">
      <c r="A341" s="182"/>
      <c r="B341" s="182"/>
      <c r="C341" s="182"/>
      <c r="D341" s="182"/>
      <c r="E341" s="182"/>
      <c r="F341" s="182"/>
      <c r="G341" s="182"/>
      <c r="H341" s="182"/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</row>
    <row r="342" spans="1:26" ht="15.75" customHeight="1">
      <c r="A342" s="182"/>
      <c r="B342" s="182"/>
      <c r="C342" s="182"/>
      <c r="D342" s="182"/>
      <c r="E342" s="182"/>
      <c r="F342" s="182"/>
      <c r="G342" s="182"/>
      <c r="H342" s="182"/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</row>
    <row r="343" spans="1:26" ht="15.75" customHeight="1">
      <c r="A343" s="182"/>
      <c r="B343" s="182"/>
      <c r="C343" s="182"/>
      <c r="D343" s="182"/>
      <c r="E343" s="182"/>
      <c r="F343" s="182"/>
      <c r="G343" s="182"/>
      <c r="H343" s="182"/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</row>
    <row r="344" spans="1:26" ht="15.75" customHeight="1">
      <c r="A344" s="182"/>
      <c r="B344" s="182"/>
      <c r="C344" s="182"/>
      <c r="D344" s="182"/>
      <c r="E344" s="182"/>
      <c r="F344" s="182"/>
      <c r="G344" s="182"/>
      <c r="H344" s="182"/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</row>
    <row r="345" spans="1:26" ht="15.75" customHeight="1">
      <c r="A345" s="182"/>
      <c r="B345" s="182"/>
      <c r="C345" s="182"/>
      <c r="D345" s="182"/>
      <c r="E345" s="182"/>
      <c r="F345" s="182"/>
      <c r="G345" s="182"/>
      <c r="H345" s="182"/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</row>
    <row r="346" spans="1:26" ht="15.75" customHeight="1">
      <c r="A346" s="182"/>
      <c r="B346" s="182"/>
      <c r="C346" s="182"/>
      <c r="D346" s="182"/>
      <c r="E346" s="182"/>
      <c r="F346" s="182"/>
      <c r="G346" s="182"/>
      <c r="H346" s="182"/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</row>
    <row r="347" spans="1:26" ht="15.75" customHeight="1">
      <c r="A347" s="182"/>
      <c r="B347" s="182"/>
      <c r="C347" s="182"/>
      <c r="D347" s="182"/>
      <c r="E347" s="182"/>
      <c r="F347" s="182"/>
      <c r="G347" s="182"/>
      <c r="H347" s="182"/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</row>
    <row r="348" spans="1:26" ht="15.75" customHeight="1">
      <c r="A348" s="182"/>
      <c r="B348" s="182"/>
      <c r="C348" s="182"/>
      <c r="D348" s="182"/>
      <c r="E348" s="182"/>
      <c r="F348" s="182"/>
      <c r="G348" s="182"/>
      <c r="H348" s="182"/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</row>
    <row r="349" spans="1:26" ht="15.75" customHeight="1">
      <c r="A349" s="182"/>
      <c r="B349" s="182"/>
      <c r="C349" s="182"/>
      <c r="D349" s="182"/>
      <c r="E349" s="182"/>
      <c r="F349" s="182"/>
      <c r="G349" s="182"/>
      <c r="H349" s="182"/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</row>
    <row r="350" spans="1:26" ht="15.75" customHeight="1">
      <c r="A350" s="182"/>
      <c r="B350" s="182"/>
      <c r="C350" s="182"/>
      <c r="D350" s="182"/>
      <c r="E350" s="182"/>
      <c r="F350" s="182"/>
      <c r="G350" s="182"/>
      <c r="H350" s="182"/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</row>
    <row r="351" spans="1:26" ht="15.75" customHeight="1">
      <c r="A351" s="182"/>
      <c r="B351" s="182"/>
      <c r="C351" s="182"/>
      <c r="D351" s="182"/>
      <c r="E351" s="182"/>
      <c r="F351" s="182"/>
      <c r="G351" s="182"/>
      <c r="H351" s="182"/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</row>
    <row r="352" spans="1:26" ht="15.75" customHeight="1">
      <c r="A352" s="182"/>
      <c r="B352" s="182"/>
      <c r="C352" s="182"/>
      <c r="D352" s="182"/>
      <c r="E352" s="182"/>
      <c r="F352" s="182"/>
      <c r="G352" s="182"/>
      <c r="H352" s="182"/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</row>
    <row r="353" spans="1:26" ht="15.75" customHeight="1">
      <c r="A353" s="182"/>
      <c r="B353" s="182"/>
      <c r="C353" s="182"/>
      <c r="D353" s="182"/>
      <c r="E353" s="182"/>
      <c r="F353" s="182"/>
      <c r="G353" s="182"/>
      <c r="H353" s="182"/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</row>
    <row r="354" spans="1:26" ht="15.75" customHeight="1">
      <c r="A354" s="182"/>
      <c r="B354" s="182"/>
      <c r="C354" s="182"/>
      <c r="D354" s="182"/>
      <c r="E354" s="182"/>
      <c r="F354" s="182"/>
      <c r="G354" s="182"/>
      <c r="H354" s="182"/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</row>
    <row r="355" spans="1:26" ht="15.75" customHeight="1">
      <c r="A355" s="182"/>
      <c r="B355" s="182"/>
      <c r="C355" s="182"/>
      <c r="D355" s="182"/>
      <c r="E355" s="182"/>
      <c r="F355" s="182"/>
      <c r="G355" s="182"/>
      <c r="H355" s="182"/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</row>
    <row r="356" spans="1:26" ht="15.75" customHeight="1">
      <c r="A356" s="182"/>
      <c r="B356" s="182"/>
      <c r="C356" s="182"/>
      <c r="D356" s="182"/>
      <c r="E356" s="182"/>
      <c r="F356" s="182"/>
      <c r="G356" s="182"/>
      <c r="H356" s="182"/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</row>
    <row r="357" spans="1:26" ht="15.75" customHeight="1">
      <c r="A357" s="182"/>
      <c r="B357" s="182"/>
      <c r="C357" s="182"/>
      <c r="D357" s="182"/>
      <c r="E357" s="182"/>
      <c r="F357" s="182"/>
      <c r="G357" s="182"/>
      <c r="H357" s="182"/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</row>
    <row r="358" spans="1:26" ht="15.75" customHeight="1">
      <c r="A358" s="182"/>
      <c r="B358" s="182"/>
      <c r="C358" s="182"/>
      <c r="D358" s="182"/>
      <c r="E358" s="182"/>
      <c r="F358" s="182"/>
      <c r="G358" s="182"/>
      <c r="H358" s="182"/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</row>
    <row r="359" spans="1:26" ht="15.75" customHeight="1">
      <c r="A359" s="182"/>
      <c r="B359" s="182"/>
      <c r="C359" s="182"/>
      <c r="D359" s="182"/>
      <c r="E359" s="182"/>
      <c r="F359" s="182"/>
      <c r="G359" s="182"/>
      <c r="H359" s="182"/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</row>
    <row r="360" spans="1:26" ht="15.75" customHeight="1">
      <c r="A360" s="182"/>
      <c r="B360" s="182"/>
      <c r="C360" s="182"/>
      <c r="D360" s="182"/>
      <c r="E360" s="182"/>
      <c r="F360" s="182"/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</row>
    <row r="361" spans="1:26" ht="15.75" customHeight="1">
      <c r="A361" s="182"/>
      <c r="B361" s="182"/>
      <c r="C361" s="182"/>
      <c r="D361" s="182"/>
      <c r="E361" s="182"/>
      <c r="F361" s="182"/>
      <c r="G361" s="182"/>
      <c r="H361" s="182"/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</row>
    <row r="362" spans="1:26" ht="15.75" customHeight="1">
      <c r="A362" s="182"/>
      <c r="B362" s="182"/>
      <c r="C362" s="182"/>
      <c r="D362" s="182"/>
      <c r="E362" s="182"/>
      <c r="F362" s="182"/>
      <c r="G362" s="182"/>
      <c r="H362" s="182"/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</row>
    <row r="363" spans="1:26" ht="15.75" customHeight="1">
      <c r="A363" s="182"/>
      <c r="B363" s="182"/>
      <c r="C363" s="182"/>
      <c r="D363" s="182"/>
      <c r="E363" s="182"/>
      <c r="F363" s="182"/>
      <c r="G363" s="182"/>
      <c r="H363" s="182"/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</row>
    <row r="364" spans="1:26" ht="15.75" customHeight="1">
      <c r="A364" s="182"/>
      <c r="B364" s="182"/>
      <c r="C364" s="182"/>
      <c r="D364" s="182"/>
      <c r="E364" s="182"/>
      <c r="F364" s="182"/>
      <c r="G364" s="182"/>
      <c r="H364" s="182"/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</row>
    <row r="365" spans="1:26" ht="15.75" customHeight="1">
      <c r="A365" s="182"/>
      <c r="B365" s="182"/>
      <c r="C365" s="182"/>
      <c r="D365" s="182"/>
      <c r="E365" s="182"/>
      <c r="F365" s="182"/>
      <c r="G365" s="182"/>
      <c r="H365" s="182"/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</row>
    <row r="366" spans="1:26" ht="15.75" customHeight="1">
      <c r="A366" s="182"/>
      <c r="B366" s="182"/>
      <c r="C366" s="182"/>
      <c r="D366" s="182"/>
      <c r="E366" s="182"/>
      <c r="F366" s="182"/>
      <c r="G366" s="182"/>
      <c r="H366" s="182"/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</row>
    <row r="367" spans="1:26" ht="15.75" customHeight="1">
      <c r="A367" s="182"/>
      <c r="B367" s="182"/>
      <c r="C367" s="182"/>
      <c r="D367" s="182"/>
      <c r="E367" s="182"/>
      <c r="F367" s="182"/>
      <c r="G367" s="182"/>
      <c r="H367" s="182"/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</row>
    <row r="368" spans="1:26" ht="15.75" customHeight="1">
      <c r="A368" s="182"/>
      <c r="B368" s="182"/>
      <c r="C368" s="182"/>
      <c r="D368" s="182"/>
      <c r="E368" s="182"/>
      <c r="F368" s="182"/>
      <c r="G368" s="182"/>
      <c r="H368" s="182"/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</row>
    <row r="369" spans="1:26" ht="15.75" customHeight="1">
      <c r="A369" s="182"/>
      <c r="B369" s="182"/>
      <c r="C369" s="182"/>
      <c r="D369" s="182"/>
      <c r="E369" s="182"/>
      <c r="F369" s="182"/>
      <c r="G369" s="182"/>
      <c r="H369" s="182"/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</row>
    <row r="370" spans="1:26" ht="15.75" customHeight="1">
      <c r="A370" s="182"/>
      <c r="B370" s="182"/>
      <c r="C370" s="182"/>
      <c r="D370" s="182"/>
      <c r="E370" s="182"/>
      <c r="F370" s="182"/>
      <c r="G370" s="182"/>
      <c r="H370" s="182"/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</row>
    <row r="371" spans="1:26" ht="15.75" customHeight="1">
      <c r="A371" s="182"/>
      <c r="B371" s="182"/>
      <c r="C371" s="182"/>
      <c r="D371" s="182"/>
      <c r="E371" s="182"/>
      <c r="F371" s="182"/>
      <c r="G371" s="182"/>
      <c r="H371" s="182"/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</row>
    <row r="372" spans="1:26" ht="15.75" customHeight="1">
      <c r="A372" s="182"/>
      <c r="B372" s="182"/>
      <c r="C372" s="182"/>
      <c r="D372" s="182"/>
      <c r="E372" s="182"/>
      <c r="F372" s="182"/>
      <c r="G372" s="182"/>
      <c r="H372" s="182"/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</row>
    <row r="373" spans="1:26" ht="15.75" customHeight="1">
      <c r="A373" s="182"/>
      <c r="B373" s="182"/>
      <c r="C373" s="182"/>
      <c r="D373" s="182"/>
      <c r="E373" s="182"/>
      <c r="F373" s="182"/>
      <c r="G373" s="182"/>
      <c r="H373" s="182"/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</row>
    <row r="374" spans="1:26" ht="15.75" customHeight="1">
      <c r="A374" s="182"/>
      <c r="B374" s="182"/>
      <c r="C374" s="182"/>
      <c r="D374" s="182"/>
      <c r="E374" s="182"/>
      <c r="F374" s="182"/>
      <c r="G374" s="182"/>
      <c r="H374" s="182"/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</row>
    <row r="375" spans="1:26" ht="15.75" customHeight="1">
      <c r="A375" s="182"/>
      <c r="B375" s="182"/>
      <c r="C375" s="182"/>
      <c r="D375" s="182"/>
      <c r="E375" s="182"/>
      <c r="F375" s="182"/>
      <c r="G375" s="182"/>
      <c r="H375" s="182"/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</row>
    <row r="376" spans="1:26" ht="15.75" customHeight="1">
      <c r="A376" s="182"/>
      <c r="B376" s="182"/>
      <c r="C376" s="182"/>
      <c r="D376" s="182"/>
      <c r="E376" s="182"/>
      <c r="F376" s="182"/>
      <c r="G376" s="182"/>
      <c r="H376" s="182"/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</row>
    <row r="377" spans="1:26" ht="15.75" customHeight="1">
      <c r="A377" s="182"/>
      <c r="B377" s="182"/>
      <c r="C377" s="182"/>
      <c r="D377" s="182"/>
      <c r="E377" s="182"/>
      <c r="F377" s="182"/>
      <c r="G377" s="182"/>
      <c r="H377" s="182"/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</row>
    <row r="378" spans="1:26" ht="15.75" customHeight="1">
      <c r="A378" s="182"/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</row>
    <row r="379" spans="1:26" ht="15.75" customHeight="1">
      <c r="A379" s="182"/>
      <c r="B379" s="182"/>
      <c r="C379" s="182"/>
      <c r="D379" s="182"/>
      <c r="E379" s="182"/>
      <c r="F379" s="182"/>
      <c r="G379" s="182"/>
      <c r="H379" s="182"/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</row>
    <row r="380" spans="1:26" ht="15.75" customHeight="1">
      <c r="A380" s="182"/>
      <c r="B380" s="182"/>
      <c r="C380" s="182"/>
      <c r="D380" s="182"/>
      <c r="E380" s="182"/>
      <c r="F380" s="182"/>
      <c r="G380" s="182"/>
      <c r="H380" s="182"/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</row>
    <row r="381" spans="1:26" ht="15.75" customHeight="1">
      <c r="A381" s="182"/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</row>
    <row r="382" spans="1:26" ht="15.75" customHeight="1">
      <c r="A382" s="182"/>
      <c r="B382" s="182"/>
      <c r="C382" s="182"/>
      <c r="D382" s="182"/>
      <c r="E382" s="182"/>
      <c r="F382" s="182"/>
      <c r="G382" s="182"/>
      <c r="H382" s="182"/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</row>
    <row r="383" spans="1:26" ht="15.75" customHeight="1">
      <c r="A383" s="182"/>
      <c r="B383" s="182"/>
      <c r="C383" s="182"/>
      <c r="D383" s="182"/>
      <c r="E383" s="182"/>
      <c r="F383" s="182"/>
      <c r="G383" s="182"/>
      <c r="H383" s="182"/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</row>
    <row r="384" spans="1:26" ht="15.75" customHeight="1">
      <c r="A384" s="182"/>
      <c r="B384" s="182"/>
      <c r="C384" s="182"/>
      <c r="D384" s="182"/>
      <c r="E384" s="182"/>
      <c r="F384" s="182"/>
      <c r="G384" s="182"/>
      <c r="H384" s="182"/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</row>
    <row r="385" spans="1:26" ht="15.75" customHeight="1">
      <c r="A385" s="182"/>
      <c r="B385" s="182"/>
      <c r="C385" s="182"/>
      <c r="D385" s="182"/>
      <c r="E385" s="182"/>
      <c r="F385" s="182"/>
      <c r="G385" s="182"/>
      <c r="H385" s="182"/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</row>
    <row r="386" spans="1:26" ht="15.75" customHeight="1">
      <c r="A386" s="182"/>
      <c r="B386" s="182"/>
      <c r="C386" s="182"/>
      <c r="D386" s="182"/>
      <c r="E386" s="182"/>
      <c r="F386" s="182"/>
      <c r="G386" s="182"/>
      <c r="H386" s="182"/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</row>
    <row r="387" spans="1:26" ht="15.75" customHeight="1">
      <c r="A387" s="182"/>
      <c r="B387" s="182"/>
      <c r="C387" s="182"/>
      <c r="D387" s="182"/>
      <c r="E387" s="182"/>
      <c r="F387" s="182"/>
      <c r="G387" s="182"/>
      <c r="H387" s="182"/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</row>
    <row r="388" spans="1:26" ht="15.75" customHeight="1">
      <c r="A388" s="182"/>
      <c r="B388" s="182"/>
      <c r="C388" s="182"/>
      <c r="D388" s="182"/>
      <c r="E388" s="182"/>
      <c r="F388" s="182"/>
      <c r="G388" s="182"/>
      <c r="H388" s="182"/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</row>
    <row r="389" spans="1:26" ht="15.75" customHeight="1">
      <c r="A389" s="182"/>
      <c r="B389" s="182"/>
      <c r="C389" s="182"/>
      <c r="D389" s="182"/>
      <c r="E389" s="182"/>
      <c r="F389" s="182"/>
      <c r="G389" s="182"/>
      <c r="H389" s="182"/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</row>
    <row r="390" spans="1:26" ht="15.75" customHeight="1">
      <c r="A390" s="182"/>
      <c r="B390" s="182"/>
      <c r="C390" s="182"/>
      <c r="D390" s="182"/>
      <c r="E390" s="182"/>
      <c r="F390" s="182"/>
      <c r="G390" s="182"/>
      <c r="H390" s="182"/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</row>
    <row r="391" spans="1:26" ht="15.75" customHeight="1">
      <c r="A391" s="182"/>
      <c r="B391" s="182"/>
      <c r="C391" s="182"/>
      <c r="D391" s="182"/>
      <c r="E391" s="182"/>
      <c r="F391" s="182"/>
      <c r="G391" s="182"/>
      <c r="H391" s="182"/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</row>
    <row r="392" spans="1:26" ht="15.75" customHeight="1">
      <c r="A392" s="182"/>
      <c r="B392" s="182"/>
      <c r="C392" s="182"/>
      <c r="D392" s="182"/>
      <c r="E392" s="182"/>
      <c r="F392" s="182"/>
      <c r="G392" s="182"/>
      <c r="H392" s="182"/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</row>
    <row r="393" spans="1:26" ht="15.75" customHeight="1">
      <c r="A393" s="182"/>
      <c r="B393" s="182"/>
      <c r="C393" s="182"/>
      <c r="D393" s="182"/>
      <c r="E393" s="182"/>
      <c r="F393" s="182"/>
      <c r="G393" s="182"/>
      <c r="H393" s="182"/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</row>
    <row r="394" spans="1:26" ht="15.75" customHeight="1">
      <c r="A394" s="182"/>
      <c r="B394" s="182"/>
      <c r="C394" s="182"/>
      <c r="D394" s="182"/>
      <c r="E394" s="182"/>
      <c r="F394" s="182"/>
      <c r="G394" s="182"/>
      <c r="H394" s="182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</row>
    <row r="395" spans="1:26" ht="15.75" customHeight="1">
      <c r="A395" s="182"/>
      <c r="B395" s="182"/>
      <c r="C395" s="182"/>
      <c r="D395" s="182"/>
      <c r="E395" s="182"/>
      <c r="F395" s="182"/>
      <c r="G395" s="182"/>
      <c r="H395" s="182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</row>
    <row r="396" spans="1:26" ht="15.75" customHeight="1">
      <c r="A396" s="182"/>
      <c r="B396" s="182"/>
      <c r="C396" s="182"/>
      <c r="D396" s="182"/>
      <c r="E396" s="182"/>
      <c r="F396" s="182"/>
      <c r="G396" s="182"/>
      <c r="H396" s="182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</row>
    <row r="397" spans="1:26" ht="15.75" customHeight="1">
      <c r="A397" s="182"/>
      <c r="B397" s="182"/>
      <c r="C397" s="182"/>
      <c r="D397" s="182"/>
      <c r="E397" s="182"/>
      <c r="F397" s="182"/>
      <c r="G397" s="182"/>
      <c r="H397" s="182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82"/>
    </row>
    <row r="398" spans="1:26" ht="15.75" customHeight="1">
      <c r="A398" s="182"/>
      <c r="B398" s="182"/>
      <c r="C398" s="182"/>
      <c r="D398" s="182"/>
      <c r="E398" s="182"/>
      <c r="F398" s="182"/>
      <c r="G398" s="182"/>
      <c r="H398" s="182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</row>
    <row r="399" spans="1:26" ht="15.75" customHeight="1">
      <c r="A399" s="182"/>
      <c r="B399" s="182"/>
      <c r="C399" s="182"/>
      <c r="D399" s="182"/>
      <c r="E399" s="182"/>
      <c r="F399" s="182"/>
      <c r="G399" s="182"/>
      <c r="H399" s="182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</row>
    <row r="400" spans="1:26" ht="15.75" customHeight="1">
      <c r="A400" s="182"/>
      <c r="B400" s="182"/>
      <c r="C400" s="182"/>
      <c r="D400" s="182"/>
      <c r="E400" s="182"/>
      <c r="F400" s="182"/>
      <c r="G400" s="182"/>
      <c r="H400" s="182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</row>
    <row r="401" spans="1:26" ht="15.75" customHeight="1">
      <c r="A401" s="182"/>
      <c r="B401" s="182"/>
      <c r="C401" s="182"/>
      <c r="D401" s="182"/>
      <c r="E401" s="182"/>
      <c r="F401" s="182"/>
      <c r="G401" s="182"/>
      <c r="H401" s="182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</row>
    <row r="402" spans="1:26" ht="15.75" customHeight="1">
      <c r="A402" s="182"/>
      <c r="B402" s="182"/>
      <c r="C402" s="182"/>
      <c r="D402" s="182"/>
      <c r="E402" s="182"/>
      <c r="F402" s="182"/>
      <c r="G402" s="182"/>
      <c r="H402" s="182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</row>
    <row r="403" spans="1:26" ht="15.75" customHeight="1">
      <c r="A403" s="182"/>
      <c r="B403" s="182"/>
      <c r="C403" s="182"/>
      <c r="D403" s="182"/>
      <c r="E403" s="182"/>
      <c r="F403" s="182"/>
      <c r="G403" s="182"/>
      <c r="H403" s="182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</row>
    <row r="404" spans="1:26" ht="15.75" customHeight="1">
      <c r="A404" s="182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</row>
    <row r="405" spans="1:26" ht="15.75" customHeight="1">
      <c r="A405" s="182"/>
      <c r="B405" s="182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</row>
    <row r="406" spans="1:26" ht="15.75" customHeight="1">
      <c r="A406" s="182"/>
      <c r="B406" s="182"/>
      <c r="C406" s="182"/>
      <c r="D406" s="182"/>
      <c r="E406" s="182"/>
      <c r="F406" s="182"/>
      <c r="G406" s="182"/>
      <c r="H406" s="182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</row>
    <row r="407" spans="1:26" ht="15.75" customHeight="1">
      <c r="A407" s="182"/>
      <c r="B407" s="182"/>
      <c r="C407" s="182"/>
      <c r="D407" s="182"/>
      <c r="E407" s="182"/>
      <c r="F407" s="182"/>
      <c r="G407" s="182"/>
      <c r="H407" s="182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</row>
    <row r="408" spans="1:26" ht="15.75" customHeight="1">
      <c r="A408" s="182"/>
      <c r="B408" s="182"/>
      <c r="C408" s="182"/>
      <c r="D408" s="182"/>
      <c r="E408" s="182"/>
      <c r="F408" s="182"/>
      <c r="G408" s="182"/>
      <c r="H408" s="182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</row>
    <row r="409" spans="1:26" ht="15.75" customHeight="1">
      <c r="A409" s="182"/>
      <c r="B409" s="182"/>
      <c r="C409" s="182"/>
      <c r="D409" s="182"/>
      <c r="E409" s="182"/>
      <c r="F409" s="182"/>
      <c r="G409" s="182"/>
      <c r="H409" s="182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</row>
    <row r="410" spans="1:26" ht="15.75" customHeight="1">
      <c r="A410" s="182"/>
      <c r="B410" s="182"/>
      <c r="C410" s="182"/>
      <c r="D410" s="182"/>
      <c r="E410" s="182"/>
      <c r="F410" s="182"/>
      <c r="G410" s="182"/>
      <c r="H410" s="182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</row>
    <row r="411" spans="1:26" ht="15.75" customHeight="1">
      <c r="A411" s="182"/>
      <c r="B411" s="182"/>
      <c r="C411" s="182"/>
      <c r="D411" s="182"/>
      <c r="E411" s="182"/>
      <c r="F411" s="182"/>
      <c r="G411" s="182"/>
      <c r="H411" s="182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</row>
    <row r="412" spans="1:26" ht="15.75" customHeight="1">
      <c r="A412" s="182"/>
      <c r="B412" s="182"/>
      <c r="C412" s="182"/>
      <c r="D412" s="182"/>
      <c r="E412" s="182"/>
      <c r="F412" s="182"/>
      <c r="G412" s="182"/>
      <c r="H412" s="182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</row>
    <row r="413" spans="1:26" ht="15.75" customHeight="1">
      <c r="A413" s="182"/>
      <c r="B413" s="182"/>
      <c r="C413" s="182"/>
      <c r="D413" s="182"/>
      <c r="E413" s="182"/>
      <c r="F413" s="182"/>
      <c r="G413" s="182"/>
      <c r="H413" s="182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</row>
    <row r="414" spans="1:26" ht="15.75" customHeight="1">
      <c r="A414" s="182"/>
      <c r="B414" s="182"/>
      <c r="C414" s="182"/>
      <c r="D414" s="182"/>
      <c r="E414" s="182"/>
      <c r="F414" s="182"/>
      <c r="G414" s="182"/>
      <c r="H414" s="182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</row>
    <row r="415" spans="1:26" ht="15.75" customHeight="1">
      <c r="A415" s="182"/>
      <c r="B415" s="182"/>
      <c r="C415" s="182"/>
      <c r="D415" s="182"/>
      <c r="E415" s="182"/>
      <c r="F415" s="182"/>
      <c r="G415" s="182"/>
      <c r="H415" s="182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</row>
    <row r="416" spans="1:26" ht="15.75" customHeight="1">
      <c r="A416" s="182"/>
      <c r="B416" s="182"/>
      <c r="C416" s="182"/>
      <c r="D416" s="182"/>
      <c r="E416" s="182"/>
      <c r="F416" s="182"/>
      <c r="G416" s="182"/>
      <c r="H416" s="182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</row>
    <row r="417" spans="1:26" ht="15.75" customHeight="1">
      <c r="A417" s="182"/>
      <c r="B417" s="182"/>
      <c r="C417" s="182"/>
      <c r="D417" s="182"/>
      <c r="E417" s="182"/>
      <c r="F417" s="182"/>
      <c r="G417" s="182"/>
      <c r="H417" s="182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</row>
    <row r="418" spans="1:26" ht="15.75" customHeight="1">
      <c r="A418" s="182"/>
      <c r="B418" s="182"/>
      <c r="C418" s="182"/>
      <c r="D418" s="182"/>
      <c r="E418" s="182"/>
      <c r="F418" s="182"/>
      <c r="G418" s="182"/>
      <c r="H418" s="182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</row>
    <row r="419" spans="1:26" ht="15.75" customHeight="1">
      <c r="A419" s="182"/>
      <c r="B419" s="182"/>
      <c r="C419" s="182"/>
      <c r="D419" s="182"/>
      <c r="E419" s="182"/>
      <c r="F419" s="182"/>
      <c r="G419" s="182"/>
      <c r="H419" s="182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</row>
    <row r="420" spans="1:26" ht="15.75" customHeight="1">
      <c r="A420" s="182"/>
      <c r="B420" s="182"/>
      <c r="C420" s="182"/>
      <c r="D420" s="182"/>
      <c r="E420" s="182"/>
      <c r="F420" s="182"/>
      <c r="G420" s="182"/>
      <c r="H420" s="182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</row>
    <row r="421" spans="1:26" ht="15.75" customHeight="1">
      <c r="A421" s="182"/>
      <c r="B421" s="182"/>
      <c r="C421" s="182"/>
      <c r="D421" s="182"/>
      <c r="E421" s="182"/>
      <c r="F421" s="182"/>
      <c r="G421" s="182"/>
      <c r="H421" s="182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</row>
    <row r="422" spans="1:26" ht="15.75" customHeight="1">
      <c r="A422" s="182"/>
      <c r="B422" s="182"/>
      <c r="C422" s="182"/>
      <c r="D422" s="182"/>
      <c r="E422" s="182"/>
      <c r="F422" s="182"/>
      <c r="G422" s="182"/>
      <c r="H422" s="182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  <c r="Z422" s="182"/>
    </row>
    <row r="423" spans="1:26" ht="15.75" customHeight="1">
      <c r="A423" s="182"/>
      <c r="B423" s="182"/>
      <c r="C423" s="182"/>
      <c r="D423" s="182"/>
      <c r="E423" s="182"/>
      <c r="F423" s="182"/>
      <c r="G423" s="182"/>
      <c r="H423" s="182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  <c r="Z423" s="182"/>
    </row>
    <row r="424" spans="1:26" ht="15.75" customHeight="1">
      <c r="A424" s="182"/>
      <c r="B424" s="182"/>
      <c r="C424" s="182"/>
      <c r="D424" s="182"/>
      <c r="E424" s="182"/>
      <c r="F424" s="182"/>
      <c r="G424" s="182"/>
      <c r="H424" s="182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  <c r="Z424" s="182"/>
    </row>
    <row r="425" spans="1:26" ht="15.75" customHeight="1">
      <c r="A425" s="182"/>
      <c r="B425" s="182"/>
      <c r="C425" s="182"/>
      <c r="D425" s="182"/>
      <c r="E425" s="182"/>
      <c r="F425" s="182"/>
      <c r="G425" s="182"/>
      <c r="H425" s="182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82"/>
    </row>
    <row r="426" spans="1:26" ht="15.75" customHeight="1">
      <c r="A426" s="182"/>
      <c r="B426" s="182"/>
      <c r="C426" s="182"/>
      <c r="D426" s="182"/>
      <c r="E426" s="182"/>
      <c r="F426" s="182"/>
      <c r="G426" s="182"/>
      <c r="H426" s="182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82"/>
    </row>
    <row r="427" spans="1:26" ht="15.75" customHeight="1">
      <c r="A427" s="182"/>
      <c r="B427" s="182"/>
      <c r="C427" s="182"/>
      <c r="D427" s="182"/>
      <c r="E427" s="182"/>
      <c r="F427" s="182"/>
      <c r="G427" s="182"/>
      <c r="H427" s="182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</row>
    <row r="428" spans="1:26" ht="15.75" customHeight="1">
      <c r="A428" s="182"/>
      <c r="B428" s="182"/>
      <c r="C428" s="182"/>
      <c r="D428" s="182"/>
      <c r="E428" s="182"/>
      <c r="F428" s="182"/>
      <c r="G428" s="182"/>
      <c r="H428" s="182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</row>
    <row r="429" spans="1:26" ht="15.75" customHeight="1">
      <c r="A429" s="182"/>
      <c r="B429" s="182"/>
      <c r="C429" s="182"/>
      <c r="D429" s="182"/>
      <c r="E429" s="182"/>
      <c r="F429" s="182"/>
      <c r="G429" s="182"/>
      <c r="H429" s="182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</row>
    <row r="430" spans="1:26" ht="15.75" customHeight="1">
      <c r="A430" s="182"/>
      <c r="B430" s="182"/>
      <c r="C430" s="182"/>
      <c r="D430" s="182"/>
      <c r="E430" s="182"/>
      <c r="F430" s="182"/>
      <c r="G430" s="182"/>
      <c r="H430" s="182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</row>
    <row r="431" spans="1:26" ht="15.75" customHeight="1">
      <c r="A431" s="182"/>
      <c r="B431" s="182"/>
      <c r="C431" s="182"/>
      <c r="D431" s="182"/>
      <c r="E431" s="182"/>
      <c r="F431" s="182"/>
      <c r="G431" s="182"/>
      <c r="H431" s="182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</row>
    <row r="432" spans="1:26" ht="15.75" customHeight="1">
      <c r="A432" s="182"/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</row>
    <row r="433" spans="1:26" ht="15.75" customHeight="1">
      <c r="A433" s="182"/>
      <c r="B433" s="182"/>
      <c r="C433" s="182"/>
      <c r="D433" s="182"/>
      <c r="E433" s="182"/>
      <c r="F433" s="182"/>
      <c r="G433" s="182"/>
      <c r="H433" s="182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</row>
    <row r="434" spans="1:26" ht="15.75" customHeight="1">
      <c r="A434" s="182"/>
      <c r="B434" s="182"/>
      <c r="C434" s="182"/>
      <c r="D434" s="182"/>
      <c r="E434" s="182"/>
      <c r="F434" s="182"/>
      <c r="G434" s="182"/>
      <c r="H434" s="182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</row>
    <row r="435" spans="1:26" ht="15.75" customHeight="1">
      <c r="A435" s="182"/>
      <c r="B435" s="182"/>
      <c r="C435" s="182"/>
      <c r="D435" s="182"/>
      <c r="E435" s="182"/>
      <c r="F435" s="182"/>
      <c r="G435" s="182"/>
      <c r="H435" s="182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</row>
    <row r="436" spans="1:26" ht="15.75" customHeight="1">
      <c r="A436" s="182"/>
      <c r="B436" s="182"/>
      <c r="C436" s="182"/>
      <c r="D436" s="182"/>
      <c r="E436" s="182"/>
      <c r="F436" s="182"/>
      <c r="G436" s="182"/>
      <c r="H436" s="182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</row>
    <row r="437" spans="1:26" ht="15.75" customHeight="1">
      <c r="A437" s="182"/>
      <c r="B437" s="182"/>
      <c r="C437" s="182"/>
      <c r="D437" s="182"/>
      <c r="E437" s="182"/>
      <c r="F437" s="182"/>
      <c r="G437" s="182"/>
      <c r="H437" s="182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</row>
    <row r="438" spans="1:26" ht="15.75" customHeight="1">
      <c r="A438" s="182"/>
      <c r="B438" s="182"/>
      <c r="C438" s="182"/>
      <c r="D438" s="182"/>
      <c r="E438" s="182"/>
      <c r="F438" s="182"/>
      <c r="G438" s="182"/>
      <c r="H438" s="182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</row>
    <row r="439" spans="1:26" ht="15.75" customHeight="1">
      <c r="A439" s="182"/>
      <c r="B439" s="182"/>
      <c r="C439" s="182"/>
      <c r="D439" s="182"/>
      <c r="E439" s="182"/>
      <c r="F439" s="182"/>
      <c r="G439" s="182"/>
      <c r="H439" s="182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</row>
    <row r="440" spans="1:26" ht="15.75" customHeight="1">
      <c r="A440" s="182"/>
      <c r="B440" s="182"/>
      <c r="C440" s="182"/>
      <c r="D440" s="182"/>
      <c r="E440" s="182"/>
      <c r="F440" s="182"/>
      <c r="G440" s="182"/>
      <c r="H440" s="182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</row>
    <row r="441" spans="1:26" ht="15.75" customHeight="1">
      <c r="A441" s="182"/>
      <c r="B441" s="182"/>
      <c r="C441" s="182"/>
      <c r="D441" s="182"/>
      <c r="E441" s="182"/>
      <c r="F441" s="182"/>
      <c r="G441" s="182"/>
      <c r="H441" s="182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</row>
    <row r="442" spans="1:26" ht="15.75" customHeight="1">
      <c r="A442" s="182"/>
      <c r="B442" s="182"/>
      <c r="C442" s="182"/>
      <c r="D442" s="182"/>
      <c r="E442" s="182"/>
      <c r="F442" s="182"/>
      <c r="G442" s="182"/>
      <c r="H442" s="182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</row>
    <row r="443" spans="1:26" ht="15.75" customHeight="1">
      <c r="A443" s="182"/>
      <c r="B443" s="182"/>
      <c r="C443" s="182"/>
      <c r="D443" s="182"/>
      <c r="E443" s="182"/>
      <c r="F443" s="182"/>
      <c r="G443" s="182"/>
      <c r="H443" s="182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</row>
    <row r="444" spans="1:26" ht="15.75" customHeight="1">
      <c r="A444" s="182"/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</row>
    <row r="445" spans="1:26" ht="15.75" customHeight="1">
      <c r="A445" s="182"/>
      <c r="B445" s="182"/>
      <c r="C445" s="182"/>
      <c r="D445" s="182"/>
      <c r="E445" s="182"/>
      <c r="F445" s="182"/>
      <c r="G445" s="182"/>
      <c r="H445" s="182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</row>
    <row r="446" spans="1:26" ht="15.75" customHeight="1">
      <c r="A446" s="182"/>
      <c r="B446" s="182"/>
      <c r="C446" s="182"/>
      <c r="D446" s="182"/>
      <c r="E446" s="182"/>
      <c r="F446" s="182"/>
      <c r="G446" s="182"/>
      <c r="H446" s="182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</row>
    <row r="447" spans="1:26" ht="15.75" customHeight="1">
      <c r="A447" s="182"/>
      <c r="B447" s="182"/>
      <c r="C447" s="182"/>
      <c r="D447" s="182"/>
      <c r="E447" s="182"/>
      <c r="F447" s="182"/>
      <c r="G447" s="182"/>
      <c r="H447" s="182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</row>
    <row r="448" spans="1:26" ht="15.75" customHeight="1">
      <c r="A448" s="182"/>
      <c r="B448" s="182"/>
      <c r="C448" s="182"/>
      <c r="D448" s="182"/>
      <c r="E448" s="182"/>
      <c r="F448" s="182"/>
      <c r="G448" s="182"/>
      <c r="H448" s="182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</row>
    <row r="449" spans="1:26" ht="15.75" customHeight="1">
      <c r="A449" s="182"/>
      <c r="B449" s="182"/>
      <c r="C449" s="182"/>
      <c r="D449" s="182"/>
      <c r="E449" s="182"/>
      <c r="F449" s="182"/>
      <c r="G449" s="182"/>
      <c r="H449" s="182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</row>
    <row r="450" spans="1:26" ht="15.75" customHeight="1">
      <c r="A450" s="182"/>
      <c r="B450" s="182"/>
      <c r="C450" s="182"/>
      <c r="D450" s="182"/>
      <c r="E450" s="182"/>
      <c r="F450" s="182"/>
      <c r="G450" s="182"/>
      <c r="H450" s="182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</row>
    <row r="451" spans="1:26" ht="15.75" customHeight="1">
      <c r="A451" s="182"/>
      <c r="B451" s="182"/>
      <c r="C451" s="182"/>
      <c r="D451" s="182"/>
      <c r="E451" s="182"/>
      <c r="F451" s="182"/>
      <c r="G451" s="182"/>
      <c r="H451" s="182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</row>
    <row r="452" spans="1:26" ht="15.75" customHeight="1">
      <c r="A452" s="182"/>
      <c r="B452" s="182"/>
      <c r="C452" s="182"/>
      <c r="D452" s="182"/>
      <c r="E452" s="182"/>
      <c r="F452" s="182"/>
      <c r="G452" s="182"/>
      <c r="H452" s="182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</row>
    <row r="453" spans="1:26" ht="15.75" customHeight="1">
      <c r="A453" s="182"/>
      <c r="B453" s="182"/>
      <c r="C453" s="182"/>
      <c r="D453" s="182"/>
      <c r="E453" s="182"/>
      <c r="F453" s="182"/>
      <c r="G453" s="182"/>
      <c r="H453" s="182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</row>
    <row r="454" spans="1:26" ht="15.75" customHeight="1">
      <c r="A454" s="182"/>
      <c r="B454" s="182"/>
      <c r="C454" s="182"/>
      <c r="D454" s="182"/>
      <c r="E454" s="182"/>
      <c r="F454" s="182"/>
      <c r="G454" s="182"/>
      <c r="H454" s="182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</row>
    <row r="455" spans="1:26" ht="15.75" customHeight="1">
      <c r="A455" s="182"/>
      <c r="B455" s="182"/>
      <c r="C455" s="182"/>
      <c r="D455" s="182"/>
      <c r="E455" s="182"/>
      <c r="F455" s="182"/>
      <c r="G455" s="182"/>
      <c r="H455" s="182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</row>
    <row r="456" spans="1:26" ht="15.75" customHeight="1">
      <c r="A456" s="182"/>
      <c r="B456" s="182"/>
      <c r="C456" s="182"/>
      <c r="D456" s="182"/>
      <c r="E456" s="182"/>
      <c r="F456" s="182"/>
      <c r="G456" s="182"/>
      <c r="H456" s="182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</row>
    <row r="457" spans="1:26" ht="15.75" customHeight="1">
      <c r="A457" s="182"/>
      <c r="B457" s="182"/>
      <c r="C457" s="182"/>
      <c r="D457" s="182"/>
      <c r="E457" s="182"/>
      <c r="F457" s="182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</row>
    <row r="458" spans="1:26" ht="15.75" customHeight="1">
      <c r="A458" s="182"/>
      <c r="B458" s="182"/>
      <c r="C458" s="182"/>
      <c r="D458" s="182"/>
      <c r="E458" s="182"/>
      <c r="F458" s="182"/>
      <c r="G458" s="182"/>
      <c r="H458" s="182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</row>
    <row r="459" spans="1:26" ht="15.75" customHeight="1">
      <c r="A459" s="182"/>
      <c r="B459" s="182"/>
      <c r="C459" s="182"/>
      <c r="D459" s="182"/>
      <c r="E459" s="182"/>
      <c r="F459" s="182"/>
      <c r="G459" s="182"/>
      <c r="H459" s="182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</row>
    <row r="460" spans="1:26" ht="15.75" customHeight="1">
      <c r="A460" s="182"/>
      <c r="B460" s="182"/>
      <c r="C460" s="182"/>
      <c r="D460" s="182"/>
      <c r="E460" s="182"/>
      <c r="F460" s="182"/>
      <c r="G460" s="182"/>
      <c r="H460" s="182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</row>
    <row r="461" spans="1:26" ht="15.75" customHeight="1">
      <c r="A461" s="182"/>
      <c r="B461" s="182"/>
      <c r="C461" s="182"/>
      <c r="D461" s="182"/>
      <c r="E461" s="182"/>
      <c r="F461" s="182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</row>
    <row r="462" spans="1:26" ht="15.75" customHeight="1">
      <c r="A462" s="182"/>
      <c r="B462" s="182"/>
      <c r="C462" s="182"/>
      <c r="D462" s="182"/>
      <c r="E462" s="182"/>
      <c r="F462" s="182"/>
      <c r="G462" s="182"/>
      <c r="H462" s="182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</row>
    <row r="463" spans="1:26" ht="15.75" customHeight="1">
      <c r="A463" s="182"/>
      <c r="B463" s="182"/>
      <c r="C463" s="182"/>
      <c r="D463" s="182"/>
      <c r="E463" s="182"/>
      <c r="F463" s="182"/>
      <c r="G463" s="182"/>
      <c r="H463" s="182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</row>
    <row r="464" spans="1:26" ht="15.75" customHeight="1">
      <c r="A464" s="182"/>
      <c r="B464" s="182"/>
      <c r="C464" s="182"/>
      <c r="D464" s="182"/>
      <c r="E464" s="182"/>
      <c r="F464" s="182"/>
      <c r="G464" s="182"/>
      <c r="H464" s="182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82"/>
    </row>
    <row r="465" spans="1:26" ht="15.75" customHeight="1">
      <c r="A465" s="182"/>
      <c r="B465" s="182"/>
      <c r="C465" s="182"/>
      <c r="D465" s="182"/>
      <c r="E465" s="182"/>
      <c r="F465" s="182"/>
      <c r="G465" s="182"/>
      <c r="H465" s="182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</row>
    <row r="466" spans="1:26" ht="15.75" customHeight="1">
      <c r="A466" s="182"/>
      <c r="B466" s="182"/>
      <c r="C466" s="182"/>
      <c r="D466" s="182"/>
      <c r="E466" s="182"/>
      <c r="F466" s="182"/>
      <c r="G466" s="182"/>
      <c r="H466" s="182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</row>
    <row r="467" spans="1:26" ht="15.75" customHeight="1">
      <c r="A467" s="182"/>
      <c r="B467" s="182"/>
      <c r="C467" s="182"/>
      <c r="D467" s="182"/>
      <c r="E467" s="182"/>
      <c r="F467" s="182"/>
      <c r="G467" s="182"/>
      <c r="H467" s="182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</row>
    <row r="468" spans="1:26" ht="15.75" customHeight="1">
      <c r="A468" s="182"/>
      <c r="B468" s="182"/>
      <c r="C468" s="182"/>
      <c r="D468" s="182"/>
      <c r="E468" s="182"/>
      <c r="F468" s="182"/>
      <c r="G468" s="182"/>
      <c r="H468" s="182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</row>
    <row r="469" spans="1:26" ht="15.75" customHeight="1">
      <c r="A469" s="182"/>
      <c r="B469" s="182"/>
      <c r="C469" s="182"/>
      <c r="D469" s="182"/>
      <c r="E469" s="182"/>
      <c r="F469" s="182"/>
      <c r="G469" s="182"/>
      <c r="H469" s="182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</row>
    <row r="470" spans="1:26" ht="15.75" customHeight="1">
      <c r="A470" s="182"/>
      <c r="B470" s="182"/>
      <c r="C470" s="182"/>
      <c r="D470" s="182"/>
      <c r="E470" s="182"/>
      <c r="F470" s="182"/>
      <c r="G470" s="182"/>
      <c r="H470" s="182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</row>
    <row r="471" spans="1:26" ht="15.75" customHeight="1">
      <c r="A471" s="182"/>
      <c r="B471" s="182"/>
      <c r="C471" s="182"/>
      <c r="D471" s="182"/>
      <c r="E471" s="182"/>
      <c r="F471" s="182"/>
      <c r="G471" s="182"/>
      <c r="H471" s="182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</row>
    <row r="472" spans="1:26" ht="15.75" customHeight="1">
      <c r="A472" s="182"/>
      <c r="B472" s="182"/>
      <c r="C472" s="182"/>
      <c r="D472" s="182"/>
      <c r="E472" s="182"/>
      <c r="F472" s="182"/>
      <c r="G472" s="182"/>
      <c r="H472" s="182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82"/>
    </row>
    <row r="473" spans="1:26" ht="15.75" customHeight="1">
      <c r="A473" s="182"/>
      <c r="B473" s="182"/>
      <c r="C473" s="182"/>
      <c r="D473" s="182"/>
      <c r="E473" s="182"/>
      <c r="F473" s="182"/>
      <c r="G473" s="182"/>
      <c r="H473" s="182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</row>
    <row r="474" spans="1:26" ht="15.75" customHeight="1">
      <c r="A474" s="182"/>
      <c r="B474" s="182"/>
      <c r="C474" s="182"/>
      <c r="D474" s="182"/>
      <c r="E474" s="182"/>
      <c r="F474" s="182"/>
      <c r="G474" s="182"/>
      <c r="H474" s="182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82"/>
    </row>
    <row r="475" spans="1:26" ht="15.75" customHeight="1">
      <c r="A475" s="182"/>
      <c r="B475" s="182"/>
      <c r="C475" s="182"/>
      <c r="D475" s="182"/>
      <c r="E475" s="182"/>
      <c r="F475" s="182"/>
      <c r="G475" s="182"/>
      <c r="H475" s="182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</row>
    <row r="476" spans="1:26" ht="15.75" customHeight="1">
      <c r="A476" s="182"/>
      <c r="B476" s="182"/>
      <c r="C476" s="182"/>
      <c r="D476" s="182"/>
      <c r="E476" s="182"/>
      <c r="F476" s="182"/>
      <c r="G476" s="182"/>
      <c r="H476" s="182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  <c r="Z476" s="182"/>
    </row>
    <row r="477" spans="1:26" ht="15.75" customHeight="1">
      <c r="A477" s="182"/>
      <c r="B477" s="182"/>
      <c r="C477" s="182"/>
      <c r="D477" s="182"/>
      <c r="E477" s="182"/>
      <c r="F477" s="182"/>
      <c r="G477" s="182"/>
      <c r="H477" s="182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  <c r="Z477" s="182"/>
    </row>
    <row r="478" spans="1:26" ht="15.75" customHeight="1">
      <c r="A478" s="182"/>
      <c r="B478" s="182"/>
      <c r="C478" s="182"/>
      <c r="D478" s="182"/>
      <c r="E478" s="182"/>
      <c r="F478" s="182"/>
      <c r="G478" s="182"/>
      <c r="H478" s="182"/>
      <c r="I478" s="182"/>
      <c r="J478" s="182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  <c r="Z478" s="182"/>
    </row>
    <row r="479" spans="1:26" ht="15.75" customHeight="1">
      <c r="A479" s="182"/>
      <c r="B479" s="182"/>
      <c r="C479" s="182"/>
      <c r="D479" s="182"/>
      <c r="E479" s="182"/>
      <c r="F479" s="182"/>
      <c r="G479" s="182"/>
      <c r="H479" s="182"/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82"/>
    </row>
    <row r="480" spans="1:26" ht="15.75" customHeight="1">
      <c r="A480" s="182"/>
      <c r="B480" s="182"/>
      <c r="C480" s="182"/>
      <c r="D480" s="182"/>
      <c r="E480" s="182"/>
      <c r="F480" s="182"/>
      <c r="G480" s="182"/>
      <c r="H480" s="182"/>
      <c r="I480" s="182"/>
      <c r="J480" s="182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  <c r="X480" s="182"/>
      <c r="Y480" s="182"/>
      <c r="Z480" s="182"/>
    </row>
    <row r="481" spans="1:26" ht="15.75" customHeight="1">
      <c r="A481" s="182"/>
      <c r="B481" s="182"/>
      <c r="C481" s="182"/>
      <c r="D481" s="182"/>
      <c r="E481" s="182"/>
      <c r="F481" s="182"/>
      <c r="G481" s="182"/>
      <c r="H481" s="182"/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</row>
    <row r="482" spans="1:26" ht="15.75" customHeight="1">
      <c r="A482" s="182"/>
      <c r="B482" s="182"/>
      <c r="C482" s="182"/>
      <c r="D482" s="182"/>
      <c r="E482" s="182"/>
      <c r="F482" s="182"/>
      <c r="G482" s="182"/>
      <c r="H482" s="182"/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</row>
    <row r="483" spans="1:26" ht="15.75" customHeight="1">
      <c r="A483" s="182"/>
      <c r="B483" s="182"/>
      <c r="C483" s="182"/>
      <c r="D483" s="182"/>
      <c r="E483" s="182"/>
      <c r="F483" s="182"/>
      <c r="G483" s="182"/>
      <c r="H483" s="182"/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</row>
    <row r="484" spans="1:26" ht="15.75" customHeight="1">
      <c r="A484" s="182"/>
      <c r="B484" s="182"/>
      <c r="C484" s="182"/>
      <c r="D484" s="182"/>
      <c r="E484" s="182"/>
      <c r="F484" s="182"/>
      <c r="G484" s="182"/>
      <c r="H484" s="182"/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</row>
    <row r="485" spans="1:26" ht="15.75" customHeight="1">
      <c r="A485" s="182"/>
      <c r="B485" s="182"/>
      <c r="C485" s="182"/>
      <c r="D485" s="182"/>
      <c r="E485" s="182"/>
      <c r="F485" s="182"/>
      <c r="G485" s="182"/>
      <c r="H485" s="182"/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</row>
    <row r="486" spans="1:26" ht="15.75" customHeight="1">
      <c r="A486" s="182"/>
      <c r="B486" s="182"/>
      <c r="C486" s="182"/>
      <c r="D486" s="182"/>
      <c r="E486" s="182"/>
      <c r="F486" s="182"/>
      <c r="G486" s="182"/>
      <c r="H486" s="182"/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</row>
    <row r="487" spans="1:26" ht="15.75" customHeight="1">
      <c r="A487" s="182"/>
      <c r="B487" s="182"/>
      <c r="C487" s="182"/>
      <c r="D487" s="182"/>
      <c r="E487" s="182"/>
      <c r="F487" s="182"/>
      <c r="G487" s="182"/>
      <c r="H487" s="182"/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</row>
    <row r="488" spans="1:26" ht="15.75" customHeight="1">
      <c r="A488" s="182"/>
      <c r="B488" s="182"/>
      <c r="C488" s="182"/>
      <c r="D488" s="182"/>
      <c r="E488" s="182"/>
      <c r="F488" s="182"/>
      <c r="G488" s="182"/>
      <c r="H488" s="182"/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</row>
    <row r="489" spans="1:26" ht="15.75" customHeight="1">
      <c r="A489" s="182"/>
      <c r="B489" s="182"/>
      <c r="C489" s="182"/>
      <c r="D489" s="182"/>
      <c r="E489" s="182"/>
      <c r="F489" s="182"/>
      <c r="G489" s="182"/>
      <c r="H489" s="182"/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</row>
    <row r="490" spans="1:26" ht="15.75" customHeight="1">
      <c r="A490" s="182"/>
      <c r="B490" s="182"/>
      <c r="C490" s="182"/>
      <c r="D490" s="182"/>
      <c r="E490" s="182"/>
      <c r="F490" s="182"/>
      <c r="G490" s="182"/>
      <c r="H490" s="182"/>
      <c r="I490" s="182"/>
      <c r="J490" s="182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  <c r="Z490" s="182"/>
    </row>
    <row r="491" spans="1:26" ht="15.75" customHeight="1">
      <c r="A491" s="182"/>
      <c r="B491" s="182"/>
      <c r="C491" s="182"/>
      <c r="D491" s="182"/>
      <c r="E491" s="182"/>
      <c r="F491" s="182"/>
      <c r="G491" s="182"/>
      <c r="H491" s="182"/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</row>
    <row r="492" spans="1:26" ht="15.75" customHeight="1">
      <c r="A492" s="182"/>
      <c r="B492" s="182"/>
      <c r="C492" s="182"/>
      <c r="D492" s="182"/>
      <c r="E492" s="182"/>
      <c r="F492" s="182"/>
      <c r="G492" s="182"/>
      <c r="H492" s="182"/>
      <c r="I492" s="182"/>
      <c r="J492" s="182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82"/>
    </row>
    <row r="493" spans="1:26" ht="15.75" customHeight="1">
      <c r="A493" s="182"/>
      <c r="B493" s="182"/>
      <c r="C493" s="182"/>
      <c r="D493" s="182"/>
      <c r="E493" s="182"/>
      <c r="F493" s="182"/>
      <c r="G493" s="182"/>
      <c r="H493" s="182"/>
      <c r="I493" s="182"/>
      <c r="J493" s="182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82"/>
    </row>
    <row r="494" spans="1:26" ht="15.75" customHeight="1">
      <c r="A494" s="182"/>
      <c r="B494" s="182"/>
      <c r="C494" s="182"/>
      <c r="D494" s="182"/>
      <c r="E494" s="182"/>
      <c r="F494" s="182"/>
      <c r="G494" s="182"/>
      <c r="H494" s="182"/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</row>
    <row r="495" spans="1:26" ht="15.75" customHeight="1">
      <c r="A495" s="182"/>
      <c r="B495" s="182"/>
      <c r="C495" s="182"/>
      <c r="D495" s="182"/>
      <c r="E495" s="182"/>
      <c r="F495" s="182"/>
      <c r="G495" s="182"/>
      <c r="H495" s="182"/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82"/>
    </row>
    <row r="496" spans="1:26" ht="15.75" customHeight="1">
      <c r="A496" s="182"/>
      <c r="B496" s="182"/>
      <c r="C496" s="182"/>
      <c r="D496" s="182"/>
      <c r="E496" s="182"/>
      <c r="F496" s="182"/>
      <c r="G496" s="182"/>
      <c r="H496" s="182"/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</row>
    <row r="497" spans="1:26" ht="15.75" customHeight="1">
      <c r="A497" s="182"/>
      <c r="B497" s="182"/>
      <c r="C497" s="182"/>
      <c r="D497" s="182"/>
      <c r="E497" s="182"/>
      <c r="F497" s="182"/>
      <c r="G497" s="182"/>
      <c r="H497" s="182"/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</row>
    <row r="498" spans="1:26" ht="15.75" customHeight="1">
      <c r="A498" s="182"/>
      <c r="B498" s="182"/>
      <c r="C498" s="182"/>
      <c r="D498" s="182"/>
      <c r="E498" s="182"/>
      <c r="F498" s="182"/>
      <c r="G498" s="182"/>
      <c r="H498" s="182"/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</row>
    <row r="499" spans="1:26" ht="15.75" customHeight="1">
      <c r="A499" s="182"/>
      <c r="B499" s="182"/>
      <c r="C499" s="182"/>
      <c r="D499" s="182"/>
      <c r="E499" s="182"/>
      <c r="F499" s="182"/>
      <c r="G499" s="182"/>
      <c r="H499" s="182"/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</row>
    <row r="500" spans="1:26" ht="15.75" customHeight="1">
      <c r="A500" s="182"/>
      <c r="B500" s="182"/>
      <c r="C500" s="182"/>
      <c r="D500" s="182"/>
      <c r="E500" s="182"/>
      <c r="F500" s="182"/>
      <c r="G500" s="182"/>
      <c r="H500" s="182"/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</row>
    <row r="501" spans="1:26" ht="15.75" customHeight="1">
      <c r="A501" s="182"/>
      <c r="B501" s="182"/>
      <c r="C501" s="182"/>
      <c r="D501" s="182"/>
      <c r="E501" s="182"/>
      <c r="F501" s="182"/>
      <c r="G501" s="182"/>
      <c r="H501" s="182"/>
      <c r="I501" s="182"/>
      <c r="J501" s="182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  <c r="Z501" s="182"/>
    </row>
    <row r="502" spans="1:26" ht="15.75" customHeight="1">
      <c r="A502" s="182"/>
      <c r="B502" s="182"/>
      <c r="C502" s="182"/>
      <c r="D502" s="182"/>
      <c r="E502" s="182"/>
      <c r="F502" s="182"/>
      <c r="G502" s="182"/>
      <c r="H502" s="182"/>
      <c r="I502" s="182"/>
      <c r="J502" s="182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  <c r="Z502" s="182"/>
    </row>
    <row r="503" spans="1:26" ht="15.75" customHeight="1">
      <c r="A503" s="182"/>
      <c r="B503" s="182"/>
      <c r="C503" s="182"/>
      <c r="D503" s="182"/>
      <c r="E503" s="182"/>
      <c r="F503" s="182"/>
      <c r="G503" s="182"/>
      <c r="H503" s="182"/>
      <c r="I503" s="182"/>
      <c r="J503" s="182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2"/>
      <c r="Z503" s="182"/>
    </row>
    <row r="504" spans="1:26" ht="15.75" customHeight="1">
      <c r="A504" s="182"/>
      <c r="B504" s="182"/>
      <c r="C504" s="182"/>
      <c r="D504" s="182"/>
      <c r="E504" s="182"/>
      <c r="F504" s="182"/>
      <c r="G504" s="182"/>
      <c r="H504" s="182"/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82"/>
    </row>
    <row r="505" spans="1:26" ht="15.75" customHeight="1">
      <c r="A505" s="182"/>
      <c r="B505" s="182"/>
      <c r="C505" s="182"/>
      <c r="D505" s="182"/>
      <c r="E505" s="182"/>
      <c r="F505" s="182"/>
      <c r="G505" s="182"/>
      <c r="H505" s="182"/>
      <c r="I505" s="182"/>
      <c r="J505" s="182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  <c r="Z505" s="182"/>
    </row>
    <row r="506" spans="1:26" ht="15.75" customHeight="1">
      <c r="A506" s="182"/>
      <c r="B506" s="182"/>
      <c r="C506" s="182"/>
      <c r="D506" s="182"/>
      <c r="E506" s="182"/>
      <c r="F506" s="182"/>
      <c r="G506" s="182"/>
      <c r="H506" s="182"/>
      <c r="I506" s="182"/>
      <c r="J506" s="182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  <c r="Z506" s="182"/>
    </row>
    <row r="507" spans="1:26" ht="15.75" customHeight="1">
      <c r="A507" s="182"/>
      <c r="B507" s="182"/>
      <c r="C507" s="182"/>
      <c r="D507" s="182"/>
      <c r="E507" s="182"/>
      <c r="F507" s="182"/>
      <c r="G507" s="182"/>
      <c r="H507" s="182"/>
      <c r="I507" s="182"/>
      <c r="J507" s="182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  <c r="Z507" s="182"/>
    </row>
    <row r="508" spans="1:26" ht="15.75" customHeight="1">
      <c r="A508" s="182"/>
      <c r="B508" s="182"/>
      <c r="C508" s="182"/>
      <c r="D508" s="182"/>
      <c r="E508" s="182"/>
      <c r="F508" s="182"/>
      <c r="G508" s="182"/>
      <c r="H508" s="182"/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2"/>
      <c r="Z508" s="182"/>
    </row>
    <row r="509" spans="1:26" ht="15.75" customHeight="1">
      <c r="A509" s="182"/>
      <c r="B509" s="182"/>
      <c r="C509" s="182"/>
      <c r="D509" s="182"/>
      <c r="E509" s="182"/>
      <c r="F509" s="182"/>
      <c r="G509" s="182"/>
      <c r="H509" s="182"/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  <c r="Z509" s="182"/>
    </row>
    <row r="510" spans="1:26" ht="15.75" customHeight="1">
      <c r="A510" s="182"/>
      <c r="B510" s="182"/>
      <c r="C510" s="182"/>
      <c r="D510" s="182"/>
      <c r="E510" s="182"/>
      <c r="F510" s="182"/>
      <c r="G510" s="182"/>
      <c r="H510" s="182"/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</row>
    <row r="511" spans="1:26" ht="15.75" customHeight="1">
      <c r="A511" s="182"/>
      <c r="B511" s="182"/>
      <c r="C511" s="182"/>
      <c r="D511" s="182"/>
      <c r="E511" s="182"/>
      <c r="F511" s="182"/>
      <c r="G511" s="182"/>
      <c r="H511" s="182"/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</row>
    <row r="512" spans="1:26" ht="15.75" customHeight="1">
      <c r="A512" s="182"/>
      <c r="B512" s="182"/>
      <c r="C512" s="182"/>
      <c r="D512" s="182"/>
      <c r="E512" s="182"/>
      <c r="F512" s="182"/>
      <c r="G512" s="182"/>
      <c r="H512" s="182"/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</row>
    <row r="513" spans="1:26" ht="15.75" customHeight="1">
      <c r="A513" s="182"/>
      <c r="B513" s="182"/>
      <c r="C513" s="182"/>
      <c r="D513" s="182"/>
      <c r="E513" s="182"/>
      <c r="F513" s="182"/>
      <c r="G513" s="182"/>
      <c r="H513" s="182"/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</row>
    <row r="514" spans="1:26" ht="15.75" customHeight="1">
      <c r="A514" s="182"/>
      <c r="B514" s="182"/>
      <c r="C514" s="182"/>
      <c r="D514" s="182"/>
      <c r="E514" s="182"/>
      <c r="F514" s="182"/>
      <c r="G514" s="182"/>
      <c r="H514" s="182"/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</row>
    <row r="515" spans="1:26" ht="15.75" customHeight="1">
      <c r="A515" s="182"/>
      <c r="B515" s="182"/>
      <c r="C515" s="182"/>
      <c r="D515" s="182"/>
      <c r="E515" s="182"/>
      <c r="F515" s="182"/>
      <c r="G515" s="182"/>
      <c r="H515" s="182"/>
      <c r="I515" s="182"/>
      <c r="J515" s="182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82"/>
    </row>
    <row r="516" spans="1:26" ht="15.75" customHeight="1">
      <c r="A516" s="182"/>
      <c r="B516" s="182"/>
      <c r="C516" s="182"/>
      <c r="D516" s="182"/>
      <c r="E516" s="182"/>
      <c r="F516" s="182"/>
      <c r="G516" s="182"/>
      <c r="H516" s="182"/>
      <c r="I516" s="182"/>
      <c r="J516" s="182"/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  <c r="Z516" s="182"/>
    </row>
    <row r="517" spans="1:26" ht="15.75" customHeight="1">
      <c r="A517" s="182"/>
      <c r="B517" s="182"/>
      <c r="C517" s="182"/>
      <c r="D517" s="182"/>
      <c r="E517" s="182"/>
      <c r="F517" s="182"/>
      <c r="G517" s="182"/>
      <c r="H517" s="182"/>
      <c r="I517" s="182"/>
      <c r="J517" s="182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</row>
    <row r="518" spans="1:26" ht="15.75" customHeight="1">
      <c r="A518" s="182"/>
      <c r="B518" s="182"/>
      <c r="C518" s="182"/>
      <c r="D518" s="182"/>
      <c r="E518" s="182"/>
      <c r="F518" s="182"/>
      <c r="G518" s="182"/>
      <c r="H518" s="182"/>
      <c r="I518" s="182"/>
      <c r="J518" s="182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</row>
    <row r="519" spans="1:26" ht="15.75" customHeight="1">
      <c r="A519" s="182"/>
      <c r="B519" s="182"/>
      <c r="C519" s="182"/>
      <c r="D519" s="182"/>
      <c r="E519" s="182"/>
      <c r="F519" s="182"/>
      <c r="G519" s="182"/>
      <c r="H519" s="182"/>
      <c r="I519" s="182"/>
      <c r="J519" s="182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82"/>
    </row>
    <row r="520" spans="1:26" ht="15.75" customHeight="1">
      <c r="A520" s="182"/>
      <c r="B520" s="182"/>
      <c r="C520" s="182"/>
      <c r="D520" s="182"/>
      <c r="E520" s="182"/>
      <c r="F520" s="182"/>
      <c r="G520" s="182"/>
      <c r="H520" s="182"/>
      <c r="I520" s="182"/>
      <c r="J520" s="182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82"/>
    </row>
    <row r="521" spans="1:26" ht="15.75" customHeight="1">
      <c r="A521" s="182"/>
      <c r="B521" s="182"/>
      <c r="C521" s="182"/>
      <c r="D521" s="182"/>
      <c r="E521" s="182"/>
      <c r="F521" s="182"/>
      <c r="G521" s="182"/>
      <c r="H521" s="182"/>
      <c r="I521" s="182"/>
      <c r="J521" s="182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82"/>
    </row>
    <row r="522" spans="1:26" ht="15.75" customHeight="1">
      <c r="A522" s="182"/>
      <c r="B522" s="182"/>
      <c r="C522" s="182"/>
      <c r="D522" s="182"/>
      <c r="E522" s="182"/>
      <c r="F522" s="182"/>
      <c r="G522" s="182"/>
      <c r="H522" s="182"/>
      <c r="I522" s="182"/>
      <c r="J522" s="182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  <c r="Z522" s="182"/>
    </row>
    <row r="523" spans="1:26" ht="15.75" customHeight="1">
      <c r="A523" s="182"/>
      <c r="B523" s="182"/>
      <c r="C523" s="182"/>
      <c r="D523" s="182"/>
      <c r="E523" s="182"/>
      <c r="F523" s="182"/>
      <c r="G523" s="182"/>
      <c r="H523" s="182"/>
      <c r="I523" s="182"/>
      <c r="J523" s="182"/>
      <c r="K523" s="182"/>
      <c r="L523" s="182"/>
      <c r="M523" s="182"/>
      <c r="N523" s="182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  <c r="Z523" s="182"/>
    </row>
    <row r="524" spans="1:26" ht="15.75" customHeight="1">
      <c r="A524" s="182"/>
      <c r="B524" s="182"/>
      <c r="C524" s="182"/>
      <c r="D524" s="182"/>
      <c r="E524" s="182"/>
      <c r="F524" s="182"/>
      <c r="G524" s="182"/>
      <c r="H524" s="182"/>
      <c r="I524" s="182"/>
      <c r="J524" s="182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</row>
    <row r="525" spans="1:26" ht="15.75" customHeight="1">
      <c r="A525" s="182"/>
      <c r="B525" s="182"/>
      <c r="C525" s="182"/>
      <c r="D525" s="182"/>
      <c r="E525" s="182"/>
      <c r="F525" s="182"/>
      <c r="G525" s="182"/>
      <c r="H525" s="182"/>
      <c r="I525" s="182"/>
      <c r="J525" s="182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</row>
    <row r="526" spans="1:26" ht="15.75" customHeight="1">
      <c r="A526" s="182"/>
      <c r="B526" s="182"/>
      <c r="C526" s="182"/>
      <c r="D526" s="182"/>
      <c r="E526" s="182"/>
      <c r="F526" s="182"/>
      <c r="G526" s="182"/>
      <c r="H526" s="182"/>
      <c r="I526" s="182"/>
      <c r="J526" s="182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</row>
    <row r="527" spans="1:26" ht="15.75" customHeight="1">
      <c r="A527" s="182"/>
      <c r="B527" s="182"/>
      <c r="C527" s="182"/>
      <c r="D527" s="182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</row>
    <row r="528" spans="1:26" ht="15.75" customHeight="1">
      <c r="A528" s="182"/>
      <c r="B528" s="182"/>
      <c r="C528" s="182"/>
      <c r="D528" s="182"/>
      <c r="E528" s="182"/>
      <c r="F528" s="182"/>
      <c r="G528" s="182"/>
      <c r="H528" s="182"/>
      <c r="I528" s="182"/>
      <c r="J528" s="182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</row>
    <row r="529" spans="1:26" ht="15.75" customHeight="1">
      <c r="A529" s="182"/>
      <c r="B529" s="182"/>
      <c r="C529" s="182"/>
      <c r="D529" s="182"/>
      <c r="E529" s="182"/>
      <c r="F529" s="182"/>
      <c r="G529" s="182"/>
      <c r="H529" s="182"/>
      <c r="I529" s="182"/>
      <c r="J529" s="182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</row>
    <row r="530" spans="1:26" ht="15.75" customHeight="1">
      <c r="A530" s="182"/>
      <c r="B530" s="182"/>
      <c r="C530" s="182"/>
      <c r="D530" s="182"/>
      <c r="E530" s="182"/>
      <c r="F530" s="182"/>
      <c r="G530" s="182"/>
      <c r="H530" s="182"/>
      <c r="I530" s="182"/>
      <c r="J530" s="182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</row>
    <row r="531" spans="1:26" ht="15.75" customHeight="1">
      <c r="A531" s="182"/>
      <c r="B531" s="182"/>
      <c r="C531" s="182"/>
      <c r="D531" s="182"/>
      <c r="E531" s="182"/>
      <c r="F531" s="182"/>
      <c r="G531" s="182"/>
      <c r="H531" s="182"/>
      <c r="I531" s="182"/>
      <c r="J531" s="182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</row>
    <row r="532" spans="1:26" ht="15.75" customHeight="1">
      <c r="A532" s="182"/>
      <c r="B532" s="182"/>
      <c r="C532" s="182"/>
      <c r="D532" s="182"/>
      <c r="E532" s="182"/>
      <c r="F532" s="182"/>
      <c r="G532" s="182"/>
      <c r="H532" s="182"/>
      <c r="I532" s="182"/>
      <c r="J532" s="182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</row>
    <row r="533" spans="1:26" ht="15.75" customHeight="1">
      <c r="A533" s="182"/>
      <c r="B533" s="182"/>
      <c r="C533" s="182"/>
      <c r="D533" s="182"/>
      <c r="E533" s="182"/>
      <c r="F533" s="182"/>
      <c r="G533" s="182"/>
      <c r="H533" s="182"/>
      <c r="I533" s="182"/>
      <c r="J533" s="182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  <c r="Z533" s="182"/>
    </row>
    <row r="534" spans="1:26" ht="15.75" customHeight="1">
      <c r="A534" s="182"/>
      <c r="B534" s="182"/>
      <c r="C534" s="182"/>
      <c r="D534" s="182"/>
      <c r="E534" s="182"/>
      <c r="F534" s="182"/>
      <c r="G534" s="182"/>
      <c r="H534" s="182"/>
      <c r="I534" s="182"/>
      <c r="J534" s="182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</row>
    <row r="535" spans="1:26" ht="15.75" customHeight="1">
      <c r="A535" s="182"/>
      <c r="B535" s="182"/>
      <c r="C535" s="182"/>
      <c r="D535" s="182"/>
      <c r="E535" s="182"/>
      <c r="F535" s="182"/>
      <c r="G535" s="182"/>
      <c r="H535" s="182"/>
      <c r="I535" s="182"/>
      <c r="J535" s="182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</row>
    <row r="536" spans="1:26" ht="15.75" customHeight="1">
      <c r="A536" s="182"/>
      <c r="B536" s="182"/>
      <c r="C536" s="182"/>
      <c r="D536" s="182"/>
      <c r="E536" s="182"/>
      <c r="F536" s="182"/>
      <c r="G536" s="182"/>
      <c r="H536" s="182"/>
      <c r="I536" s="182"/>
      <c r="J536" s="182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</row>
    <row r="537" spans="1:26" ht="15.75" customHeight="1">
      <c r="A537" s="182"/>
      <c r="B537" s="182"/>
      <c r="C537" s="182"/>
      <c r="D537" s="182"/>
      <c r="E537" s="182"/>
      <c r="F537" s="182"/>
      <c r="G537" s="182"/>
      <c r="H537" s="182"/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</row>
    <row r="538" spans="1:26" ht="15.75" customHeight="1">
      <c r="A538" s="182"/>
      <c r="B538" s="182"/>
      <c r="C538" s="182"/>
      <c r="D538" s="182"/>
      <c r="E538" s="182"/>
      <c r="F538" s="182"/>
      <c r="G538" s="182"/>
      <c r="H538" s="182"/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</row>
    <row r="539" spans="1:26" ht="15.75" customHeight="1">
      <c r="A539" s="182"/>
      <c r="B539" s="182"/>
      <c r="C539" s="182"/>
      <c r="D539" s="182"/>
      <c r="E539" s="182"/>
      <c r="F539" s="182"/>
      <c r="G539" s="182"/>
      <c r="H539" s="182"/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</row>
    <row r="540" spans="1:26" ht="15.75" customHeight="1">
      <c r="A540" s="182"/>
      <c r="B540" s="182"/>
      <c r="C540" s="182"/>
      <c r="D540" s="182"/>
      <c r="E540" s="182"/>
      <c r="F540" s="182"/>
      <c r="G540" s="182"/>
      <c r="H540" s="182"/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</row>
    <row r="541" spans="1:26" ht="15.75" customHeight="1">
      <c r="A541" s="182"/>
      <c r="B541" s="182"/>
      <c r="C541" s="182"/>
      <c r="D541" s="182"/>
      <c r="E541" s="182"/>
      <c r="F541" s="182"/>
      <c r="G541" s="182"/>
      <c r="H541" s="182"/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</row>
    <row r="542" spans="1:26" ht="15.75" customHeight="1">
      <c r="A542" s="182"/>
      <c r="B542" s="182"/>
      <c r="C542" s="182"/>
      <c r="D542" s="182"/>
      <c r="E542" s="182"/>
      <c r="F542" s="182"/>
      <c r="G542" s="182"/>
      <c r="H542" s="182"/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</row>
    <row r="543" spans="1:26" ht="15.75" customHeight="1">
      <c r="A543" s="182"/>
      <c r="B543" s="182"/>
      <c r="C543" s="182"/>
      <c r="D543" s="182"/>
      <c r="E543" s="182"/>
      <c r="F543" s="182"/>
      <c r="G543" s="182"/>
      <c r="H543" s="182"/>
      <c r="I543" s="182"/>
      <c r="J543" s="182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</row>
    <row r="544" spans="1:26" ht="15.75" customHeight="1">
      <c r="A544" s="182"/>
      <c r="B544" s="182"/>
      <c r="C544" s="182"/>
      <c r="D544" s="182"/>
      <c r="E544" s="182"/>
      <c r="F544" s="182"/>
      <c r="G544" s="182"/>
      <c r="H544" s="182"/>
      <c r="I544" s="182"/>
      <c r="J544" s="182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</row>
    <row r="545" spans="1:26" ht="15.75" customHeight="1">
      <c r="A545" s="182"/>
      <c r="B545" s="182"/>
      <c r="C545" s="182"/>
      <c r="D545" s="182"/>
      <c r="E545" s="182"/>
      <c r="F545" s="182"/>
      <c r="G545" s="182"/>
      <c r="H545" s="182"/>
      <c r="I545" s="182"/>
      <c r="J545" s="182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  <c r="X545" s="182"/>
      <c r="Y545" s="182"/>
      <c r="Z545" s="182"/>
    </row>
    <row r="546" spans="1:26" ht="15.75" customHeight="1">
      <c r="A546" s="182"/>
      <c r="B546" s="182"/>
      <c r="C546" s="182"/>
      <c r="D546" s="182"/>
      <c r="E546" s="182"/>
      <c r="F546" s="182"/>
      <c r="G546" s="182"/>
      <c r="H546" s="182"/>
      <c r="I546" s="182"/>
      <c r="J546" s="182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</row>
    <row r="547" spans="1:26" ht="15.75" customHeight="1">
      <c r="A547" s="182"/>
      <c r="B547" s="182"/>
      <c r="C547" s="182"/>
      <c r="D547" s="182"/>
      <c r="E547" s="182"/>
      <c r="F547" s="182"/>
      <c r="G547" s="182"/>
      <c r="H547" s="182"/>
      <c r="I547" s="182"/>
      <c r="J547" s="182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</row>
    <row r="548" spans="1:26" ht="15.75" customHeight="1">
      <c r="A548" s="182"/>
      <c r="B548" s="182"/>
      <c r="C548" s="182"/>
      <c r="D548" s="182"/>
      <c r="E548" s="182"/>
      <c r="F548" s="182"/>
      <c r="G548" s="182"/>
      <c r="H548" s="182"/>
      <c r="I548" s="182"/>
      <c r="J548" s="182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</row>
    <row r="549" spans="1:26" ht="15.75" customHeight="1">
      <c r="A549" s="182"/>
      <c r="B549" s="182"/>
      <c r="C549" s="182"/>
      <c r="D549" s="182"/>
      <c r="E549" s="182"/>
      <c r="F549" s="182"/>
      <c r="G549" s="182"/>
      <c r="H549" s="182"/>
      <c r="I549" s="182"/>
      <c r="J549" s="182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</row>
    <row r="550" spans="1:26" ht="15.75" customHeight="1">
      <c r="A550" s="182"/>
      <c r="B550" s="182"/>
      <c r="C550" s="182"/>
      <c r="D550" s="182"/>
      <c r="E550" s="182"/>
      <c r="F550" s="182"/>
      <c r="G550" s="182"/>
      <c r="H550" s="182"/>
      <c r="I550" s="182"/>
      <c r="J550" s="182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</row>
    <row r="551" spans="1:26" ht="15.75" customHeight="1">
      <c r="A551" s="182"/>
      <c r="B551" s="182"/>
      <c r="C551" s="182"/>
      <c r="D551" s="182"/>
      <c r="E551" s="182"/>
      <c r="F551" s="182"/>
      <c r="G551" s="182"/>
      <c r="H551" s="182"/>
      <c r="I551" s="182"/>
      <c r="J551" s="182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</row>
    <row r="552" spans="1:26" ht="15.75" customHeight="1">
      <c r="A552" s="182"/>
      <c r="B552" s="182"/>
      <c r="C552" s="182"/>
      <c r="D552" s="182"/>
      <c r="E552" s="182"/>
      <c r="F552" s="182"/>
      <c r="G552" s="182"/>
      <c r="H552" s="182"/>
      <c r="I552" s="182"/>
      <c r="J552" s="182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</row>
    <row r="553" spans="1:26" ht="15.75" customHeight="1">
      <c r="A553" s="182"/>
      <c r="B553" s="182"/>
      <c r="C553" s="182"/>
      <c r="D553" s="182"/>
      <c r="E553" s="182"/>
      <c r="F553" s="182"/>
      <c r="G553" s="182"/>
      <c r="H553" s="182"/>
      <c r="I553" s="182"/>
      <c r="J553" s="182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</row>
    <row r="554" spans="1:26" ht="15.75" customHeight="1">
      <c r="A554" s="182"/>
      <c r="B554" s="182"/>
      <c r="C554" s="182"/>
      <c r="D554" s="182"/>
      <c r="E554" s="182"/>
      <c r="F554" s="182"/>
      <c r="G554" s="182"/>
      <c r="H554" s="182"/>
      <c r="I554" s="182"/>
      <c r="J554" s="182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</row>
    <row r="555" spans="1:26" ht="15.75" customHeight="1">
      <c r="A555" s="182"/>
      <c r="B555" s="182"/>
      <c r="C555" s="182"/>
      <c r="D555" s="182"/>
      <c r="E555" s="182"/>
      <c r="F555" s="182"/>
      <c r="G555" s="182"/>
      <c r="H555" s="182"/>
      <c r="I555" s="182"/>
      <c r="J555" s="182"/>
      <c r="K555" s="182"/>
      <c r="L555" s="182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182"/>
      <c r="Z555" s="182"/>
    </row>
    <row r="556" spans="1:26" ht="15.75" customHeight="1">
      <c r="A556" s="182"/>
      <c r="B556" s="182"/>
      <c r="C556" s="182"/>
      <c r="D556" s="182"/>
      <c r="E556" s="182"/>
      <c r="F556" s="182"/>
      <c r="G556" s="182"/>
      <c r="H556" s="182"/>
      <c r="I556" s="182"/>
      <c r="J556" s="182"/>
      <c r="K556" s="182"/>
      <c r="L556" s="182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</row>
    <row r="557" spans="1:26" ht="15.75" customHeight="1">
      <c r="A557" s="182"/>
      <c r="B557" s="182"/>
      <c r="C557" s="182"/>
      <c r="D557" s="182"/>
      <c r="E557" s="182"/>
      <c r="F557" s="182"/>
      <c r="G557" s="182"/>
      <c r="H557" s="182"/>
      <c r="I557" s="182"/>
      <c r="J557" s="182"/>
      <c r="K557" s="182"/>
      <c r="L557" s="182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</row>
    <row r="558" spans="1:26" ht="15.75" customHeight="1">
      <c r="A558" s="182"/>
      <c r="B558" s="182"/>
      <c r="C558" s="182"/>
      <c r="D558" s="182"/>
      <c r="E558" s="182"/>
      <c r="F558" s="182"/>
      <c r="G558" s="182"/>
      <c r="H558" s="182"/>
      <c r="I558" s="182"/>
      <c r="J558" s="182"/>
      <c r="K558" s="182"/>
      <c r="L558" s="182"/>
      <c r="M558" s="182"/>
      <c r="N558" s="182"/>
      <c r="O558" s="182"/>
      <c r="P558" s="182"/>
      <c r="Q558" s="182"/>
      <c r="R558" s="182"/>
      <c r="S558" s="182"/>
      <c r="T558" s="182"/>
      <c r="U558" s="182"/>
      <c r="V558" s="182"/>
      <c r="W558" s="182"/>
      <c r="X558" s="182"/>
      <c r="Y558" s="182"/>
      <c r="Z558" s="182"/>
    </row>
    <row r="559" spans="1:26" ht="15.75" customHeight="1">
      <c r="A559" s="182"/>
      <c r="B559" s="182"/>
      <c r="C559" s="182"/>
      <c r="D559" s="182"/>
      <c r="E559" s="182"/>
      <c r="F559" s="182"/>
      <c r="G559" s="182"/>
      <c r="H559" s="182"/>
      <c r="I559" s="182"/>
      <c r="J559" s="182"/>
      <c r="K559" s="182"/>
      <c r="L559" s="182"/>
      <c r="M559" s="182"/>
      <c r="N559" s="182"/>
      <c r="O559" s="182"/>
      <c r="P559" s="182"/>
      <c r="Q559" s="182"/>
      <c r="R559" s="182"/>
      <c r="S559" s="182"/>
      <c r="T559" s="182"/>
      <c r="U559" s="182"/>
      <c r="V559" s="182"/>
      <c r="W559" s="182"/>
      <c r="X559" s="182"/>
      <c r="Y559" s="182"/>
      <c r="Z559" s="182"/>
    </row>
    <row r="560" spans="1:26" ht="15.75" customHeight="1">
      <c r="A560" s="182"/>
      <c r="B560" s="182"/>
      <c r="C560" s="182"/>
      <c r="D560" s="182"/>
      <c r="E560" s="182"/>
      <c r="F560" s="182"/>
      <c r="G560" s="182"/>
      <c r="H560" s="182"/>
      <c r="I560" s="182"/>
      <c r="J560" s="182"/>
      <c r="K560" s="182"/>
      <c r="L560" s="182"/>
      <c r="M560" s="182"/>
      <c r="N560" s="182"/>
      <c r="O560" s="182"/>
      <c r="P560" s="182"/>
      <c r="Q560" s="182"/>
      <c r="R560" s="182"/>
      <c r="S560" s="182"/>
      <c r="T560" s="182"/>
      <c r="U560" s="182"/>
      <c r="V560" s="182"/>
      <c r="W560" s="182"/>
      <c r="X560" s="182"/>
      <c r="Y560" s="182"/>
      <c r="Z560" s="182"/>
    </row>
    <row r="561" spans="1:26" ht="15.75" customHeight="1">
      <c r="A561" s="182"/>
      <c r="B561" s="182"/>
      <c r="C561" s="182"/>
      <c r="D561" s="182"/>
      <c r="E561" s="182"/>
      <c r="F561" s="182"/>
      <c r="G561" s="182"/>
      <c r="H561" s="182"/>
      <c r="I561" s="182"/>
      <c r="J561" s="182"/>
      <c r="K561" s="182"/>
      <c r="L561" s="182"/>
      <c r="M561" s="182"/>
      <c r="N561" s="182"/>
      <c r="O561" s="182"/>
      <c r="P561" s="182"/>
      <c r="Q561" s="182"/>
      <c r="R561" s="182"/>
      <c r="S561" s="182"/>
      <c r="T561" s="182"/>
      <c r="U561" s="182"/>
      <c r="V561" s="182"/>
      <c r="W561" s="182"/>
      <c r="X561" s="182"/>
      <c r="Y561" s="182"/>
      <c r="Z561" s="182"/>
    </row>
    <row r="562" spans="1:26" ht="15.75" customHeight="1">
      <c r="A562" s="182"/>
      <c r="B562" s="182"/>
      <c r="C562" s="182"/>
      <c r="D562" s="182"/>
      <c r="E562" s="182"/>
      <c r="F562" s="182"/>
      <c r="G562" s="182"/>
      <c r="H562" s="182"/>
      <c r="I562" s="182"/>
      <c r="J562" s="182"/>
      <c r="K562" s="182"/>
      <c r="L562" s="182"/>
      <c r="M562" s="182"/>
      <c r="N562" s="182"/>
      <c r="O562" s="182"/>
      <c r="P562" s="182"/>
      <c r="Q562" s="182"/>
      <c r="R562" s="182"/>
      <c r="S562" s="182"/>
      <c r="T562" s="182"/>
      <c r="U562" s="182"/>
      <c r="V562" s="182"/>
      <c r="W562" s="182"/>
      <c r="X562" s="182"/>
      <c r="Y562" s="182"/>
      <c r="Z562" s="182"/>
    </row>
    <row r="563" spans="1:26" ht="15.75" customHeight="1">
      <c r="A563" s="182"/>
      <c r="B563" s="182"/>
      <c r="C563" s="182"/>
      <c r="D563" s="182"/>
      <c r="E563" s="182"/>
      <c r="F563" s="182"/>
      <c r="G563" s="182"/>
      <c r="H563" s="182"/>
      <c r="I563" s="182"/>
      <c r="J563" s="182"/>
      <c r="K563" s="182"/>
      <c r="L563" s="182"/>
      <c r="M563" s="182"/>
      <c r="N563" s="182"/>
      <c r="O563" s="182"/>
      <c r="P563" s="182"/>
      <c r="Q563" s="182"/>
      <c r="R563" s="182"/>
      <c r="S563" s="182"/>
      <c r="T563" s="182"/>
      <c r="U563" s="182"/>
      <c r="V563" s="182"/>
      <c r="W563" s="182"/>
      <c r="X563" s="182"/>
      <c r="Y563" s="182"/>
      <c r="Z563" s="182"/>
    </row>
    <row r="564" spans="1:26" ht="15.75" customHeight="1">
      <c r="A564" s="182"/>
      <c r="B564" s="182"/>
      <c r="C564" s="182"/>
      <c r="D564" s="182"/>
      <c r="E564" s="182"/>
      <c r="F564" s="182"/>
      <c r="G564" s="182"/>
      <c r="H564" s="182"/>
      <c r="I564" s="182"/>
      <c r="J564" s="182"/>
      <c r="K564" s="182"/>
      <c r="L564" s="182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  <c r="X564" s="182"/>
      <c r="Y564" s="182"/>
      <c r="Z564" s="182"/>
    </row>
    <row r="565" spans="1:26" ht="15.75" customHeight="1">
      <c r="A565" s="182"/>
      <c r="B565" s="182"/>
      <c r="C565" s="182"/>
      <c r="D565" s="182"/>
      <c r="E565" s="182"/>
      <c r="F565" s="182"/>
      <c r="G565" s="182"/>
      <c r="H565" s="182"/>
      <c r="I565" s="182"/>
      <c r="J565" s="182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</row>
    <row r="566" spans="1:26" ht="15.75" customHeight="1">
      <c r="A566" s="182"/>
      <c r="B566" s="182"/>
      <c r="C566" s="182"/>
      <c r="D566" s="182"/>
      <c r="E566" s="182"/>
      <c r="F566" s="182"/>
      <c r="G566" s="182"/>
      <c r="H566" s="182"/>
      <c r="I566" s="182"/>
      <c r="J566" s="182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</row>
    <row r="567" spans="1:26" ht="15.75" customHeight="1">
      <c r="A567" s="182"/>
      <c r="B567" s="182"/>
      <c r="C567" s="182"/>
      <c r="D567" s="182"/>
      <c r="E567" s="182"/>
      <c r="F567" s="182"/>
      <c r="G567" s="182"/>
      <c r="H567" s="182"/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</row>
    <row r="568" spans="1:26" ht="15.75" customHeight="1">
      <c r="A568" s="182"/>
      <c r="B568" s="182"/>
      <c r="C568" s="182"/>
      <c r="D568" s="182"/>
      <c r="E568" s="182"/>
      <c r="F568" s="182"/>
      <c r="G568" s="182"/>
      <c r="H568" s="182"/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</row>
    <row r="569" spans="1:26" ht="15.75" customHeight="1">
      <c r="A569" s="182"/>
      <c r="B569" s="182"/>
      <c r="C569" s="182"/>
      <c r="D569" s="182"/>
      <c r="E569" s="182"/>
      <c r="F569" s="182"/>
      <c r="G569" s="182"/>
      <c r="H569" s="182"/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</row>
    <row r="570" spans="1:26" ht="15.75" customHeight="1">
      <c r="A570" s="182"/>
      <c r="B570" s="182"/>
      <c r="C570" s="182"/>
      <c r="D570" s="182"/>
      <c r="E570" s="182"/>
      <c r="F570" s="182"/>
      <c r="G570" s="182"/>
      <c r="H570" s="182"/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</row>
    <row r="571" spans="1:26" ht="15.75" customHeight="1">
      <c r="A571" s="182"/>
      <c r="B571" s="182"/>
      <c r="C571" s="182"/>
      <c r="D571" s="182"/>
      <c r="E571" s="182"/>
      <c r="F571" s="182"/>
      <c r="G571" s="182"/>
      <c r="H571" s="182"/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</row>
    <row r="572" spans="1:26" ht="15.75" customHeight="1">
      <c r="A572" s="182"/>
      <c r="B572" s="182"/>
      <c r="C572" s="182"/>
      <c r="D572" s="182"/>
      <c r="E572" s="182"/>
      <c r="F572" s="182"/>
      <c r="G572" s="182"/>
      <c r="H572" s="182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</row>
    <row r="573" spans="1:26" ht="15.75" customHeight="1">
      <c r="A573" s="182"/>
      <c r="B573" s="182"/>
      <c r="C573" s="182"/>
      <c r="D573" s="182"/>
      <c r="E573" s="182"/>
      <c r="F573" s="182"/>
      <c r="G573" s="182"/>
      <c r="H573" s="182"/>
      <c r="I573" s="182"/>
      <c r="J573" s="182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</row>
    <row r="574" spans="1:26" ht="15.75" customHeight="1">
      <c r="A574" s="182"/>
      <c r="B574" s="182"/>
      <c r="C574" s="182"/>
      <c r="D574" s="182"/>
      <c r="E574" s="182"/>
      <c r="F574" s="182"/>
      <c r="G574" s="182"/>
      <c r="H574" s="182"/>
      <c r="I574" s="182"/>
      <c r="J574" s="182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</row>
    <row r="575" spans="1:26" ht="15.75" customHeight="1">
      <c r="A575" s="182"/>
      <c r="B575" s="182"/>
      <c r="C575" s="182"/>
      <c r="D575" s="182"/>
      <c r="E575" s="182"/>
      <c r="F575" s="182"/>
      <c r="G575" s="182"/>
      <c r="H575" s="182"/>
      <c r="I575" s="182"/>
      <c r="J575" s="182"/>
      <c r="K575" s="182"/>
      <c r="L575" s="182"/>
      <c r="M575" s="182"/>
      <c r="N575" s="182"/>
      <c r="O575" s="182"/>
      <c r="P575" s="182"/>
      <c r="Q575" s="182"/>
      <c r="R575" s="182"/>
      <c r="S575" s="182"/>
      <c r="T575" s="182"/>
      <c r="U575" s="182"/>
      <c r="V575" s="182"/>
      <c r="W575" s="182"/>
      <c r="X575" s="182"/>
      <c r="Y575" s="182"/>
      <c r="Z575" s="182"/>
    </row>
    <row r="576" spans="1:26" ht="15.75" customHeight="1">
      <c r="A576" s="182"/>
      <c r="B576" s="182"/>
      <c r="C576" s="182"/>
      <c r="D576" s="182"/>
      <c r="E576" s="182"/>
      <c r="F576" s="182"/>
      <c r="G576" s="182"/>
      <c r="H576" s="182"/>
      <c r="I576" s="182"/>
      <c r="J576" s="182"/>
      <c r="K576" s="182"/>
      <c r="L576" s="182"/>
      <c r="M576" s="182"/>
      <c r="N576" s="182"/>
      <c r="O576" s="182"/>
      <c r="P576" s="182"/>
      <c r="Q576" s="182"/>
      <c r="R576" s="182"/>
      <c r="S576" s="182"/>
      <c r="T576" s="182"/>
      <c r="U576" s="182"/>
      <c r="V576" s="182"/>
      <c r="W576" s="182"/>
      <c r="X576" s="182"/>
      <c r="Y576" s="182"/>
      <c r="Z576" s="182"/>
    </row>
    <row r="577" spans="1:26" ht="15.75" customHeight="1">
      <c r="A577" s="182"/>
      <c r="B577" s="182"/>
      <c r="C577" s="182"/>
      <c r="D577" s="182"/>
      <c r="E577" s="182"/>
      <c r="F577" s="182"/>
      <c r="G577" s="182"/>
      <c r="H577" s="182"/>
      <c r="I577" s="182"/>
      <c r="J577" s="182"/>
      <c r="K577" s="182"/>
      <c r="L577" s="182"/>
      <c r="M577" s="182"/>
      <c r="N577" s="182"/>
      <c r="O577" s="182"/>
      <c r="P577" s="182"/>
      <c r="Q577" s="182"/>
      <c r="R577" s="182"/>
      <c r="S577" s="182"/>
      <c r="T577" s="182"/>
      <c r="U577" s="182"/>
      <c r="V577" s="182"/>
      <c r="W577" s="182"/>
      <c r="X577" s="182"/>
      <c r="Y577" s="182"/>
      <c r="Z577" s="182"/>
    </row>
    <row r="578" spans="1:26" ht="15.75" customHeight="1">
      <c r="A578" s="182"/>
      <c r="B578" s="182"/>
      <c r="C578" s="182"/>
      <c r="D578" s="182"/>
      <c r="E578" s="182"/>
      <c r="F578" s="182"/>
      <c r="G578" s="182"/>
      <c r="H578" s="182"/>
      <c r="I578" s="182"/>
      <c r="J578" s="182"/>
      <c r="K578" s="182"/>
      <c r="L578" s="182"/>
      <c r="M578" s="182"/>
      <c r="N578" s="182"/>
      <c r="O578" s="182"/>
      <c r="P578" s="182"/>
      <c r="Q578" s="182"/>
      <c r="R578" s="182"/>
      <c r="S578" s="182"/>
      <c r="T578" s="182"/>
      <c r="U578" s="182"/>
      <c r="V578" s="182"/>
      <c r="W578" s="182"/>
      <c r="X578" s="182"/>
      <c r="Y578" s="182"/>
      <c r="Z578" s="182"/>
    </row>
    <row r="579" spans="1:26" ht="15.75" customHeight="1">
      <c r="A579" s="182"/>
      <c r="B579" s="182"/>
      <c r="C579" s="182"/>
      <c r="D579" s="182"/>
      <c r="E579" s="182"/>
      <c r="F579" s="182"/>
      <c r="G579" s="182"/>
      <c r="H579" s="182"/>
      <c r="I579" s="182"/>
      <c r="J579" s="182"/>
      <c r="K579" s="182"/>
      <c r="L579" s="182"/>
      <c r="M579" s="182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</row>
    <row r="580" spans="1:26" ht="15.75" customHeight="1">
      <c r="A580" s="182"/>
      <c r="B580" s="182"/>
      <c r="C580" s="182"/>
      <c r="D580" s="182"/>
      <c r="E580" s="182"/>
      <c r="F580" s="182"/>
      <c r="G580" s="182"/>
      <c r="H580" s="182"/>
      <c r="I580" s="182"/>
      <c r="J580" s="182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</row>
    <row r="581" spans="1:26" ht="15.75" customHeight="1">
      <c r="A581" s="182"/>
      <c r="B581" s="182"/>
      <c r="C581" s="182"/>
      <c r="D581" s="182"/>
      <c r="E581" s="182"/>
      <c r="F581" s="182"/>
      <c r="G581" s="182"/>
      <c r="H581" s="182"/>
      <c r="I581" s="182"/>
      <c r="J581" s="182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</row>
    <row r="582" spans="1:26" ht="15.75" customHeight="1">
      <c r="A582" s="182"/>
      <c r="B582" s="182"/>
      <c r="C582" s="182"/>
      <c r="D582" s="182"/>
      <c r="E582" s="182"/>
      <c r="F582" s="182"/>
      <c r="G582" s="182"/>
      <c r="H582" s="182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</row>
    <row r="583" spans="1:26" ht="15.75" customHeight="1">
      <c r="A583" s="182"/>
      <c r="B583" s="182"/>
      <c r="C583" s="182"/>
      <c r="D583" s="182"/>
      <c r="E583" s="182"/>
      <c r="F583" s="182"/>
      <c r="G583" s="182"/>
      <c r="H583" s="182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</row>
    <row r="584" spans="1:26" ht="15.75" customHeight="1">
      <c r="A584" s="182"/>
      <c r="B584" s="182"/>
      <c r="C584" s="182"/>
      <c r="D584" s="182"/>
      <c r="E584" s="182"/>
      <c r="F584" s="182"/>
      <c r="G584" s="182"/>
      <c r="H584" s="182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</row>
    <row r="585" spans="1:26" ht="15.75" customHeight="1">
      <c r="A585" s="182"/>
      <c r="B585" s="182"/>
      <c r="C585" s="182"/>
      <c r="D585" s="182"/>
      <c r="E585" s="182"/>
      <c r="F585" s="182"/>
      <c r="G585" s="182"/>
      <c r="H585" s="182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</row>
    <row r="586" spans="1:26" ht="15.75" customHeight="1">
      <c r="A586" s="182"/>
      <c r="B586" s="182"/>
      <c r="C586" s="182"/>
      <c r="D586" s="182"/>
      <c r="E586" s="182"/>
      <c r="F586" s="182"/>
      <c r="G586" s="182"/>
      <c r="H586" s="182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</row>
    <row r="587" spans="1:26" ht="15.75" customHeight="1">
      <c r="A587" s="182"/>
      <c r="B587" s="182"/>
      <c r="C587" s="182"/>
      <c r="D587" s="182"/>
      <c r="E587" s="182"/>
      <c r="F587" s="182"/>
      <c r="G587" s="182"/>
      <c r="H587" s="182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</row>
    <row r="588" spans="1:26" ht="15.75" customHeight="1">
      <c r="A588" s="182"/>
      <c r="B588" s="182"/>
      <c r="C588" s="182"/>
      <c r="D588" s="182"/>
      <c r="E588" s="182"/>
      <c r="F588" s="182"/>
      <c r="G588" s="182"/>
      <c r="H588" s="182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</row>
    <row r="589" spans="1:26" ht="15.75" customHeight="1">
      <c r="A589" s="182"/>
      <c r="B589" s="182"/>
      <c r="C589" s="182"/>
      <c r="D589" s="182"/>
      <c r="E589" s="182"/>
      <c r="F589" s="182"/>
      <c r="G589" s="182"/>
      <c r="H589" s="182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</row>
    <row r="590" spans="1:26" ht="15.75" customHeight="1">
      <c r="A590" s="182"/>
      <c r="B590" s="182"/>
      <c r="C590" s="182"/>
      <c r="D590" s="182"/>
      <c r="E590" s="182"/>
      <c r="F590" s="182"/>
      <c r="G590" s="182"/>
      <c r="H590" s="182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</row>
    <row r="591" spans="1:26" ht="15.75" customHeight="1">
      <c r="A591" s="182"/>
      <c r="B591" s="182"/>
      <c r="C591" s="182"/>
      <c r="D591" s="182"/>
      <c r="E591" s="182"/>
      <c r="F591" s="182"/>
      <c r="G591" s="182"/>
      <c r="H591" s="182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</row>
    <row r="592" spans="1:26" ht="15.75" customHeight="1">
      <c r="A592" s="182"/>
      <c r="B592" s="182"/>
      <c r="C592" s="182"/>
      <c r="D592" s="182"/>
      <c r="E592" s="182"/>
      <c r="F592" s="182"/>
      <c r="G592" s="182"/>
      <c r="H592" s="182"/>
      <c r="I592" s="182"/>
      <c r="J592" s="182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</row>
    <row r="593" spans="1:26" ht="15.75" customHeight="1">
      <c r="A593" s="182"/>
      <c r="B593" s="182"/>
      <c r="C593" s="182"/>
      <c r="D593" s="182"/>
      <c r="E593" s="182"/>
      <c r="F593" s="182"/>
      <c r="G593" s="182"/>
      <c r="H593" s="182"/>
      <c r="I593" s="182"/>
      <c r="J593" s="182"/>
      <c r="K593" s="182"/>
      <c r="L593" s="182"/>
      <c r="M593" s="182"/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  <c r="X593" s="182"/>
      <c r="Y593" s="182"/>
      <c r="Z593" s="182"/>
    </row>
    <row r="594" spans="1:26" ht="15.75" customHeight="1">
      <c r="A594" s="182"/>
      <c r="B594" s="182"/>
      <c r="C594" s="182"/>
      <c r="D594" s="182"/>
      <c r="E594" s="182"/>
      <c r="F594" s="182"/>
      <c r="G594" s="182"/>
      <c r="H594" s="182"/>
      <c r="I594" s="182"/>
      <c r="J594" s="182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</row>
    <row r="595" spans="1:26" ht="15.75" customHeight="1">
      <c r="A595" s="182"/>
      <c r="B595" s="182"/>
      <c r="C595" s="182"/>
      <c r="D595" s="182"/>
      <c r="E595" s="182"/>
      <c r="F595" s="182"/>
      <c r="G595" s="182"/>
      <c r="H595" s="182"/>
      <c r="I595" s="182"/>
      <c r="J595" s="182"/>
      <c r="K595" s="182"/>
      <c r="L595" s="182"/>
      <c r="M595" s="182"/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  <c r="X595" s="182"/>
      <c r="Y595" s="182"/>
      <c r="Z595" s="182"/>
    </row>
    <row r="596" spans="1:26" ht="15.75" customHeight="1">
      <c r="A596" s="182"/>
      <c r="B596" s="182"/>
      <c r="C596" s="182"/>
      <c r="D596" s="182"/>
      <c r="E596" s="182"/>
      <c r="F596" s="182"/>
      <c r="G596" s="182"/>
      <c r="H596" s="182"/>
      <c r="I596" s="182"/>
      <c r="J596" s="182"/>
      <c r="K596" s="182"/>
      <c r="L596" s="182"/>
      <c r="M596" s="182"/>
      <c r="N596" s="182"/>
      <c r="O596" s="182"/>
      <c r="P596" s="182"/>
      <c r="Q596" s="182"/>
      <c r="R596" s="182"/>
      <c r="S596" s="182"/>
      <c r="T596" s="182"/>
      <c r="U596" s="182"/>
      <c r="V596" s="182"/>
      <c r="W596" s="182"/>
      <c r="X596" s="182"/>
      <c r="Y596" s="182"/>
      <c r="Z596" s="182"/>
    </row>
    <row r="597" spans="1:26" ht="15.75" customHeight="1">
      <c r="A597" s="182"/>
      <c r="B597" s="182"/>
      <c r="C597" s="182"/>
      <c r="D597" s="182"/>
      <c r="E597" s="182"/>
      <c r="F597" s="182"/>
      <c r="G597" s="182"/>
      <c r="H597" s="182"/>
      <c r="I597" s="182"/>
      <c r="J597" s="182"/>
      <c r="K597" s="182"/>
      <c r="L597" s="182"/>
      <c r="M597" s="182"/>
      <c r="N597" s="182"/>
      <c r="O597" s="182"/>
      <c r="P597" s="182"/>
      <c r="Q597" s="182"/>
      <c r="R597" s="182"/>
      <c r="S597" s="182"/>
      <c r="T597" s="182"/>
      <c r="U597" s="182"/>
      <c r="V597" s="182"/>
      <c r="W597" s="182"/>
      <c r="X597" s="182"/>
      <c r="Y597" s="182"/>
      <c r="Z597" s="182"/>
    </row>
    <row r="598" spans="1:26" ht="15.75" customHeight="1">
      <c r="A598" s="182"/>
      <c r="B598" s="182"/>
      <c r="C598" s="182"/>
      <c r="D598" s="182"/>
      <c r="E598" s="182"/>
      <c r="F598" s="182"/>
      <c r="G598" s="182"/>
      <c r="H598" s="182"/>
      <c r="I598" s="182"/>
      <c r="J598" s="182"/>
      <c r="K598" s="182"/>
      <c r="L598" s="182"/>
      <c r="M598" s="182"/>
      <c r="N598" s="182"/>
      <c r="O598" s="182"/>
      <c r="P598" s="182"/>
      <c r="Q598" s="182"/>
      <c r="R598" s="182"/>
      <c r="S598" s="182"/>
      <c r="T598" s="182"/>
      <c r="U598" s="182"/>
      <c r="V598" s="182"/>
      <c r="W598" s="182"/>
      <c r="X598" s="182"/>
      <c r="Y598" s="182"/>
      <c r="Z598" s="182"/>
    </row>
    <row r="599" spans="1:26" ht="15.75" customHeight="1">
      <c r="A599" s="182"/>
      <c r="B599" s="182"/>
      <c r="C599" s="182"/>
      <c r="D599" s="182"/>
      <c r="E599" s="182"/>
      <c r="F599" s="182"/>
      <c r="G599" s="182"/>
      <c r="H599" s="182"/>
      <c r="I599" s="182"/>
      <c r="J599" s="182"/>
      <c r="K599" s="182"/>
      <c r="L599" s="182"/>
      <c r="M599" s="182"/>
      <c r="N599" s="182"/>
      <c r="O599" s="182"/>
      <c r="P599" s="182"/>
      <c r="Q599" s="182"/>
      <c r="R599" s="182"/>
      <c r="S599" s="182"/>
      <c r="T599" s="182"/>
      <c r="U599" s="182"/>
      <c r="V599" s="182"/>
      <c r="W599" s="182"/>
      <c r="X599" s="182"/>
      <c r="Y599" s="182"/>
      <c r="Z599" s="182"/>
    </row>
    <row r="600" spans="1:26" ht="15.75" customHeight="1">
      <c r="A600" s="182"/>
      <c r="B600" s="182"/>
      <c r="C600" s="182"/>
      <c r="D600" s="182"/>
      <c r="E600" s="182"/>
      <c r="F600" s="182"/>
      <c r="G600" s="182"/>
      <c r="H600" s="182"/>
      <c r="I600" s="182"/>
      <c r="J600" s="182"/>
      <c r="K600" s="182"/>
      <c r="L600" s="182"/>
      <c r="M600" s="182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</row>
    <row r="601" spans="1:26" ht="15.75" customHeight="1">
      <c r="A601" s="182"/>
      <c r="B601" s="182"/>
      <c r="C601" s="182"/>
      <c r="D601" s="182"/>
      <c r="E601" s="182"/>
      <c r="F601" s="182"/>
      <c r="G601" s="182"/>
      <c r="H601" s="182"/>
      <c r="I601" s="182"/>
      <c r="J601" s="182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</row>
    <row r="602" spans="1:26" ht="15.75" customHeight="1">
      <c r="A602" s="182"/>
      <c r="B602" s="182"/>
      <c r="C602" s="182"/>
      <c r="D602" s="182"/>
      <c r="E602" s="182"/>
      <c r="F602" s="182"/>
      <c r="G602" s="182"/>
      <c r="H602" s="182"/>
      <c r="I602" s="182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</row>
    <row r="603" spans="1:26" ht="15.75" customHeight="1">
      <c r="A603" s="182"/>
      <c r="B603" s="182"/>
      <c r="C603" s="182"/>
      <c r="D603" s="182"/>
      <c r="E603" s="182"/>
      <c r="F603" s="182"/>
      <c r="G603" s="182"/>
      <c r="H603" s="182"/>
      <c r="I603" s="182"/>
      <c r="J603" s="182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</row>
    <row r="604" spans="1:26" ht="15.75" customHeight="1">
      <c r="A604" s="182"/>
      <c r="B604" s="182"/>
      <c r="C604" s="182"/>
      <c r="D604" s="182"/>
      <c r="E604" s="182"/>
      <c r="F604" s="182"/>
      <c r="G604" s="182"/>
      <c r="H604" s="182"/>
      <c r="I604" s="182"/>
      <c r="J604" s="182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</row>
    <row r="605" spans="1:26" ht="15.75" customHeight="1">
      <c r="A605" s="182"/>
      <c r="B605" s="182"/>
      <c r="C605" s="182"/>
      <c r="D605" s="182"/>
      <c r="E605" s="182"/>
      <c r="F605" s="182"/>
      <c r="G605" s="182"/>
      <c r="H605" s="182"/>
      <c r="I605" s="182"/>
      <c r="J605" s="182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</row>
    <row r="606" spans="1:26" ht="15.75" customHeight="1">
      <c r="A606" s="182"/>
      <c r="B606" s="182"/>
      <c r="C606" s="182"/>
      <c r="D606" s="182"/>
      <c r="E606" s="182"/>
      <c r="F606" s="182"/>
      <c r="G606" s="182"/>
      <c r="H606" s="182"/>
      <c r="I606" s="182"/>
      <c r="J606" s="182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</row>
    <row r="607" spans="1:26" ht="15.75" customHeight="1">
      <c r="A607" s="182"/>
      <c r="B607" s="182"/>
      <c r="C607" s="182"/>
      <c r="D607" s="182"/>
      <c r="E607" s="182"/>
      <c r="F607" s="182"/>
      <c r="G607" s="182"/>
      <c r="H607" s="182"/>
      <c r="I607" s="182"/>
      <c r="J607" s="182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</row>
    <row r="608" spans="1:26" ht="15.75" customHeight="1">
      <c r="A608" s="182"/>
      <c r="B608" s="182"/>
      <c r="C608" s="182"/>
      <c r="D608" s="182"/>
      <c r="E608" s="182"/>
      <c r="F608" s="182"/>
      <c r="G608" s="182"/>
      <c r="H608" s="182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</row>
    <row r="609" spans="1:26" ht="15.75" customHeight="1">
      <c r="A609" s="182"/>
      <c r="B609" s="182"/>
      <c r="C609" s="182"/>
      <c r="D609" s="182"/>
      <c r="E609" s="182"/>
      <c r="F609" s="182"/>
      <c r="G609" s="182"/>
      <c r="H609" s="182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</row>
    <row r="610" spans="1:26" ht="15.75" customHeight="1">
      <c r="A610" s="182"/>
      <c r="B610" s="182"/>
      <c r="C610" s="182"/>
      <c r="D610" s="182"/>
      <c r="E610" s="182"/>
      <c r="F610" s="182"/>
      <c r="G610" s="182"/>
      <c r="H610" s="182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</row>
    <row r="611" spans="1:26" ht="15.75" customHeight="1">
      <c r="A611" s="182"/>
      <c r="B611" s="182"/>
      <c r="C611" s="182"/>
      <c r="D611" s="182"/>
      <c r="E611" s="182"/>
      <c r="F611" s="182"/>
      <c r="G611" s="182"/>
      <c r="H611" s="182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</row>
    <row r="612" spans="1:26" ht="15.75" customHeight="1">
      <c r="A612" s="182"/>
      <c r="B612" s="182"/>
      <c r="C612" s="182"/>
      <c r="D612" s="182"/>
      <c r="E612" s="182"/>
      <c r="F612" s="182"/>
      <c r="G612" s="182"/>
      <c r="H612" s="182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</row>
    <row r="613" spans="1:26" ht="15.75" customHeight="1">
      <c r="A613" s="182"/>
      <c r="B613" s="182"/>
      <c r="C613" s="182"/>
      <c r="D613" s="182"/>
      <c r="E613" s="182"/>
      <c r="F613" s="182"/>
      <c r="G613" s="182"/>
      <c r="H613" s="182"/>
      <c r="I613" s="182"/>
      <c r="J613" s="182"/>
      <c r="K613" s="182"/>
      <c r="L613" s="182"/>
      <c r="M613" s="182"/>
      <c r="N613" s="182"/>
      <c r="O613" s="182"/>
      <c r="P613" s="182"/>
      <c r="Q613" s="182"/>
      <c r="R613" s="182"/>
      <c r="S613" s="182"/>
      <c r="T613" s="182"/>
      <c r="U613" s="182"/>
      <c r="V613" s="182"/>
      <c r="W613" s="182"/>
      <c r="X613" s="182"/>
      <c r="Y613" s="182"/>
      <c r="Z613" s="182"/>
    </row>
    <row r="614" spans="1:26" ht="15.75" customHeight="1">
      <c r="A614" s="182"/>
      <c r="B614" s="182"/>
      <c r="C614" s="182"/>
      <c r="D614" s="182"/>
      <c r="E614" s="182"/>
      <c r="F614" s="182"/>
      <c r="G614" s="182"/>
      <c r="H614" s="182"/>
      <c r="I614" s="182"/>
      <c r="J614" s="182"/>
      <c r="K614" s="182"/>
      <c r="L614" s="182"/>
      <c r="M614" s="182"/>
      <c r="N614" s="182"/>
      <c r="O614" s="182"/>
      <c r="P614" s="182"/>
      <c r="Q614" s="182"/>
      <c r="R614" s="182"/>
      <c r="S614" s="182"/>
      <c r="T614" s="182"/>
      <c r="U614" s="182"/>
      <c r="V614" s="182"/>
      <c r="W614" s="182"/>
      <c r="X614" s="182"/>
      <c r="Y614" s="182"/>
      <c r="Z614" s="182"/>
    </row>
    <row r="615" spans="1:26" ht="15.75" customHeight="1">
      <c r="A615" s="182"/>
      <c r="B615" s="182"/>
      <c r="C615" s="182"/>
      <c r="D615" s="182"/>
      <c r="E615" s="182"/>
      <c r="F615" s="182"/>
      <c r="G615" s="182"/>
      <c r="H615" s="182"/>
      <c r="I615" s="182"/>
      <c r="J615" s="182"/>
      <c r="K615" s="182"/>
      <c r="L615" s="182"/>
      <c r="M615" s="182"/>
      <c r="N615" s="182"/>
      <c r="O615" s="182"/>
      <c r="P615" s="182"/>
      <c r="Q615" s="182"/>
      <c r="R615" s="182"/>
      <c r="S615" s="182"/>
      <c r="T615" s="182"/>
      <c r="U615" s="182"/>
      <c r="V615" s="182"/>
      <c r="W615" s="182"/>
      <c r="X615" s="182"/>
      <c r="Y615" s="182"/>
      <c r="Z615" s="182"/>
    </row>
    <row r="616" spans="1:26" ht="15.75" customHeight="1">
      <c r="A616" s="182"/>
      <c r="B616" s="182"/>
      <c r="C616" s="182"/>
      <c r="D616" s="182"/>
      <c r="E616" s="182"/>
      <c r="F616" s="182"/>
      <c r="G616" s="182"/>
      <c r="H616" s="182"/>
      <c r="I616" s="182"/>
      <c r="J616" s="182"/>
      <c r="K616" s="182"/>
      <c r="L616" s="182"/>
      <c r="M616" s="182"/>
      <c r="N616" s="182"/>
      <c r="O616" s="182"/>
      <c r="P616" s="182"/>
      <c r="Q616" s="182"/>
      <c r="R616" s="182"/>
      <c r="S616" s="182"/>
      <c r="T616" s="182"/>
      <c r="U616" s="182"/>
      <c r="V616" s="182"/>
      <c r="W616" s="182"/>
      <c r="X616" s="182"/>
      <c r="Y616" s="182"/>
      <c r="Z616" s="182"/>
    </row>
    <row r="617" spans="1:26" ht="15.75" customHeight="1">
      <c r="A617" s="182"/>
      <c r="B617" s="182"/>
      <c r="C617" s="182"/>
      <c r="D617" s="182"/>
      <c r="E617" s="182"/>
      <c r="F617" s="182"/>
      <c r="G617" s="182"/>
      <c r="H617" s="182"/>
      <c r="I617" s="182"/>
      <c r="J617" s="182"/>
      <c r="K617" s="182"/>
      <c r="L617" s="182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  <c r="X617" s="182"/>
      <c r="Y617" s="182"/>
      <c r="Z617" s="182"/>
    </row>
    <row r="618" spans="1:26" ht="15.75" customHeight="1">
      <c r="A618" s="182"/>
      <c r="B618" s="182"/>
      <c r="C618" s="182"/>
      <c r="D618" s="182"/>
      <c r="E618" s="182"/>
      <c r="F618" s="182"/>
      <c r="G618" s="182"/>
      <c r="H618" s="182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</row>
    <row r="619" spans="1:26" ht="15.75" customHeight="1">
      <c r="A619" s="182"/>
      <c r="B619" s="182"/>
      <c r="C619" s="182"/>
      <c r="D619" s="182"/>
      <c r="E619" s="182"/>
      <c r="F619" s="182"/>
      <c r="G619" s="182"/>
      <c r="H619" s="182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</row>
    <row r="620" spans="1:26" ht="15.75" customHeight="1">
      <c r="A620" s="182"/>
      <c r="B620" s="182"/>
      <c r="C620" s="182"/>
      <c r="D620" s="182"/>
      <c r="E620" s="182"/>
      <c r="F620" s="182"/>
      <c r="G620" s="182"/>
      <c r="H620" s="182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</row>
    <row r="621" spans="1:26" ht="15.75" customHeight="1">
      <c r="A621" s="182"/>
      <c r="B621" s="182"/>
      <c r="C621" s="182"/>
      <c r="D621" s="182"/>
      <c r="E621" s="182"/>
      <c r="F621" s="182"/>
      <c r="G621" s="182"/>
      <c r="H621" s="182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</row>
    <row r="622" spans="1:26" ht="15.75" customHeight="1">
      <c r="A622" s="182"/>
      <c r="B622" s="182"/>
      <c r="C622" s="182"/>
      <c r="D622" s="182"/>
      <c r="E622" s="182"/>
      <c r="F622" s="182"/>
      <c r="G622" s="182"/>
      <c r="H622" s="182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</row>
    <row r="623" spans="1:26" ht="15.75" customHeight="1">
      <c r="A623" s="182"/>
      <c r="B623" s="182"/>
      <c r="C623" s="182"/>
      <c r="D623" s="182"/>
      <c r="E623" s="182"/>
      <c r="F623" s="182"/>
      <c r="G623" s="182"/>
      <c r="H623" s="182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</row>
    <row r="624" spans="1:26" ht="15.75" customHeight="1">
      <c r="A624" s="182"/>
      <c r="B624" s="182"/>
      <c r="C624" s="182"/>
      <c r="D624" s="182"/>
      <c r="E624" s="182"/>
      <c r="F624" s="182"/>
      <c r="G624" s="182"/>
      <c r="H624" s="182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</row>
    <row r="625" spans="1:26" ht="15.75" customHeight="1">
      <c r="A625" s="182"/>
      <c r="B625" s="182"/>
      <c r="C625" s="182"/>
      <c r="D625" s="182"/>
      <c r="E625" s="182"/>
      <c r="F625" s="182"/>
      <c r="G625" s="182"/>
      <c r="H625" s="182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</row>
    <row r="626" spans="1:26" ht="15.75" customHeight="1">
      <c r="A626" s="182"/>
      <c r="B626" s="182"/>
      <c r="C626" s="182"/>
      <c r="D626" s="182"/>
      <c r="E626" s="182"/>
      <c r="F626" s="182"/>
      <c r="G626" s="182"/>
      <c r="H626" s="182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</row>
    <row r="627" spans="1:26" ht="15.75" customHeight="1">
      <c r="A627" s="182"/>
      <c r="B627" s="182"/>
      <c r="C627" s="182"/>
      <c r="D627" s="182"/>
      <c r="E627" s="182"/>
      <c r="F627" s="182"/>
      <c r="G627" s="182"/>
      <c r="H627" s="182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</row>
    <row r="628" spans="1:26" ht="15.75" customHeight="1">
      <c r="A628" s="182"/>
      <c r="B628" s="182"/>
      <c r="C628" s="182"/>
      <c r="D628" s="182"/>
      <c r="E628" s="182"/>
      <c r="F628" s="182"/>
      <c r="G628" s="182"/>
      <c r="H628" s="182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</row>
    <row r="629" spans="1:26" ht="15.75" customHeight="1">
      <c r="A629" s="182"/>
      <c r="B629" s="182"/>
      <c r="C629" s="182"/>
      <c r="D629" s="182"/>
      <c r="E629" s="182"/>
      <c r="F629" s="182"/>
      <c r="G629" s="182"/>
      <c r="H629" s="182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</row>
    <row r="630" spans="1:26" ht="15.75" customHeight="1">
      <c r="A630" s="182"/>
      <c r="B630" s="182"/>
      <c r="C630" s="182"/>
      <c r="D630" s="182"/>
      <c r="E630" s="182"/>
      <c r="F630" s="182"/>
      <c r="G630" s="182"/>
      <c r="H630" s="182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</row>
    <row r="631" spans="1:26" ht="15.75" customHeight="1">
      <c r="A631" s="182"/>
      <c r="B631" s="182"/>
      <c r="C631" s="182"/>
      <c r="D631" s="182"/>
      <c r="E631" s="182"/>
      <c r="F631" s="182"/>
      <c r="G631" s="182"/>
      <c r="H631" s="182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</row>
    <row r="632" spans="1:26" ht="15.75" customHeight="1">
      <c r="A632" s="182"/>
      <c r="B632" s="182"/>
      <c r="C632" s="182"/>
      <c r="D632" s="182"/>
      <c r="E632" s="182"/>
      <c r="F632" s="182"/>
      <c r="G632" s="182"/>
      <c r="H632" s="182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</row>
    <row r="633" spans="1:26" ht="15.75" customHeight="1">
      <c r="A633" s="182"/>
      <c r="B633" s="182"/>
      <c r="C633" s="182"/>
      <c r="D633" s="182"/>
      <c r="E633" s="182"/>
      <c r="F633" s="182"/>
      <c r="G633" s="182"/>
      <c r="H633" s="182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</row>
    <row r="634" spans="1:26" ht="15.75" customHeight="1">
      <c r="A634" s="182"/>
      <c r="B634" s="182"/>
      <c r="C634" s="182"/>
      <c r="D634" s="182"/>
      <c r="E634" s="182"/>
      <c r="F634" s="182"/>
      <c r="G634" s="182"/>
      <c r="H634" s="182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</row>
    <row r="635" spans="1:26" ht="15.75" customHeight="1">
      <c r="A635" s="182"/>
      <c r="B635" s="182"/>
      <c r="C635" s="182"/>
      <c r="D635" s="182"/>
      <c r="E635" s="182"/>
      <c r="F635" s="182"/>
      <c r="G635" s="182"/>
      <c r="H635" s="182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</row>
    <row r="636" spans="1:26" ht="15.75" customHeight="1">
      <c r="A636" s="182"/>
      <c r="B636" s="182"/>
      <c r="C636" s="182"/>
      <c r="D636" s="182"/>
      <c r="E636" s="182"/>
      <c r="F636" s="182"/>
      <c r="G636" s="182"/>
      <c r="H636" s="182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</row>
    <row r="637" spans="1:26" ht="15.75" customHeight="1">
      <c r="A637" s="182"/>
      <c r="B637" s="182"/>
      <c r="C637" s="182"/>
      <c r="D637" s="182"/>
      <c r="E637" s="182"/>
      <c r="F637" s="182"/>
      <c r="G637" s="182"/>
      <c r="H637" s="182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</row>
    <row r="638" spans="1:26" ht="15.75" customHeight="1">
      <c r="A638" s="182"/>
      <c r="B638" s="182"/>
      <c r="C638" s="182"/>
      <c r="D638" s="182"/>
      <c r="E638" s="182"/>
      <c r="F638" s="182"/>
      <c r="G638" s="182"/>
      <c r="H638" s="182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</row>
    <row r="639" spans="1:26" ht="15.75" customHeight="1">
      <c r="A639" s="182"/>
      <c r="B639" s="182"/>
      <c r="C639" s="182"/>
      <c r="D639" s="182"/>
      <c r="E639" s="182"/>
      <c r="F639" s="182"/>
      <c r="G639" s="182"/>
      <c r="H639" s="182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</row>
    <row r="640" spans="1:26" ht="15.75" customHeight="1">
      <c r="A640" s="182"/>
      <c r="B640" s="182"/>
      <c r="C640" s="182"/>
      <c r="D640" s="182"/>
      <c r="E640" s="182"/>
      <c r="F640" s="182"/>
      <c r="G640" s="182"/>
      <c r="H640" s="182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</row>
    <row r="641" spans="1:26" ht="15.75" customHeight="1">
      <c r="A641" s="182"/>
      <c r="B641" s="182"/>
      <c r="C641" s="182"/>
      <c r="D641" s="182"/>
      <c r="E641" s="182"/>
      <c r="F641" s="182"/>
      <c r="G641" s="182"/>
      <c r="H641" s="182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</row>
    <row r="642" spans="1:26" ht="15.75" customHeight="1">
      <c r="A642" s="182"/>
      <c r="B642" s="182"/>
      <c r="C642" s="182"/>
      <c r="D642" s="182"/>
      <c r="E642" s="182"/>
      <c r="F642" s="182"/>
      <c r="G642" s="182"/>
      <c r="H642" s="182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</row>
    <row r="643" spans="1:26" ht="15.75" customHeight="1">
      <c r="A643" s="182"/>
      <c r="B643" s="182"/>
      <c r="C643" s="182"/>
      <c r="D643" s="182"/>
      <c r="E643" s="182"/>
      <c r="F643" s="182"/>
      <c r="G643" s="182"/>
      <c r="H643" s="182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</row>
    <row r="644" spans="1:26" ht="15.75" customHeight="1">
      <c r="A644" s="182"/>
      <c r="B644" s="182"/>
      <c r="C644" s="182"/>
      <c r="D644" s="182"/>
      <c r="E644" s="182"/>
      <c r="F644" s="182"/>
      <c r="G644" s="182"/>
      <c r="H644" s="182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</row>
    <row r="645" spans="1:26" ht="15.75" customHeight="1">
      <c r="A645" s="182"/>
      <c r="B645" s="182"/>
      <c r="C645" s="182"/>
      <c r="D645" s="182"/>
      <c r="E645" s="182"/>
      <c r="F645" s="182"/>
      <c r="G645" s="182"/>
      <c r="H645" s="182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</row>
    <row r="646" spans="1:26" ht="15.75" customHeight="1">
      <c r="A646" s="182"/>
      <c r="B646" s="182"/>
      <c r="C646" s="182"/>
      <c r="D646" s="182"/>
      <c r="E646" s="182"/>
      <c r="F646" s="182"/>
      <c r="G646" s="182"/>
      <c r="H646" s="182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</row>
    <row r="647" spans="1:26" ht="15.75" customHeight="1">
      <c r="A647" s="182"/>
      <c r="B647" s="182"/>
      <c r="C647" s="182"/>
      <c r="D647" s="182"/>
      <c r="E647" s="182"/>
      <c r="F647" s="182"/>
      <c r="G647" s="182"/>
      <c r="H647" s="182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</row>
    <row r="648" spans="1:26" ht="15.75" customHeight="1">
      <c r="A648" s="182"/>
      <c r="B648" s="182"/>
      <c r="C648" s="182"/>
      <c r="D648" s="182"/>
      <c r="E648" s="182"/>
      <c r="F648" s="182"/>
      <c r="G648" s="182"/>
      <c r="H648" s="182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</row>
    <row r="649" spans="1:26" ht="15.75" customHeight="1">
      <c r="A649" s="182"/>
      <c r="B649" s="182"/>
      <c r="C649" s="182"/>
      <c r="D649" s="182"/>
      <c r="E649" s="182"/>
      <c r="F649" s="182"/>
      <c r="G649" s="182"/>
      <c r="H649" s="182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</row>
    <row r="650" spans="1:26" ht="15.75" customHeight="1">
      <c r="A650" s="182"/>
      <c r="B650" s="182"/>
      <c r="C650" s="182"/>
      <c r="D650" s="182"/>
      <c r="E650" s="182"/>
      <c r="F650" s="182"/>
      <c r="G650" s="182"/>
      <c r="H650" s="182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</row>
    <row r="651" spans="1:26" ht="15.75" customHeight="1">
      <c r="A651" s="182"/>
      <c r="B651" s="182"/>
      <c r="C651" s="182"/>
      <c r="D651" s="182"/>
      <c r="E651" s="182"/>
      <c r="F651" s="182"/>
      <c r="G651" s="182"/>
      <c r="H651" s="182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</row>
    <row r="652" spans="1:26" ht="15.75" customHeight="1">
      <c r="A652" s="182"/>
      <c r="B652" s="182"/>
      <c r="C652" s="182"/>
      <c r="D652" s="182"/>
      <c r="E652" s="182"/>
      <c r="F652" s="182"/>
      <c r="G652" s="182"/>
      <c r="H652" s="182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</row>
    <row r="653" spans="1:26" ht="15.75" customHeight="1">
      <c r="A653" s="182"/>
      <c r="B653" s="182"/>
      <c r="C653" s="182"/>
      <c r="D653" s="182"/>
      <c r="E653" s="182"/>
      <c r="F653" s="182"/>
      <c r="G653" s="182"/>
      <c r="H653" s="182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</row>
    <row r="654" spans="1:26" ht="15.75" customHeight="1">
      <c r="A654" s="182"/>
      <c r="B654" s="182"/>
      <c r="C654" s="182"/>
      <c r="D654" s="182"/>
      <c r="E654" s="182"/>
      <c r="F654" s="182"/>
      <c r="G654" s="182"/>
      <c r="H654" s="182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</row>
    <row r="655" spans="1:26" ht="15.75" customHeight="1">
      <c r="A655" s="182"/>
      <c r="B655" s="182"/>
      <c r="C655" s="182"/>
      <c r="D655" s="182"/>
      <c r="E655" s="182"/>
      <c r="F655" s="182"/>
      <c r="G655" s="182"/>
      <c r="H655" s="182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</row>
    <row r="656" spans="1:26" ht="15.75" customHeight="1">
      <c r="A656" s="182"/>
      <c r="B656" s="182"/>
      <c r="C656" s="182"/>
      <c r="D656" s="182"/>
      <c r="E656" s="182"/>
      <c r="F656" s="182"/>
      <c r="G656" s="182"/>
      <c r="H656" s="182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</row>
    <row r="657" spans="1:26" ht="15.75" customHeight="1">
      <c r="A657" s="182"/>
      <c r="B657" s="182"/>
      <c r="C657" s="182"/>
      <c r="D657" s="182"/>
      <c r="E657" s="182"/>
      <c r="F657" s="182"/>
      <c r="G657" s="182"/>
      <c r="H657" s="182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</row>
    <row r="658" spans="1:26" ht="15.75" customHeight="1">
      <c r="A658" s="182"/>
      <c r="B658" s="182"/>
      <c r="C658" s="182"/>
      <c r="D658" s="182"/>
      <c r="E658" s="182"/>
      <c r="F658" s="182"/>
      <c r="G658" s="182"/>
      <c r="H658" s="182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</row>
    <row r="659" spans="1:26" ht="15.75" customHeight="1">
      <c r="A659" s="182"/>
      <c r="B659" s="182"/>
      <c r="C659" s="182"/>
      <c r="D659" s="182"/>
      <c r="E659" s="182"/>
      <c r="F659" s="182"/>
      <c r="G659" s="182"/>
      <c r="H659" s="182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</row>
    <row r="660" spans="1:26" ht="15.75" customHeight="1">
      <c r="A660" s="182"/>
      <c r="B660" s="182"/>
      <c r="C660" s="182"/>
      <c r="D660" s="182"/>
      <c r="E660" s="182"/>
      <c r="F660" s="182"/>
      <c r="G660" s="182"/>
      <c r="H660" s="182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</row>
    <row r="661" spans="1:26" ht="15.75" customHeight="1">
      <c r="A661" s="182"/>
      <c r="B661" s="182"/>
      <c r="C661" s="182"/>
      <c r="D661" s="182"/>
      <c r="E661" s="182"/>
      <c r="F661" s="182"/>
      <c r="G661" s="182"/>
      <c r="H661" s="182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</row>
    <row r="662" spans="1:26" ht="15.75" customHeight="1">
      <c r="A662" s="182"/>
      <c r="B662" s="182"/>
      <c r="C662" s="182"/>
      <c r="D662" s="182"/>
      <c r="E662" s="182"/>
      <c r="F662" s="182"/>
      <c r="G662" s="182"/>
      <c r="H662" s="182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</row>
    <row r="663" spans="1:26" ht="15.75" customHeight="1">
      <c r="A663" s="182"/>
      <c r="B663" s="182"/>
      <c r="C663" s="182"/>
      <c r="D663" s="182"/>
      <c r="E663" s="182"/>
      <c r="F663" s="182"/>
      <c r="G663" s="182"/>
      <c r="H663" s="182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</row>
    <row r="664" spans="1:26" ht="15.75" customHeight="1">
      <c r="A664" s="182"/>
      <c r="B664" s="182"/>
      <c r="C664" s="182"/>
      <c r="D664" s="182"/>
      <c r="E664" s="182"/>
      <c r="F664" s="182"/>
      <c r="G664" s="182"/>
      <c r="H664" s="182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</row>
    <row r="665" spans="1:26" ht="15.75" customHeight="1">
      <c r="A665" s="182"/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</row>
    <row r="666" spans="1:26" ht="15.75" customHeight="1">
      <c r="A666" s="182"/>
      <c r="B666" s="182"/>
      <c r="C666" s="182"/>
      <c r="D666" s="182"/>
      <c r="E666" s="182"/>
      <c r="F666" s="182"/>
      <c r="G666" s="182"/>
      <c r="H666" s="182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</row>
    <row r="667" spans="1:26" ht="15.75" customHeight="1">
      <c r="A667" s="182"/>
      <c r="B667" s="182"/>
      <c r="C667" s="182"/>
      <c r="D667" s="182"/>
      <c r="E667" s="182"/>
      <c r="F667" s="182"/>
      <c r="G667" s="182"/>
      <c r="H667" s="182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</row>
    <row r="668" spans="1:26" ht="15.75" customHeight="1">
      <c r="A668" s="182"/>
      <c r="B668" s="182"/>
      <c r="C668" s="182"/>
      <c r="D668" s="182"/>
      <c r="E668" s="182"/>
      <c r="F668" s="182"/>
      <c r="G668" s="182"/>
      <c r="H668" s="182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</row>
    <row r="669" spans="1:26" ht="15.75" customHeight="1">
      <c r="A669" s="182"/>
      <c r="B669" s="182"/>
      <c r="C669" s="182"/>
      <c r="D669" s="182"/>
      <c r="E669" s="182"/>
      <c r="F669" s="182"/>
      <c r="G669" s="182"/>
      <c r="H669" s="182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</row>
    <row r="670" spans="1:26" ht="15.75" customHeight="1">
      <c r="A670" s="182"/>
      <c r="B670" s="182"/>
      <c r="C670" s="182"/>
      <c r="D670" s="182"/>
      <c r="E670" s="182"/>
      <c r="F670" s="182"/>
      <c r="G670" s="182"/>
      <c r="H670" s="182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</row>
    <row r="671" spans="1:26" ht="15.75" customHeight="1">
      <c r="A671" s="182"/>
      <c r="B671" s="182"/>
      <c r="C671" s="182"/>
      <c r="D671" s="182"/>
      <c r="E671" s="182"/>
      <c r="F671" s="182"/>
      <c r="G671" s="182"/>
      <c r="H671" s="182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</row>
    <row r="672" spans="1:26" ht="15.75" customHeight="1">
      <c r="A672" s="182"/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</row>
    <row r="673" spans="1:26" ht="15.75" customHeight="1">
      <c r="A673" s="182"/>
      <c r="B673" s="182"/>
      <c r="C673" s="182"/>
      <c r="D673" s="182"/>
      <c r="E673" s="182"/>
      <c r="F673" s="182"/>
      <c r="G673" s="182"/>
      <c r="H673" s="182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</row>
    <row r="674" spans="1:26" ht="15.75" customHeight="1">
      <c r="A674" s="182"/>
      <c r="B674" s="182"/>
      <c r="C674" s="182"/>
      <c r="D674" s="182"/>
      <c r="E674" s="182"/>
      <c r="F674" s="182"/>
      <c r="G674" s="182"/>
      <c r="H674" s="182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</row>
    <row r="675" spans="1:26" ht="15.75" customHeight="1">
      <c r="A675" s="182"/>
      <c r="B675" s="182"/>
      <c r="C675" s="182"/>
      <c r="D675" s="182"/>
      <c r="E675" s="182"/>
      <c r="F675" s="182"/>
      <c r="G675" s="182"/>
      <c r="H675" s="182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</row>
    <row r="676" spans="1:26" ht="15.75" customHeight="1">
      <c r="A676" s="182"/>
      <c r="B676" s="182"/>
      <c r="C676" s="182"/>
      <c r="D676" s="182"/>
      <c r="E676" s="182"/>
      <c r="F676" s="182"/>
      <c r="G676" s="182"/>
      <c r="H676" s="182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</row>
    <row r="677" spans="1:26" ht="15.75" customHeight="1">
      <c r="A677" s="182"/>
      <c r="B677" s="182"/>
      <c r="C677" s="182"/>
      <c r="D677" s="182"/>
      <c r="E677" s="182"/>
      <c r="F677" s="182"/>
      <c r="G677" s="182"/>
      <c r="H677" s="182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</row>
    <row r="678" spans="1:26" ht="15.75" customHeight="1">
      <c r="A678" s="182"/>
      <c r="B678" s="182"/>
      <c r="C678" s="182"/>
      <c r="D678" s="182"/>
      <c r="E678" s="182"/>
      <c r="F678" s="182"/>
      <c r="G678" s="182"/>
      <c r="H678" s="182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</row>
    <row r="679" spans="1:26" ht="15.75" customHeight="1">
      <c r="A679" s="182"/>
      <c r="B679" s="182"/>
      <c r="C679" s="182"/>
      <c r="D679" s="182"/>
      <c r="E679" s="182"/>
      <c r="F679" s="182"/>
      <c r="G679" s="182"/>
      <c r="H679" s="182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</row>
    <row r="680" spans="1:26" ht="15.75" customHeight="1">
      <c r="A680" s="182"/>
      <c r="B680" s="182"/>
      <c r="C680" s="182"/>
      <c r="D680" s="182"/>
      <c r="E680" s="182"/>
      <c r="F680" s="182"/>
      <c r="G680" s="182"/>
      <c r="H680" s="182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</row>
    <row r="681" spans="1:26" ht="15.75" customHeight="1">
      <c r="A681" s="182"/>
      <c r="B681" s="182"/>
      <c r="C681" s="182"/>
      <c r="D681" s="182"/>
      <c r="E681" s="182"/>
      <c r="F681" s="182"/>
      <c r="G681" s="182"/>
      <c r="H681" s="182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</row>
    <row r="682" spans="1:26" ht="15.75" customHeight="1">
      <c r="A682" s="182"/>
      <c r="B682" s="182"/>
      <c r="C682" s="182"/>
      <c r="D682" s="182"/>
      <c r="E682" s="182"/>
      <c r="F682" s="182"/>
      <c r="G682" s="182"/>
      <c r="H682" s="182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</row>
    <row r="683" spans="1:26" ht="15.75" customHeight="1">
      <c r="A683" s="182"/>
      <c r="B683" s="182"/>
      <c r="C683" s="182"/>
      <c r="D683" s="182"/>
      <c r="E683" s="182"/>
      <c r="F683" s="182"/>
      <c r="G683" s="182"/>
      <c r="H683" s="182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</row>
    <row r="684" spans="1:26" ht="15.75" customHeight="1">
      <c r="A684" s="182"/>
      <c r="B684" s="182"/>
      <c r="C684" s="182"/>
      <c r="D684" s="182"/>
      <c r="E684" s="182"/>
      <c r="F684" s="182"/>
      <c r="G684" s="182"/>
      <c r="H684" s="182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</row>
    <row r="685" spans="1:26" ht="15.75" customHeight="1">
      <c r="A685" s="182"/>
      <c r="B685" s="182"/>
      <c r="C685" s="182"/>
      <c r="D685" s="182"/>
      <c r="E685" s="182"/>
      <c r="F685" s="182"/>
      <c r="G685" s="182"/>
      <c r="H685" s="182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</row>
    <row r="686" spans="1:26" ht="15.75" customHeight="1">
      <c r="A686" s="182"/>
      <c r="B686" s="182"/>
      <c r="C686" s="182"/>
      <c r="D686" s="182"/>
      <c r="E686" s="182"/>
      <c r="F686" s="182"/>
      <c r="G686" s="182"/>
      <c r="H686" s="182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</row>
    <row r="687" spans="1:26" ht="15.75" customHeight="1">
      <c r="A687" s="182"/>
      <c r="B687" s="182"/>
      <c r="C687" s="182"/>
      <c r="D687" s="182"/>
      <c r="E687" s="182"/>
      <c r="F687" s="182"/>
      <c r="G687" s="182"/>
      <c r="H687" s="182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</row>
    <row r="688" spans="1:26" ht="15.75" customHeight="1">
      <c r="A688" s="182"/>
      <c r="B688" s="182"/>
      <c r="C688" s="182"/>
      <c r="D688" s="182"/>
      <c r="E688" s="182"/>
      <c r="F688" s="182"/>
      <c r="G688" s="182"/>
      <c r="H688" s="182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</row>
    <row r="689" spans="1:26" ht="15.75" customHeight="1">
      <c r="A689" s="182"/>
      <c r="B689" s="182"/>
      <c r="C689" s="182"/>
      <c r="D689" s="182"/>
      <c r="E689" s="182"/>
      <c r="F689" s="182"/>
      <c r="G689" s="182"/>
      <c r="H689" s="182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</row>
    <row r="690" spans="1:26" ht="15.75" customHeight="1">
      <c r="A690" s="182"/>
      <c r="B690" s="182"/>
      <c r="C690" s="182"/>
      <c r="D690" s="182"/>
      <c r="E690" s="182"/>
      <c r="F690" s="182"/>
      <c r="G690" s="182"/>
      <c r="H690" s="182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</row>
    <row r="691" spans="1:26" ht="15.75" customHeight="1">
      <c r="A691" s="182"/>
      <c r="B691" s="182"/>
      <c r="C691" s="182"/>
      <c r="D691" s="182"/>
      <c r="E691" s="182"/>
      <c r="F691" s="182"/>
      <c r="G691" s="182"/>
      <c r="H691" s="182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</row>
    <row r="692" spans="1:26" ht="15.75" customHeight="1">
      <c r="A692" s="182"/>
      <c r="B692" s="182"/>
      <c r="C692" s="182"/>
      <c r="D692" s="182"/>
      <c r="E692" s="182"/>
      <c r="F692" s="182"/>
      <c r="G692" s="182"/>
      <c r="H692" s="182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</row>
    <row r="693" spans="1:26" ht="15.75" customHeight="1">
      <c r="A693" s="182"/>
      <c r="B693" s="182"/>
      <c r="C693" s="182"/>
      <c r="D693" s="182"/>
      <c r="E693" s="182"/>
      <c r="F693" s="182"/>
      <c r="G693" s="182"/>
      <c r="H693" s="182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</row>
    <row r="694" spans="1:26" ht="15.75" customHeight="1">
      <c r="A694" s="182"/>
      <c r="B694" s="182"/>
      <c r="C694" s="182"/>
      <c r="D694" s="182"/>
      <c r="E694" s="182"/>
      <c r="F694" s="182"/>
      <c r="G694" s="182"/>
      <c r="H694" s="182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</row>
    <row r="695" spans="1:26" ht="15.75" customHeight="1">
      <c r="A695" s="182"/>
      <c r="B695" s="182"/>
      <c r="C695" s="182"/>
      <c r="D695" s="182"/>
      <c r="E695" s="182"/>
      <c r="F695" s="182"/>
      <c r="G695" s="182"/>
      <c r="H695" s="182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</row>
    <row r="696" spans="1:26" ht="15.75" customHeight="1">
      <c r="A696" s="182"/>
      <c r="B696" s="182"/>
      <c r="C696" s="182"/>
      <c r="D696" s="182"/>
      <c r="E696" s="182"/>
      <c r="F696" s="182"/>
      <c r="G696" s="182"/>
      <c r="H696" s="182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</row>
    <row r="697" spans="1:26" ht="15.75" customHeight="1">
      <c r="A697" s="182"/>
      <c r="B697" s="182"/>
      <c r="C697" s="182"/>
      <c r="D697" s="182"/>
      <c r="E697" s="182"/>
      <c r="F697" s="182"/>
      <c r="G697" s="182"/>
      <c r="H697" s="182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</row>
    <row r="698" spans="1:26" ht="15.75" customHeight="1">
      <c r="A698" s="182"/>
      <c r="B698" s="182"/>
      <c r="C698" s="182"/>
      <c r="D698" s="182"/>
      <c r="E698" s="182"/>
      <c r="F698" s="182"/>
      <c r="G698" s="182"/>
      <c r="H698" s="182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</row>
    <row r="699" spans="1:26" ht="15.75" customHeight="1">
      <c r="A699" s="182"/>
      <c r="B699" s="182"/>
      <c r="C699" s="182"/>
      <c r="D699" s="182"/>
      <c r="E699" s="182"/>
      <c r="F699" s="182"/>
      <c r="G699" s="182"/>
      <c r="H699" s="182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</row>
    <row r="700" spans="1:26" ht="15.75" customHeight="1">
      <c r="A700" s="182"/>
      <c r="B700" s="182"/>
      <c r="C700" s="182"/>
      <c r="D700" s="182"/>
      <c r="E700" s="182"/>
      <c r="F700" s="182"/>
      <c r="G700" s="182"/>
      <c r="H700" s="182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</row>
    <row r="701" spans="1:26" ht="15.75" customHeight="1">
      <c r="A701" s="182"/>
      <c r="B701" s="182"/>
      <c r="C701" s="182"/>
      <c r="D701" s="182"/>
      <c r="E701" s="182"/>
      <c r="F701" s="182"/>
      <c r="G701" s="182"/>
      <c r="H701" s="182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</row>
    <row r="702" spans="1:26" ht="15.75" customHeight="1">
      <c r="A702" s="182"/>
      <c r="B702" s="182"/>
      <c r="C702" s="182"/>
      <c r="D702" s="182"/>
      <c r="E702" s="182"/>
      <c r="F702" s="182"/>
      <c r="G702" s="182"/>
      <c r="H702" s="182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</row>
    <row r="703" spans="1:26" ht="15.75" customHeight="1">
      <c r="A703" s="182"/>
      <c r="B703" s="182"/>
      <c r="C703" s="182"/>
      <c r="D703" s="182"/>
      <c r="E703" s="182"/>
      <c r="F703" s="182"/>
      <c r="G703" s="182"/>
      <c r="H703" s="182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</row>
    <row r="704" spans="1:26" ht="15.75" customHeight="1">
      <c r="A704" s="182"/>
      <c r="B704" s="182"/>
      <c r="C704" s="182"/>
      <c r="D704" s="182"/>
      <c r="E704" s="182"/>
      <c r="F704" s="182"/>
      <c r="G704" s="182"/>
      <c r="H704" s="182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</row>
    <row r="705" spans="1:26" ht="15.75" customHeight="1">
      <c r="A705" s="182"/>
      <c r="B705" s="182"/>
      <c r="C705" s="182"/>
      <c r="D705" s="182"/>
      <c r="E705" s="182"/>
      <c r="F705" s="182"/>
      <c r="G705" s="182"/>
      <c r="H705" s="182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</row>
    <row r="706" spans="1:26" ht="15.75" customHeight="1">
      <c r="A706" s="182"/>
      <c r="B706" s="182"/>
      <c r="C706" s="182"/>
      <c r="D706" s="182"/>
      <c r="E706" s="182"/>
      <c r="F706" s="182"/>
      <c r="G706" s="182"/>
      <c r="H706" s="182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</row>
    <row r="707" spans="1:26" ht="15.75" customHeight="1">
      <c r="A707" s="182"/>
      <c r="B707" s="182"/>
      <c r="C707" s="182"/>
      <c r="D707" s="182"/>
      <c r="E707" s="182"/>
      <c r="F707" s="182"/>
      <c r="G707" s="182"/>
      <c r="H707" s="182"/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</row>
    <row r="708" spans="1:26" ht="15.75" customHeight="1">
      <c r="A708" s="182"/>
      <c r="B708" s="182"/>
      <c r="C708" s="182"/>
      <c r="D708" s="182"/>
      <c r="E708" s="182"/>
      <c r="F708" s="182"/>
      <c r="G708" s="182"/>
      <c r="H708" s="182"/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</row>
    <row r="709" spans="1:26" ht="15.75" customHeight="1">
      <c r="A709" s="182"/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</row>
    <row r="710" spans="1:26" ht="15.75" customHeight="1">
      <c r="A710" s="182"/>
      <c r="B710" s="182"/>
      <c r="C710" s="182"/>
      <c r="D710" s="182"/>
      <c r="E710" s="182"/>
      <c r="F710" s="182"/>
      <c r="G710" s="182"/>
      <c r="H710" s="182"/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</row>
    <row r="711" spans="1:26" ht="15.75" customHeight="1">
      <c r="A711" s="182"/>
      <c r="B711" s="182"/>
      <c r="C711" s="182"/>
      <c r="D711" s="182"/>
      <c r="E711" s="182"/>
      <c r="F711" s="182"/>
      <c r="G711" s="182"/>
      <c r="H711" s="182"/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</row>
    <row r="712" spans="1:26" ht="15.75" customHeight="1">
      <c r="A712" s="182"/>
      <c r="B712" s="182"/>
      <c r="C712" s="182"/>
      <c r="D712" s="182"/>
      <c r="E712" s="182"/>
      <c r="F712" s="182"/>
      <c r="G712" s="182"/>
      <c r="H712" s="182"/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</row>
    <row r="713" spans="1:26" ht="15.75" customHeight="1">
      <c r="A713" s="182"/>
      <c r="B713" s="182"/>
      <c r="C713" s="182"/>
      <c r="D713" s="182"/>
      <c r="E713" s="182"/>
      <c r="F713" s="182"/>
      <c r="G713" s="182"/>
      <c r="H713" s="182"/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</row>
    <row r="714" spans="1:26" ht="15.75" customHeight="1">
      <c r="A714" s="182"/>
      <c r="B714" s="182"/>
      <c r="C714" s="182"/>
      <c r="D714" s="182"/>
      <c r="E714" s="182"/>
      <c r="F714" s="182"/>
      <c r="G714" s="182"/>
      <c r="H714" s="182"/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</row>
    <row r="715" spans="1:26" ht="15.75" customHeight="1">
      <c r="A715" s="182"/>
      <c r="B715" s="182"/>
      <c r="C715" s="182"/>
      <c r="D715" s="182"/>
      <c r="E715" s="182"/>
      <c r="F715" s="182"/>
      <c r="G715" s="182"/>
      <c r="H715" s="182"/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</row>
    <row r="716" spans="1:26" ht="15.75" customHeight="1">
      <c r="A716" s="182"/>
      <c r="B716" s="182"/>
      <c r="C716" s="182"/>
      <c r="D716" s="182"/>
      <c r="E716" s="182"/>
      <c r="F716" s="182"/>
      <c r="G716" s="182"/>
      <c r="H716" s="182"/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</row>
    <row r="717" spans="1:26" ht="15.75" customHeight="1">
      <c r="A717" s="182"/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</row>
    <row r="718" spans="1:26" ht="15.75" customHeight="1">
      <c r="A718" s="182"/>
      <c r="B718" s="182"/>
      <c r="C718" s="182"/>
      <c r="D718" s="182"/>
      <c r="E718" s="182"/>
      <c r="F718" s="182"/>
      <c r="G718" s="182"/>
      <c r="H718" s="182"/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</row>
    <row r="719" spans="1:26" ht="15.75" customHeight="1">
      <c r="A719" s="182"/>
      <c r="B719" s="182"/>
      <c r="C719" s="182"/>
      <c r="D719" s="182"/>
      <c r="E719" s="182"/>
      <c r="F719" s="182"/>
      <c r="G719" s="182"/>
      <c r="H719" s="182"/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</row>
    <row r="720" spans="1:26" ht="15.75" customHeight="1">
      <c r="A720" s="182"/>
      <c r="B720" s="182"/>
      <c r="C720" s="182"/>
      <c r="D720" s="182"/>
      <c r="E720" s="182"/>
      <c r="F720" s="182"/>
      <c r="G720" s="182"/>
      <c r="H720" s="182"/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</row>
    <row r="721" spans="1:26" ht="15.75" customHeight="1">
      <c r="A721" s="182"/>
      <c r="B721" s="182"/>
      <c r="C721" s="182"/>
      <c r="D721" s="182"/>
      <c r="E721" s="182"/>
      <c r="F721" s="182"/>
      <c r="G721" s="182"/>
      <c r="H721" s="182"/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</row>
    <row r="722" spans="1:26" ht="15.75" customHeight="1">
      <c r="A722" s="182"/>
      <c r="B722" s="182"/>
      <c r="C722" s="182"/>
      <c r="D722" s="182"/>
      <c r="E722" s="182"/>
      <c r="F722" s="182"/>
      <c r="G722" s="182"/>
      <c r="H722" s="182"/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</row>
    <row r="723" spans="1:26" ht="15.75" customHeight="1">
      <c r="A723" s="182"/>
      <c r="B723" s="182"/>
      <c r="C723" s="182"/>
      <c r="D723" s="182"/>
      <c r="E723" s="182"/>
      <c r="F723" s="182"/>
      <c r="G723" s="182"/>
      <c r="H723" s="182"/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</row>
    <row r="724" spans="1:26" ht="15.75" customHeight="1">
      <c r="A724" s="182"/>
      <c r="B724" s="182"/>
      <c r="C724" s="182"/>
      <c r="D724" s="182"/>
      <c r="E724" s="182"/>
      <c r="F724" s="182"/>
      <c r="G724" s="182"/>
      <c r="H724" s="182"/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</row>
    <row r="725" spans="1:26" ht="15.75" customHeight="1">
      <c r="A725" s="182"/>
      <c r="B725" s="182"/>
      <c r="C725" s="182"/>
      <c r="D725" s="182"/>
      <c r="E725" s="182"/>
      <c r="F725" s="182"/>
      <c r="G725" s="182"/>
      <c r="H725" s="182"/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</row>
    <row r="726" spans="1:26" ht="15.75" customHeight="1">
      <c r="A726" s="182"/>
      <c r="B726" s="182"/>
      <c r="C726" s="182"/>
      <c r="D726" s="182"/>
      <c r="E726" s="182"/>
      <c r="F726" s="182"/>
      <c r="G726" s="182"/>
      <c r="H726" s="182"/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</row>
    <row r="727" spans="1:26" ht="15.75" customHeight="1">
      <c r="A727" s="182"/>
      <c r="B727" s="182"/>
      <c r="C727" s="182"/>
      <c r="D727" s="182"/>
      <c r="E727" s="182"/>
      <c r="F727" s="182"/>
      <c r="G727" s="182"/>
      <c r="H727" s="182"/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</row>
    <row r="728" spans="1:26" ht="15.75" customHeight="1">
      <c r="A728" s="182"/>
      <c r="B728" s="182"/>
      <c r="C728" s="182"/>
      <c r="D728" s="182"/>
      <c r="E728" s="182"/>
      <c r="F728" s="182"/>
      <c r="G728" s="182"/>
      <c r="H728" s="182"/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</row>
    <row r="729" spans="1:26" ht="15.75" customHeight="1">
      <c r="A729" s="182"/>
      <c r="B729" s="182"/>
      <c r="C729" s="182"/>
      <c r="D729" s="182"/>
      <c r="E729" s="182"/>
      <c r="F729" s="182"/>
      <c r="G729" s="182"/>
      <c r="H729" s="182"/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</row>
    <row r="730" spans="1:26" ht="15.75" customHeight="1">
      <c r="A730" s="182"/>
      <c r="B730" s="182"/>
      <c r="C730" s="182"/>
      <c r="D730" s="182"/>
      <c r="E730" s="182"/>
      <c r="F730" s="182"/>
      <c r="G730" s="182"/>
      <c r="H730" s="182"/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</row>
    <row r="731" spans="1:26" ht="15.75" customHeight="1">
      <c r="A731" s="182"/>
      <c r="B731" s="182"/>
      <c r="C731" s="182"/>
      <c r="D731" s="182"/>
      <c r="E731" s="182"/>
      <c r="F731" s="182"/>
      <c r="G731" s="182"/>
      <c r="H731" s="182"/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</row>
    <row r="732" spans="1:26" ht="15.75" customHeight="1">
      <c r="A732" s="182"/>
      <c r="B732" s="182"/>
      <c r="C732" s="182"/>
      <c r="D732" s="182"/>
      <c r="E732" s="182"/>
      <c r="F732" s="182"/>
      <c r="G732" s="182"/>
      <c r="H732" s="182"/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</row>
    <row r="733" spans="1:26" ht="15.75" customHeight="1">
      <c r="A733" s="182"/>
      <c r="B733" s="182"/>
      <c r="C733" s="182"/>
      <c r="D733" s="182"/>
      <c r="E733" s="182"/>
      <c r="F733" s="182"/>
      <c r="G733" s="182"/>
      <c r="H733" s="182"/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</row>
    <row r="734" spans="1:26" ht="15.75" customHeight="1">
      <c r="A734" s="182"/>
      <c r="B734" s="182"/>
      <c r="C734" s="182"/>
      <c r="D734" s="182"/>
      <c r="E734" s="182"/>
      <c r="F734" s="182"/>
      <c r="G734" s="182"/>
      <c r="H734" s="182"/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</row>
    <row r="735" spans="1:26" ht="15.75" customHeight="1">
      <c r="A735" s="182"/>
      <c r="B735" s="182"/>
      <c r="C735" s="182"/>
      <c r="D735" s="182"/>
      <c r="E735" s="182"/>
      <c r="F735" s="182"/>
      <c r="G735" s="182"/>
      <c r="H735" s="182"/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</row>
    <row r="736" spans="1:26" ht="15.75" customHeight="1">
      <c r="A736" s="182"/>
      <c r="B736" s="182"/>
      <c r="C736" s="182"/>
      <c r="D736" s="182"/>
      <c r="E736" s="182"/>
      <c r="F736" s="182"/>
      <c r="G736" s="182"/>
      <c r="H736" s="182"/>
      <c r="I736" s="182"/>
      <c r="J736" s="182"/>
      <c r="K736" s="182"/>
      <c r="L736" s="182"/>
      <c r="M736" s="182"/>
      <c r="N736" s="182"/>
      <c r="O736" s="182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</row>
    <row r="737" spans="1:26" ht="15.75" customHeight="1">
      <c r="A737" s="182"/>
      <c r="B737" s="182"/>
      <c r="C737" s="182"/>
      <c r="D737" s="182"/>
      <c r="E737" s="182"/>
      <c r="F737" s="182"/>
      <c r="G737" s="182"/>
      <c r="H737" s="182"/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</row>
    <row r="738" spans="1:26" ht="15.75" customHeight="1">
      <c r="A738" s="182"/>
      <c r="B738" s="182"/>
      <c r="C738" s="182"/>
      <c r="D738" s="182"/>
      <c r="E738" s="182"/>
      <c r="F738" s="182"/>
      <c r="G738" s="182"/>
      <c r="H738" s="182"/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</row>
    <row r="739" spans="1:26" ht="15.75" customHeight="1">
      <c r="A739" s="182"/>
      <c r="B739" s="182"/>
      <c r="C739" s="182"/>
      <c r="D739" s="182"/>
      <c r="E739" s="182"/>
      <c r="F739" s="182"/>
      <c r="G739" s="182"/>
      <c r="H739" s="182"/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</row>
    <row r="740" spans="1:26" ht="15.75" customHeight="1">
      <c r="A740" s="182"/>
      <c r="B740" s="182"/>
      <c r="C740" s="182"/>
      <c r="D740" s="182"/>
      <c r="E740" s="182"/>
      <c r="F740" s="182"/>
      <c r="G740" s="182"/>
      <c r="H740" s="182"/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</row>
    <row r="741" spans="1:26" ht="15.75" customHeight="1">
      <c r="A741" s="182"/>
      <c r="B741" s="182"/>
      <c r="C741" s="182"/>
      <c r="D741" s="182"/>
      <c r="E741" s="182"/>
      <c r="F741" s="182"/>
      <c r="G741" s="182"/>
      <c r="H741" s="182"/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</row>
    <row r="742" spans="1:26" ht="15.75" customHeight="1">
      <c r="A742" s="182"/>
      <c r="B742" s="182"/>
      <c r="C742" s="182"/>
      <c r="D742" s="182"/>
      <c r="E742" s="182"/>
      <c r="F742" s="182"/>
      <c r="G742" s="182"/>
      <c r="H742" s="182"/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82"/>
      <c r="T742" s="182"/>
      <c r="U742" s="182"/>
      <c r="V742" s="182"/>
      <c r="W742" s="182"/>
      <c r="X742" s="182"/>
      <c r="Y742" s="182"/>
      <c r="Z742" s="182"/>
    </row>
    <row r="743" spans="1:26" ht="15.75" customHeight="1">
      <c r="A743" s="182"/>
      <c r="B743" s="182"/>
      <c r="C743" s="182"/>
      <c r="D743" s="182"/>
      <c r="E743" s="182"/>
      <c r="F743" s="182"/>
      <c r="G743" s="182"/>
      <c r="H743" s="182"/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82"/>
      <c r="T743" s="182"/>
      <c r="U743" s="182"/>
      <c r="V743" s="182"/>
      <c r="W743" s="182"/>
      <c r="X743" s="182"/>
      <c r="Y743" s="182"/>
      <c r="Z743" s="182"/>
    </row>
    <row r="744" spans="1:26" ht="15.75" customHeight="1">
      <c r="A744" s="182"/>
      <c r="B744" s="182"/>
      <c r="C744" s="182"/>
      <c r="D744" s="182"/>
      <c r="E744" s="182"/>
      <c r="F744" s="182"/>
      <c r="G744" s="182"/>
      <c r="H744" s="182"/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  <c r="X744" s="182"/>
      <c r="Y744" s="182"/>
      <c r="Z744" s="182"/>
    </row>
    <row r="745" spans="1:26" ht="15.75" customHeight="1">
      <c r="A745" s="182"/>
      <c r="B745" s="182"/>
      <c r="C745" s="182"/>
      <c r="D745" s="182"/>
      <c r="E745" s="182"/>
      <c r="F745" s="182"/>
      <c r="G745" s="182"/>
      <c r="H745" s="182"/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</row>
    <row r="746" spans="1:26" ht="15.75" customHeight="1">
      <c r="A746" s="182"/>
      <c r="B746" s="182"/>
      <c r="C746" s="182"/>
      <c r="D746" s="182"/>
      <c r="E746" s="182"/>
      <c r="F746" s="182"/>
      <c r="G746" s="182"/>
      <c r="H746" s="182"/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</row>
    <row r="747" spans="1:26" ht="15.75" customHeight="1">
      <c r="A747" s="182"/>
      <c r="B747" s="182"/>
      <c r="C747" s="182"/>
      <c r="D747" s="182"/>
      <c r="E747" s="182"/>
      <c r="F747" s="182"/>
      <c r="G747" s="182"/>
      <c r="H747" s="182"/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</row>
    <row r="748" spans="1:26" ht="15.75" customHeight="1">
      <c r="A748" s="182"/>
      <c r="B748" s="182"/>
      <c r="C748" s="182"/>
      <c r="D748" s="182"/>
      <c r="E748" s="182"/>
      <c r="F748" s="182"/>
      <c r="G748" s="182"/>
      <c r="H748" s="182"/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</row>
    <row r="749" spans="1:26" ht="15.75" customHeight="1">
      <c r="A749" s="182"/>
      <c r="B749" s="182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  <c r="X749" s="182"/>
      <c r="Y749" s="182"/>
      <c r="Z749" s="182"/>
    </row>
    <row r="750" spans="1:26" ht="15.75" customHeight="1">
      <c r="A750" s="182"/>
      <c r="B750" s="182"/>
      <c r="C750" s="182"/>
      <c r="D750" s="182"/>
      <c r="E750" s="182"/>
      <c r="F750" s="182"/>
      <c r="G750" s="182"/>
      <c r="H750" s="182"/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</row>
    <row r="751" spans="1:26" ht="15.75" customHeight="1">
      <c r="A751" s="182"/>
      <c r="B751" s="182"/>
      <c r="C751" s="182"/>
      <c r="D751" s="182"/>
      <c r="E751" s="182"/>
      <c r="F751" s="182"/>
      <c r="G751" s="182"/>
      <c r="H751" s="182"/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</row>
    <row r="752" spans="1:26" ht="15.75" customHeight="1">
      <c r="A752" s="182"/>
      <c r="B752" s="182"/>
      <c r="C752" s="182"/>
      <c r="D752" s="182"/>
      <c r="E752" s="182"/>
      <c r="F752" s="182"/>
      <c r="G752" s="182"/>
      <c r="H752" s="182"/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  <c r="X752" s="182"/>
      <c r="Y752" s="182"/>
      <c r="Z752" s="182"/>
    </row>
    <row r="753" spans="1:26" ht="15.75" customHeight="1">
      <c r="A753" s="182"/>
      <c r="B753" s="182"/>
      <c r="C753" s="182"/>
      <c r="D753" s="182"/>
      <c r="E753" s="182"/>
      <c r="F753" s="182"/>
      <c r="G753" s="182"/>
      <c r="H753" s="182"/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82"/>
      <c r="T753" s="182"/>
      <c r="U753" s="182"/>
      <c r="V753" s="182"/>
      <c r="W753" s="182"/>
      <c r="X753" s="182"/>
      <c r="Y753" s="182"/>
      <c r="Z753" s="182"/>
    </row>
    <row r="754" spans="1:26" ht="15.75" customHeight="1">
      <c r="A754" s="182"/>
      <c r="B754" s="182"/>
      <c r="C754" s="182"/>
      <c r="D754" s="182"/>
      <c r="E754" s="182"/>
      <c r="F754" s="182"/>
      <c r="G754" s="182"/>
      <c r="H754" s="182"/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  <c r="X754" s="182"/>
      <c r="Y754" s="182"/>
      <c r="Z754" s="182"/>
    </row>
    <row r="755" spans="1:26" ht="15.75" customHeight="1">
      <c r="A755" s="182"/>
      <c r="B755" s="182"/>
      <c r="C755" s="182"/>
      <c r="D755" s="182"/>
      <c r="E755" s="182"/>
      <c r="F755" s="182"/>
      <c r="G755" s="182"/>
      <c r="H755" s="182"/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  <c r="X755" s="182"/>
      <c r="Y755" s="182"/>
      <c r="Z755" s="182"/>
    </row>
    <row r="756" spans="1:26" ht="15.75" customHeight="1">
      <c r="A756" s="182"/>
      <c r="B756" s="182"/>
      <c r="C756" s="182"/>
      <c r="D756" s="182"/>
      <c r="E756" s="182"/>
      <c r="F756" s="182"/>
      <c r="G756" s="182"/>
      <c r="H756" s="182"/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  <c r="X756" s="182"/>
      <c r="Y756" s="182"/>
      <c r="Z756" s="182"/>
    </row>
    <row r="757" spans="1:26" ht="15.75" customHeight="1">
      <c r="A757" s="182"/>
      <c r="B757" s="182"/>
      <c r="C757" s="182"/>
      <c r="D757" s="182"/>
      <c r="E757" s="182"/>
      <c r="F757" s="182"/>
      <c r="G757" s="182"/>
      <c r="H757" s="182"/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2"/>
      <c r="T757" s="182"/>
      <c r="U757" s="182"/>
      <c r="V757" s="182"/>
      <c r="W757" s="182"/>
      <c r="X757" s="182"/>
      <c r="Y757" s="182"/>
      <c r="Z757" s="182"/>
    </row>
    <row r="758" spans="1:26" ht="15.75" customHeight="1">
      <c r="A758" s="182"/>
      <c r="B758" s="182"/>
      <c r="C758" s="182"/>
      <c r="D758" s="182"/>
      <c r="E758" s="182"/>
      <c r="F758" s="182"/>
      <c r="G758" s="182"/>
      <c r="H758" s="182"/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  <c r="X758" s="182"/>
      <c r="Y758" s="182"/>
      <c r="Z758" s="182"/>
    </row>
    <row r="759" spans="1:26" ht="15.75" customHeight="1">
      <c r="A759" s="182"/>
      <c r="B759" s="182"/>
      <c r="C759" s="182"/>
      <c r="D759" s="182"/>
      <c r="E759" s="182"/>
      <c r="F759" s="182"/>
      <c r="G759" s="182"/>
      <c r="H759" s="182"/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  <c r="X759" s="182"/>
      <c r="Y759" s="182"/>
      <c r="Z759" s="182"/>
    </row>
    <row r="760" spans="1:26" ht="15.75" customHeight="1">
      <c r="A760" s="182"/>
      <c r="B760" s="182"/>
      <c r="C760" s="182"/>
      <c r="D760" s="182"/>
      <c r="E760" s="182"/>
      <c r="F760" s="182"/>
      <c r="G760" s="182"/>
      <c r="H760" s="182"/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  <c r="X760" s="182"/>
      <c r="Y760" s="182"/>
      <c r="Z760" s="182"/>
    </row>
    <row r="761" spans="1:26" ht="15.75" customHeight="1">
      <c r="A761" s="182"/>
      <c r="B761" s="182"/>
      <c r="C761" s="182"/>
      <c r="D761" s="182"/>
      <c r="E761" s="182"/>
      <c r="F761" s="182"/>
      <c r="G761" s="182"/>
      <c r="H761" s="182"/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2"/>
      <c r="Z761" s="182"/>
    </row>
    <row r="762" spans="1:26" ht="15.75" customHeight="1">
      <c r="A762" s="182"/>
      <c r="B762" s="182"/>
      <c r="C762" s="182"/>
      <c r="D762" s="182"/>
      <c r="E762" s="182"/>
      <c r="F762" s="182"/>
      <c r="G762" s="182"/>
      <c r="H762" s="182"/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2"/>
      <c r="Z762" s="182"/>
    </row>
    <row r="763" spans="1:26" ht="15.75" customHeight="1">
      <c r="A763" s="182"/>
      <c r="B763" s="182"/>
      <c r="C763" s="182"/>
      <c r="D763" s="182"/>
      <c r="E763" s="182"/>
      <c r="F763" s="182"/>
      <c r="G763" s="182"/>
      <c r="H763" s="182"/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82"/>
      <c r="T763" s="182"/>
      <c r="U763" s="182"/>
      <c r="V763" s="182"/>
      <c r="W763" s="182"/>
      <c r="X763" s="182"/>
      <c r="Y763" s="182"/>
      <c r="Z763" s="182"/>
    </row>
    <row r="764" spans="1:26" ht="15.75" customHeight="1">
      <c r="A764" s="182"/>
      <c r="B764" s="182"/>
      <c r="C764" s="182"/>
      <c r="D764" s="182"/>
      <c r="E764" s="182"/>
      <c r="F764" s="182"/>
      <c r="G764" s="182"/>
      <c r="H764" s="182"/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  <c r="X764" s="182"/>
      <c r="Y764" s="182"/>
      <c r="Z764" s="182"/>
    </row>
    <row r="765" spans="1:26" ht="15.75" customHeight="1">
      <c r="A765" s="182"/>
      <c r="B765" s="182"/>
      <c r="C765" s="182"/>
      <c r="D765" s="182"/>
      <c r="E765" s="182"/>
      <c r="F765" s="182"/>
      <c r="G765" s="182"/>
      <c r="H765" s="182"/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  <c r="X765" s="182"/>
      <c r="Y765" s="182"/>
      <c r="Z765" s="182"/>
    </row>
    <row r="766" spans="1:26" ht="15.75" customHeight="1">
      <c r="A766" s="182"/>
      <c r="B766" s="182"/>
      <c r="C766" s="182"/>
      <c r="D766" s="182"/>
      <c r="E766" s="182"/>
      <c r="F766" s="182"/>
      <c r="G766" s="182"/>
      <c r="H766" s="182"/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  <c r="X766" s="182"/>
      <c r="Y766" s="182"/>
      <c r="Z766" s="182"/>
    </row>
    <row r="767" spans="1:26" ht="15.75" customHeight="1">
      <c r="A767" s="182"/>
      <c r="B767" s="182"/>
      <c r="C767" s="182"/>
      <c r="D767" s="182"/>
      <c r="E767" s="182"/>
      <c r="F767" s="182"/>
      <c r="G767" s="182"/>
      <c r="H767" s="182"/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  <c r="X767" s="182"/>
      <c r="Y767" s="182"/>
      <c r="Z767" s="182"/>
    </row>
    <row r="768" spans="1:26" ht="15.75" customHeight="1">
      <c r="A768" s="182"/>
      <c r="B768" s="182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  <c r="X768" s="182"/>
      <c r="Y768" s="182"/>
      <c r="Z768" s="182"/>
    </row>
    <row r="769" spans="1:26" ht="15.75" customHeight="1">
      <c r="A769" s="182"/>
      <c r="B769" s="182"/>
      <c r="C769" s="182"/>
      <c r="D769" s="182"/>
      <c r="E769" s="182"/>
      <c r="F769" s="182"/>
      <c r="G769" s="182"/>
      <c r="H769" s="182"/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  <c r="X769" s="182"/>
      <c r="Y769" s="182"/>
      <c r="Z769" s="182"/>
    </row>
    <row r="770" spans="1:26" ht="15.75" customHeight="1">
      <c r="A770" s="182"/>
      <c r="B770" s="182"/>
      <c r="C770" s="182"/>
      <c r="D770" s="182"/>
      <c r="E770" s="182"/>
      <c r="F770" s="182"/>
      <c r="G770" s="182"/>
      <c r="H770" s="182"/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82"/>
      <c r="T770" s="182"/>
      <c r="U770" s="182"/>
      <c r="V770" s="182"/>
      <c r="W770" s="182"/>
      <c r="X770" s="182"/>
      <c r="Y770" s="182"/>
      <c r="Z770" s="182"/>
    </row>
    <row r="771" spans="1:26" ht="15.75" customHeight="1">
      <c r="A771" s="182"/>
      <c r="B771" s="182"/>
      <c r="C771" s="182"/>
      <c r="D771" s="182"/>
      <c r="E771" s="182"/>
      <c r="F771" s="182"/>
      <c r="G771" s="182"/>
      <c r="H771" s="182"/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  <c r="X771" s="182"/>
      <c r="Y771" s="182"/>
      <c r="Z771" s="182"/>
    </row>
    <row r="772" spans="1:26" ht="15.75" customHeight="1">
      <c r="A772" s="182"/>
      <c r="B772" s="182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  <c r="X772" s="182"/>
      <c r="Y772" s="182"/>
      <c r="Z772" s="182"/>
    </row>
    <row r="773" spans="1:26" ht="15.75" customHeight="1">
      <c r="A773" s="182"/>
      <c r="B773" s="182"/>
      <c r="C773" s="182"/>
      <c r="D773" s="182"/>
      <c r="E773" s="182"/>
      <c r="F773" s="182"/>
      <c r="G773" s="182"/>
      <c r="H773" s="182"/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  <c r="X773" s="182"/>
      <c r="Y773" s="182"/>
      <c r="Z773" s="182"/>
    </row>
    <row r="774" spans="1:26" ht="15.75" customHeight="1">
      <c r="A774" s="182"/>
      <c r="B774" s="182"/>
      <c r="C774" s="182"/>
      <c r="D774" s="182"/>
      <c r="E774" s="182"/>
      <c r="F774" s="182"/>
      <c r="G774" s="182"/>
      <c r="H774" s="182"/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  <c r="X774" s="182"/>
      <c r="Y774" s="182"/>
      <c r="Z774" s="182"/>
    </row>
    <row r="775" spans="1:26" ht="15.75" customHeight="1">
      <c r="A775" s="182"/>
      <c r="B775" s="182"/>
      <c r="C775" s="182"/>
      <c r="D775" s="182"/>
      <c r="E775" s="182"/>
      <c r="F775" s="182"/>
      <c r="G775" s="182"/>
      <c r="H775" s="182"/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</row>
    <row r="776" spans="1:26" ht="15.75" customHeight="1">
      <c r="A776" s="182"/>
      <c r="B776" s="182"/>
      <c r="C776" s="182"/>
      <c r="D776" s="182"/>
      <c r="E776" s="182"/>
      <c r="F776" s="182"/>
      <c r="G776" s="182"/>
      <c r="H776" s="182"/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</row>
    <row r="777" spans="1:26" ht="15.75" customHeight="1">
      <c r="A777" s="182"/>
      <c r="B777" s="182"/>
      <c r="C777" s="182"/>
      <c r="D777" s="182"/>
      <c r="E777" s="182"/>
      <c r="F777" s="182"/>
      <c r="G777" s="182"/>
      <c r="H777" s="182"/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</row>
    <row r="778" spans="1:26" ht="15.75" customHeight="1">
      <c r="A778" s="182"/>
      <c r="B778" s="182"/>
      <c r="C778" s="182"/>
      <c r="D778" s="182"/>
      <c r="E778" s="182"/>
      <c r="F778" s="182"/>
      <c r="G778" s="182"/>
      <c r="H778" s="182"/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</row>
    <row r="779" spans="1:26" ht="15.75" customHeight="1">
      <c r="A779" s="182"/>
      <c r="B779" s="182"/>
      <c r="C779" s="182"/>
      <c r="D779" s="182"/>
      <c r="E779" s="182"/>
      <c r="F779" s="182"/>
      <c r="G779" s="182"/>
      <c r="H779" s="182"/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</row>
    <row r="780" spans="1:26" ht="15.75" customHeight="1">
      <c r="A780" s="182"/>
      <c r="B780" s="182"/>
      <c r="C780" s="182"/>
      <c r="D780" s="182"/>
      <c r="E780" s="182"/>
      <c r="F780" s="182"/>
      <c r="G780" s="182"/>
      <c r="H780" s="182"/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</row>
    <row r="781" spans="1:26" ht="15.75" customHeight="1">
      <c r="A781" s="182"/>
      <c r="B781" s="182"/>
      <c r="C781" s="182"/>
      <c r="D781" s="182"/>
      <c r="E781" s="182"/>
      <c r="F781" s="182"/>
      <c r="G781" s="182"/>
      <c r="H781" s="182"/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</row>
    <row r="782" spans="1:26" ht="15.75" customHeight="1">
      <c r="A782" s="182"/>
      <c r="B782" s="182"/>
      <c r="C782" s="182"/>
      <c r="D782" s="182"/>
      <c r="E782" s="182"/>
      <c r="F782" s="182"/>
      <c r="G782" s="182"/>
      <c r="H782" s="182"/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</row>
    <row r="783" spans="1:26" ht="15.75" customHeight="1">
      <c r="A783" s="182"/>
      <c r="B783" s="182"/>
      <c r="C783" s="182"/>
      <c r="D783" s="182"/>
      <c r="E783" s="182"/>
      <c r="F783" s="182"/>
      <c r="G783" s="182"/>
      <c r="H783" s="182"/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</row>
    <row r="784" spans="1:26" ht="15.75" customHeight="1">
      <c r="A784" s="182"/>
      <c r="B784" s="182"/>
      <c r="C784" s="182"/>
      <c r="D784" s="182"/>
      <c r="E784" s="182"/>
      <c r="F784" s="182"/>
      <c r="G784" s="182"/>
      <c r="H784" s="182"/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</row>
    <row r="785" spans="1:26" ht="15.75" customHeight="1">
      <c r="A785" s="182"/>
      <c r="B785" s="182"/>
      <c r="C785" s="182"/>
      <c r="D785" s="182"/>
      <c r="E785" s="182"/>
      <c r="F785" s="182"/>
      <c r="G785" s="182"/>
      <c r="H785" s="182"/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</row>
    <row r="786" spans="1:26" ht="15.75" customHeight="1">
      <c r="A786" s="182"/>
      <c r="B786" s="182"/>
      <c r="C786" s="182"/>
      <c r="D786" s="182"/>
      <c r="E786" s="182"/>
      <c r="F786" s="182"/>
      <c r="G786" s="182"/>
      <c r="H786" s="182"/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2"/>
      <c r="T786" s="182"/>
      <c r="U786" s="182"/>
      <c r="V786" s="182"/>
      <c r="W786" s="182"/>
      <c r="X786" s="182"/>
      <c r="Y786" s="182"/>
      <c r="Z786" s="182"/>
    </row>
    <row r="787" spans="1:26" ht="15.75" customHeight="1">
      <c r="A787" s="182"/>
      <c r="B787" s="182"/>
      <c r="C787" s="182"/>
      <c r="D787" s="182"/>
      <c r="E787" s="182"/>
      <c r="F787" s="182"/>
      <c r="G787" s="182"/>
      <c r="H787" s="182"/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</row>
    <row r="788" spans="1:26" ht="15.75" customHeight="1">
      <c r="A788" s="182"/>
      <c r="B788" s="182"/>
      <c r="C788" s="182"/>
      <c r="D788" s="182"/>
      <c r="E788" s="182"/>
      <c r="F788" s="182"/>
      <c r="G788" s="182"/>
      <c r="H788" s="182"/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</row>
    <row r="789" spans="1:26" ht="15.75" customHeight="1">
      <c r="A789" s="182"/>
      <c r="B789" s="182"/>
      <c r="C789" s="182"/>
      <c r="D789" s="182"/>
      <c r="E789" s="182"/>
      <c r="F789" s="182"/>
      <c r="G789" s="182"/>
      <c r="H789" s="182"/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  <c r="X789" s="182"/>
      <c r="Y789" s="182"/>
      <c r="Z789" s="182"/>
    </row>
    <row r="790" spans="1:26" ht="15.75" customHeight="1">
      <c r="A790" s="182"/>
      <c r="B790" s="182"/>
      <c r="C790" s="182"/>
      <c r="D790" s="182"/>
      <c r="E790" s="182"/>
      <c r="F790" s="182"/>
      <c r="G790" s="182"/>
      <c r="H790" s="182"/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  <c r="X790" s="182"/>
      <c r="Y790" s="182"/>
      <c r="Z790" s="182"/>
    </row>
    <row r="791" spans="1:26" ht="15.75" customHeight="1">
      <c r="A791" s="182"/>
      <c r="B791" s="182"/>
      <c r="C791" s="182"/>
      <c r="D791" s="182"/>
      <c r="E791" s="182"/>
      <c r="F791" s="182"/>
      <c r="G791" s="182"/>
      <c r="H791" s="182"/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2"/>
      <c r="T791" s="182"/>
      <c r="U791" s="182"/>
      <c r="V791" s="182"/>
      <c r="W791" s="182"/>
      <c r="X791" s="182"/>
      <c r="Y791" s="182"/>
      <c r="Z791" s="182"/>
    </row>
    <row r="792" spans="1:26" ht="15.75" customHeight="1">
      <c r="A792" s="182"/>
      <c r="B792" s="182"/>
      <c r="C792" s="182"/>
      <c r="D792" s="182"/>
      <c r="E792" s="182"/>
      <c r="F792" s="182"/>
      <c r="G792" s="182"/>
      <c r="H792" s="182"/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  <c r="X792" s="182"/>
      <c r="Y792" s="182"/>
      <c r="Z792" s="182"/>
    </row>
    <row r="793" spans="1:26" ht="15.75" customHeight="1">
      <c r="A793" s="182"/>
      <c r="B793" s="182"/>
      <c r="C793" s="182"/>
      <c r="D793" s="182"/>
      <c r="E793" s="182"/>
      <c r="F793" s="182"/>
      <c r="G793" s="182"/>
      <c r="H793" s="182"/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  <c r="X793" s="182"/>
      <c r="Y793" s="182"/>
      <c r="Z793" s="182"/>
    </row>
    <row r="794" spans="1:26" ht="15.75" customHeight="1">
      <c r="A794" s="182"/>
      <c r="B794" s="182"/>
      <c r="C794" s="182"/>
      <c r="D794" s="182"/>
      <c r="E794" s="182"/>
      <c r="F794" s="182"/>
      <c r="G794" s="182"/>
      <c r="H794" s="182"/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2"/>
      <c r="T794" s="182"/>
      <c r="U794" s="182"/>
      <c r="V794" s="182"/>
      <c r="W794" s="182"/>
      <c r="X794" s="182"/>
      <c r="Y794" s="182"/>
      <c r="Z794" s="182"/>
    </row>
    <row r="795" spans="1:26" ht="15.75" customHeight="1">
      <c r="A795" s="182"/>
      <c r="B795" s="182"/>
      <c r="C795" s="182"/>
      <c r="D795" s="182"/>
      <c r="E795" s="182"/>
      <c r="F795" s="182"/>
      <c r="G795" s="182"/>
      <c r="H795" s="182"/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  <c r="X795" s="182"/>
      <c r="Y795" s="182"/>
      <c r="Z795" s="182"/>
    </row>
    <row r="796" spans="1:26" ht="15.75" customHeight="1">
      <c r="A796" s="182"/>
      <c r="B796" s="182"/>
      <c r="C796" s="182"/>
      <c r="D796" s="182"/>
      <c r="E796" s="182"/>
      <c r="F796" s="182"/>
      <c r="G796" s="182"/>
      <c r="H796" s="182"/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82"/>
      <c r="T796" s="182"/>
      <c r="U796" s="182"/>
      <c r="V796" s="182"/>
      <c r="W796" s="182"/>
      <c r="X796" s="182"/>
      <c r="Y796" s="182"/>
      <c r="Z796" s="182"/>
    </row>
    <row r="797" spans="1:26" ht="15.75" customHeight="1">
      <c r="A797" s="182"/>
      <c r="B797" s="182"/>
      <c r="C797" s="182"/>
      <c r="D797" s="182"/>
      <c r="E797" s="182"/>
      <c r="F797" s="182"/>
      <c r="G797" s="182"/>
      <c r="H797" s="182"/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82"/>
      <c r="T797" s="182"/>
      <c r="U797" s="182"/>
      <c r="V797" s="182"/>
      <c r="W797" s="182"/>
      <c r="X797" s="182"/>
      <c r="Y797" s="182"/>
      <c r="Z797" s="182"/>
    </row>
    <row r="798" spans="1:26" ht="15.75" customHeight="1">
      <c r="A798" s="182"/>
      <c r="B798" s="182"/>
      <c r="C798" s="182"/>
      <c r="D798" s="182"/>
      <c r="E798" s="182"/>
      <c r="F798" s="182"/>
      <c r="G798" s="182"/>
      <c r="H798" s="182"/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82"/>
      <c r="T798" s="182"/>
      <c r="U798" s="182"/>
      <c r="V798" s="182"/>
      <c r="W798" s="182"/>
      <c r="X798" s="182"/>
      <c r="Y798" s="182"/>
      <c r="Z798" s="182"/>
    </row>
    <row r="799" spans="1:26" ht="15.75" customHeight="1">
      <c r="A799" s="182"/>
      <c r="B799" s="182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82"/>
      <c r="T799" s="182"/>
      <c r="U799" s="182"/>
      <c r="V799" s="182"/>
      <c r="W799" s="182"/>
      <c r="X799" s="182"/>
      <c r="Y799" s="182"/>
      <c r="Z799" s="182"/>
    </row>
    <row r="800" spans="1:26" ht="15.75" customHeight="1">
      <c r="A800" s="182"/>
      <c r="B800" s="182"/>
      <c r="C800" s="182"/>
      <c r="D800" s="182"/>
      <c r="E800" s="182"/>
      <c r="F800" s="182"/>
      <c r="G800" s="182"/>
      <c r="H800" s="182"/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82"/>
      <c r="T800" s="182"/>
      <c r="U800" s="182"/>
      <c r="V800" s="182"/>
      <c r="W800" s="182"/>
      <c r="X800" s="182"/>
      <c r="Y800" s="182"/>
      <c r="Z800" s="182"/>
    </row>
    <row r="801" spans="1:26" ht="15.75" customHeight="1">
      <c r="A801" s="182"/>
      <c r="B801" s="182"/>
      <c r="C801" s="182"/>
      <c r="D801" s="182"/>
      <c r="E801" s="182"/>
      <c r="F801" s="182"/>
      <c r="G801" s="182"/>
      <c r="H801" s="182"/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82"/>
      <c r="T801" s="182"/>
      <c r="U801" s="182"/>
      <c r="V801" s="182"/>
      <c r="W801" s="182"/>
      <c r="X801" s="182"/>
      <c r="Y801" s="182"/>
      <c r="Z801" s="182"/>
    </row>
    <row r="802" spans="1:26" ht="15.75" customHeight="1">
      <c r="A802" s="182"/>
      <c r="B802" s="182"/>
      <c r="C802" s="182"/>
      <c r="D802" s="182"/>
      <c r="E802" s="182"/>
      <c r="F802" s="182"/>
      <c r="G802" s="182"/>
      <c r="H802" s="182"/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82"/>
      <c r="T802" s="182"/>
      <c r="U802" s="182"/>
      <c r="V802" s="182"/>
      <c r="W802" s="182"/>
      <c r="X802" s="182"/>
      <c r="Y802" s="182"/>
      <c r="Z802" s="182"/>
    </row>
    <row r="803" spans="1:26" ht="15.75" customHeight="1">
      <c r="A803" s="182"/>
      <c r="B803" s="182"/>
      <c r="C803" s="182"/>
      <c r="D803" s="182"/>
      <c r="E803" s="182"/>
      <c r="F803" s="182"/>
      <c r="G803" s="182"/>
      <c r="H803" s="182"/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82"/>
      <c r="T803" s="182"/>
      <c r="U803" s="182"/>
      <c r="V803" s="182"/>
      <c r="W803" s="182"/>
      <c r="X803" s="182"/>
      <c r="Y803" s="182"/>
      <c r="Z803" s="182"/>
    </row>
    <row r="804" spans="1:26" ht="15.75" customHeight="1">
      <c r="A804" s="182"/>
      <c r="B804" s="182"/>
      <c r="C804" s="182"/>
      <c r="D804" s="182"/>
      <c r="E804" s="182"/>
      <c r="F804" s="182"/>
      <c r="G804" s="182"/>
      <c r="H804" s="182"/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82"/>
      <c r="T804" s="182"/>
      <c r="U804" s="182"/>
      <c r="V804" s="182"/>
      <c r="W804" s="182"/>
      <c r="X804" s="182"/>
      <c r="Y804" s="182"/>
      <c r="Z804" s="182"/>
    </row>
    <row r="805" spans="1:26" ht="15.75" customHeight="1">
      <c r="A805" s="182"/>
      <c r="B805" s="182"/>
      <c r="C805" s="182"/>
      <c r="D805" s="182"/>
      <c r="E805" s="182"/>
      <c r="F805" s="182"/>
      <c r="G805" s="182"/>
      <c r="H805" s="182"/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2"/>
      <c r="W805" s="182"/>
      <c r="X805" s="182"/>
      <c r="Y805" s="182"/>
      <c r="Z805" s="182"/>
    </row>
    <row r="806" spans="1:26" ht="15.75" customHeight="1">
      <c r="A806" s="182"/>
      <c r="B806" s="182"/>
      <c r="C806" s="182"/>
      <c r="D806" s="182"/>
      <c r="E806" s="182"/>
      <c r="F806" s="182"/>
      <c r="G806" s="182"/>
      <c r="H806" s="182"/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</row>
    <row r="807" spans="1:26" ht="15.75" customHeight="1">
      <c r="A807" s="182"/>
      <c r="B807" s="182"/>
      <c r="C807" s="182"/>
      <c r="D807" s="182"/>
      <c r="E807" s="182"/>
      <c r="F807" s="182"/>
      <c r="G807" s="182"/>
      <c r="H807" s="182"/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</row>
    <row r="808" spans="1:26" ht="15.75" customHeight="1">
      <c r="A808" s="182"/>
      <c r="B808" s="182"/>
      <c r="C808" s="182"/>
      <c r="D808" s="182"/>
      <c r="E808" s="182"/>
      <c r="F808" s="182"/>
      <c r="G808" s="182"/>
      <c r="H808" s="182"/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</row>
    <row r="809" spans="1:26" ht="15.75" customHeight="1">
      <c r="A809" s="182"/>
      <c r="B809" s="182"/>
      <c r="C809" s="182"/>
      <c r="D809" s="182"/>
      <c r="E809" s="182"/>
      <c r="F809" s="182"/>
      <c r="G809" s="182"/>
      <c r="H809" s="182"/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</row>
    <row r="810" spans="1:26" ht="15.75" customHeight="1">
      <c r="A810" s="182"/>
      <c r="B810" s="182"/>
      <c r="C810" s="182"/>
      <c r="D810" s="182"/>
      <c r="E810" s="182"/>
      <c r="F810" s="182"/>
      <c r="G810" s="182"/>
      <c r="H810" s="182"/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</row>
    <row r="811" spans="1:26" ht="15.75" customHeight="1">
      <c r="A811" s="182"/>
      <c r="B811" s="182"/>
      <c r="C811" s="182"/>
      <c r="D811" s="182"/>
      <c r="E811" s="182"/>
      <c r="F811" s="182"/>
      <c r="G811" s="182"/>
      <c r="H811" s="182"/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</row>
    <row r="812" spans="1:26" ht="15.75" customHeight="1">
      <c r="A812" s="182"/>
      <c r="B812" s="182"/>
      <c r="C812" s="182"/>
      <c r="D812" s="182"/>
      <c r="E812" s="182"/>
      <c r="F812" s="182"/>
      <c r="G812" s="182"/>
      <c r="H812" s="182"/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</row>
    <row r="813" spans="1:26" ht="15.75" customHeight="1">
      <c r="A813" s="182"/>
      <c r="B813" s="182"/>
      <c r="C813" s="182"/>
      <c r="D813" s="182"/>
      <c r="E813" s="182"/>
      <c r="F813" s="182"/>
      <c r="G813" s="182"/>
      <c r="H813" s="182"/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</row>
    <row r="814" spans="1:26" ht="15.75" customHeight="1">
      <c r="A814" s="182"/>
      <c r="B814" s="182"/>
      <c r="C814" s="182"/>
      <c r="D814" s="182"/>
      <c r="E814" s="182"/>
      <c r="F814" s="182"/>
      <c r="G814" s="182"/>
      <c r="H814" s="182"/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</row>
    <row r="815" spans="1:26" ht="15.75" customHeight="1">
      <c r="A815" s="182"/>
      <c r="B815" s="182"/>
      <c r="C815" s="182"/>
      <c r="D815" s="182"/>
      <c r="E815" s="182"/>
      <c r="F815" s="182"/>
      <c r="G815" s="182"/>
      <c r="H815" s="182"/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  <c r="X815" s="182"/>
      <c r="Y815" s="182"/>
      <c r="Z815" s="182"/>
    </row>
    <row r="816" spans="1:26" ht="15.75" customHeight="1">
      <c r="A816" s="182"/>
      <c r="B816" s="182"/>
      <c r="C816" s="182"/>
      <c r="D816" s="182"/>
      <c r="E816" s="182"/>
      <c r="F816" s="182"/>
      <c r="G816" s="182"/>
      <c r="H816" s="182"/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</row>
    <row r="817" spans="1:26" ht="15.75" customHeight="1">
      <c r="A817" s="182"/>
      <c r="B817" s="182"/>
      <c r="C817" s="182"/>
      <c r="D817" s="182"/>
      <c r="E817" s="182"/>
      <c r="F817" s="182"/>
      <c r="G817" s="182"/>
      <c r="H817" s="182"/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82"/>
      <c r="T817" s="182"/>
      <c r="U817" s="182"/>
      <c r="V817" s="182"/>
      <c r="W817" s="182"/>
      <c r="X817" s="182"/>
      <c r="Y817" s="182"/>
      <c r="Z817" s="182"/>
    </row>
    <row r="818" spans="1:26" ht="15.75" customHeight="1">
      <c r="A818" s="182"/>
      <c r="B818" s="182"/>
      <c r="C818" s="182"/>
      <c r="D818" s="182"/>
      <c r="E818" s="182"/>
      <c r="F818" s="182"/>
      <c r="G818" s="182"/>
      <c r="H818" s="182"/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  <c r="X818" s="182"/>
      <c r="Y818" s="182"/>
      <c r="Z818" s="182"/>
    </row>
    <row r="819" spans="1:26" ht="15.75" customHeight="1">
      <c r="A819" s="182"/>
      <c r="B819" s="182"/>
      <c r="C819" s="182"/>
      <c r="D819" s="182"/>
      <c r="E819" s="182"/>
      <c r="F819" s="182"/>
      <c r="G819" s="182"/>
      <c r="H819" s="182"/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  <c r="X819" s="182"/>
      <c r="Y819" s="182"/>
      <c r="Z819" s="182"/>
    </row>
    <row r="820" spans="1:26" ht="15.75" customHeight="1">
      <c r="A820" s="182"/>
      <c r="B820" s="182"/>
      <c r="C820" s="182"/>
      <c r="D820" s="182"/>
      <c r="E820" s="182"/>
      <c r="F820" s="182"/>
      <c r="G820" s="182"/>
      <c r="H820" s="182"/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82"/>
      <c r="T820" s="182"/>
      <c r="U820" s="182"/>
      <c r="V820" s="182"/>
      <c r="W820" s="182"/>
      <c r="X820" s="182"/>
      <c r="Y820" s="182"/>
      <c r="Z820" s="182"/>
    </row>
    <row r="821" spans="1:26" ht="15.75" customHeight="1">
      <c r="A821" s="182"/>
      <c r="B821" s="182"/>
      <c r="C821" s="182"/>
      <c r="D821" s="182"/>
      <c r="E821" s="182"/>
      <c r="F821" s="182"/>
      <c r="G821" s="182"/>
      <c r="H821" s="182"/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82"/>
      <c r="T821" s="182"/>
      <c r="U821" s="182"/>
      <c r="V821" s="182"/>
      <c r="W821" s="182"/>
      <c r="X821" s="182"/>
      <c r="Y821" s="182"/>
      <c r="Z821" s="182"/>
    </row>
    <row r="822" spans="1:26" ht="15.75" customHeight="1">
      <c r="A822" s="182"/>
      <c r="B822" s="182"/>
      <c r="C822" s="182"/>
      <c r="D822" s="182"/>
      <c r="E822" s="182"/>
      <c r="F822" s="182"/>
      <c r="G822" s="182"/>
      <c r="H822" s="182"/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2"/>
      <c r="T822" s="182"/>
      <c r="U822" s="182"/>
      <c r="V822" s="182"/>
      <c r="W822" s="182"/>
      <c r="X822" s="182"/>
      <c r="Y822" s="182"/>
      <c r="Z822" s="182"/>
    </row>
    <row r="823" spans="1:26" ht="15.75" customHeight="1">
      <c r="A823" s="182"/>
      <c r="B823" s="182"/>
      <c r="C823" s="182"/>
      <c r="D823" s="182"/>
      <c r="E823" s="182"/>
      <c r="F823" s="182"/>
      <c r="G823" s="182"/>
      <c r="H823" s="182"/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  <c r="X823" s="182"/>
      <c r="Y823" s="182"/>
      <c r="Z823" s="182"/>
    </row>
    <row r="824" spans="1:26" ht="15.75" customHeight="1">
      <c r="A824" s="182"/>
      <c r="B824" s="182"/>
      <c r="C824" s="182"/>
      <c r="D824" s="182"/>
      <c r="E824" s="182"/>
      <c r="F824" s="182"/>
      <c r="G824" s="182"/>
      <c r="H824" s="182"/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</row>
    <row r="825" spans="1:26" ht="15.75" customHeight="1">
      <c r="A825" s="182"/>
      <c r="B825" s="182"/>
      <c r="C825" s="182"/>
      <c r="D825" s="182"/>
      <c r="E825" s="182"/>
      <c r="F825" s="182"/>
      <c r="G825" s="182"/>
      <c r="H825" s="182"/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  <c r="X825" s="182"/>
      <c r="Y825" s="182"/>
      <c r="Z825" s="182"/>
    </row>
    <row r="826" spans="1:26" ht="15.75" customHeight="1">
      <c r="A826" s="182"/>
      <c r="B826" s="182"/>
      <c r="C826" s="182"/>
      <c r="D826" s="182"/>
      <c r="E826" s="182"/>
      <c r="F826" s="182"/>
      <c r="G826" s="182"/>
      <c r="H826" s="182"/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  <c r="X826" s="182"/>
      <c r="Y826" s="182"/>
      <c r="Z826" s="182"/>
    </row>
    <row r="827" spans="1:26" ht="15.75" customHeight="1">
      <c r="A827" s="182"/>
      <c r="B827" s="182"/>
      <c r="C827" s="182"/>
      <c r="D827" s="182"/>
      <c r="E827" s="182"/>
      <c r="F827" s="182"/>
      <c r="G827" s="182"/>
      <c r="H827" s="182"/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  <c r="X827" s="182"/>
      <c r="Y827" s="182"/>
      <c r="Z827" s="182"/>
    </row>
    <row r="828" spans="1:26" ht="15.75" customHeight="1">
      <c r="A828" s="182"/>
      <c r="B828" s="182"/>
      <c r="C828" s="182"/>
      <c r="D828" s="182"/>
      <c r="E828" s="182"/>
      <c r="F828" s="182"/>
      <c r="G828" s="182"/>
      <c r="H828" s="182"/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  <c r="X828" s="182"/>
      <c r="Y828" s="182"/>
      <c r="Z828" s="182"/>
    </row>
    <row r="829" spans="1:26" ht="15.75" customHeight="1">
      <c r="A829" s="182"/>
      <c r="B829" s="182"/>
      <c r="C829" s="182"/>
      <c r="D829" s="182"/>
      <c r="E829" s="182"/>
      <c r="F829" s="182"/>
      <c r="G829" s="182"/>
      <c r="H829" s="182"/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  <c r="X829" s="182"/>
      <c r="Y829" s="182"/>
      <c r="Z829" s="182"/>
    </row>
    <row r="830" spans="1:26" ht="15.75" customHeight="1">
      <c r="A830" s="182"/>
      <c r="B830" s="182"/>
      <c r="C830" s="182"/>
      <c r="D830" s="182"/>
      <c r="E830" s="182"/>
      <c r="F830" s="182"/>
      <c r="G830" s="182"/>
      <c r="H830" s="182"/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2"/>
      <c r="T830" s="182"/>
      <c r="U830" s="182"/>
      <c r="V830" s="182"/>
      <c r="W830" s="182"/>
      <c r="X830" s="182"/>
      <c r="Y830" s="182"/>
      <c r="Z830" s="182"/>
    </row>
    <row r="831" spans="1:26" ht="15.75" customHeight="1">
      <c r="A831" s="182"/>
      <c r="B831" s="182"/>
      <c r="C831" s="182"/>
      <c r="D831" s="182"/>
      <c r="E831" s="182"/>
      <c r="F831" s="182"/>
      <c r="G831" s="182"/>
      <c r="H831" s="182"/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82"/>
      <c r="T831" s="182"/>
      <c r="U831" s="182"/>
      <c r="V831" s="182"/>
      <c r="W831" s="182"/>
      <c r="X831" s="182"/>
      <c r="Y831" s="182"/>
      <c r="Z831" s="182"/>
    </row>
    <row r="832" spans="1:26" ht="15.75" customHeight="1">
      <c r="A832" s="182"/>
      <c r="B832" s="182"/>
      <c r="C832" s="182"/>
      <c r="D832" s="182"/>
      <c r="E832" s="182"/>
      <c r="F832" s="182"/>
      <c r="G832" s="182"/>
      <c r="H832" s="182"/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82"/>
      <c r="T832" s="182"/>
      <c r="U832" s="182"/>
      <c r="V832" s="182"/>
      <c r="W832" s="182"/>
      <c r="X832" s="182"/>
      <c r="Y832" s="182"/>
      <c r="Z832" s="182"/>
    </row>
    <row r="833" spans="1:26" ht="15.75" customHeight="1">
      <c r="A833" s="182"/>
      <c r="B833" s="182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82"/>
      <c r="T833" s="182"/>
      <c r="U833" s="182"/>
      <c r="V833" s="182"/>
      <c r="W833" s="182"/>
      <c r="X833" s="182"/>
      <c r="Y833" s="182"/>
      <c r="Z833" s="182"/>
    </row>
    <row r="834" spans="1:26" ht="15.75" customHeight="1">
      <c r="A834" s="182"/>
      <c r="B834" s="182"/>
      <c r="C834" s="182"/>
      <c r="D834" s="182"/>
      <c r="E834" s="182"/>
      <c r="F834" s="182"/>
      <c r="G834" s="182"/>
      <c r="H834" s="182"/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82"/>
      <c r="T834" s="182"/>
      <c r="U834" s="182"/>
      <c r="V834" s="182"/>
      <c r="W834" s="182"/>
      <c r="X834" s="182"/>
      <c r="Y834" s="182"/>
      <c r="Z834" s="182"/>
    </row>
    <row r="835" spans="1:26" ht="15.75" customHeight="1">
      <c r="A835" s="182"/>
      <c r="B835" s="182"/>
      <c r="C835" s="182"/>
      <c r="D835" s="182"/>
      <c r="E835" s="182"/>
      <c r="F835" s="182"/>
      <c r="G835" s="182"/>
      <c r="H835" s="182"/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82"/>
      <c r="T835" s="182"/>
      <c r="U835" s="182"/>
      <c r="V835" s="182"/>
      <c r="W835" s="182"/>
      <c r="X835" s="182"/>
      <c r="Y835" s="182"/>
      <c r="Z835" s="182"/>
    </row>
    <row r="836" spans="1:26" ht="15.75" customHeight="1">
      <c r="A836" s="182"/>
      <c r="B836" s="182"/>
      <c r="C836" s="182"/>
      <c r="D836" s="182"/>
      <c r="E836" s="182"/>
      <c r="F836" s="182"/>
      <c r="G836" s="182"/>
      <c r="H836" s="182"/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82"/>
      <c r="T836" s="182"/>
      <c r="U836" s="182"/>
      <c r="V836" s="182"/>
      <c r="W836" s="182"/>
      <c r="X836" s="182"/>
      <c r="Y836" s="182"/>
      <c r="Z836" s="182"/>
    </row>
    <row r="837" spans="1:26" ht="15.75" customHeight="1">
      <c r="A837" s="182"/>
      <c r="B837" s="182"/>
      <c r="C837" s="182"/>
      <c r="D837" s="182"/>
      <c r="E837" s="182"/>
      <c r="F837" s="182"/>
      <c r="G837" s="182"/>
      <c r="H837" s="182"/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82"/>
      <c r="T837" s="182"/>
      <c r="U837" s="182"/>
      <c r="V837" s="182"/>
      <c r="W837" s="182"/>
      <c r="X837" s="182"/>
      <c r="Y837" s="182"/>
      <c r="Z837" s="182"/>
    </row>
    <row r="838" spans="1:26" ht="15.75" customHeight="1">
      <c r="A838" s="182"/>
      <c r="B838" s="182"/>
      <c r="C838" s="182"/>
      <c r="D838" s="182"/>
      <c r="E838" s="182"/>
      <c r="F838" s="182"/>
      <c r="G838" s="182"/>
      <c r="H838" s="182"/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82"/>
      <c r="T838" s="182"/>
      <c r="U838" s="182"/>
      <c r="V838" s="182"/>
      <c r="W838" s="182"/>
      <c r="X838" s="182"/>
      <c r="Y838" s="182"/>
      <c r="Z838" s="182"/>
    </row>
    <row r="839" spans="1:26" ht="15.75" customHeight="1">
      <c r="A839" s="182"/>
      <c r="B839" s="182"/>
      <c r="C839" s="182"/>
      <c r="D839" s="182"/>
      <c r="E839" s="182"/>
      <c r="F839" s="182"/>
      <c r="G839" s="182"/>
      <c r="H839" s="182"/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82"/>
      <c r="T839" s="182"/>
      <c r="U839" s="182"/>
      <c r="V839" s="182"/>
      <c r="W839" s="182"/>
      <c r="X839" s="182"/>
      <c r="Y839" s="182"/>
      <c r="Z839" s="182"/>
    </row>
    <row r="840" spans="1:26" ht="15.75" customHeight="1">
      <c r="A840" s="182"/>
      <c r="B840" s="182"/>
      <c r="C840" s="182"/>
      <c r="D840" s="182"/>
      <c r="E840" s="182"/>
      <c r="F840" s="182"/>
      <c r="G840" s="182"/>
      <c r="H840" s="182"/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82"/>
      <c r="T840" s="182"/>
      <c r="U840" s="182"/>
      <c r="V840" s="182"/>
      <c r="W840" s="182"/>
      <c r="X840" s="182"/>
      <c r="Y840" s="182"/>
      <c r="Z840" s="182"/>
    </row>
    <row r="841" spans="1:26" ht="15.75" customHeight="1">
      <c r="A841" s="182"/>
      <c r="B841" s="182"/>
      <c r="C841" s="182"/>
      <c r="D841" s="182"/>
      <c r="E841" s="182"/>
      <c r="F841" s="182"/>
      <c r="G841" s="182"/>
      <c r="H841" s="182"/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82"/>
      <c r="T841" s="182"/>
      <c r="U841" s="182"/>
      <c r="V841" s="182"/>
      <c r="W841" s="182"/>
      <c r="X841" s="182"/>
      <c r="Y841" s="182"/>
      <c r="Z841" s="182"/>
    </row>
    <row r="842" spans="1:26" ht="15.75" customHeight="1">
      <c r="A842" s="182"/>
      <c r="B842" s="182"/>
      <c r="C842" s="182"/>
      <c r="D842" s="182"/>
      <c r="E842" s="182"/>
      <c r="F842" s="182"/>
      <c r="G842" s="182"/>
      <c r="H842" s="182"/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82"/>
      <c r="T842" s="182"/>
      <c r="U842" s="182"/>
      <c r="V842" s="182"/>
      <c r="W842" s="182"/>
      <c r="X842" s="182"/>
      <c r="Y842" s="182"/>
      <c r="Z842" s="182"/>
    </row>
    <row r="843" spans="1:26" ht="15.75" customHeight="1">
      <c r="A843" s="182"/>
      <c r="B843" s="182"/>
      <c r="C843" s="182"/>
      <c r="D843" s="182"/>
      <c r="E843" s="182"/>
      <c r="F843" s="182"/>
      <c r="G843" s="182"/>
      <c r="H843" s="182"/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82"/>
      <c r="T843" s="182"/>
      <c r="U843" s="182"/>
      <c r="V843" s="182"/>
      <c r="W843" s="182"/>
      <c r="X843" s="182"/>
      <c r="Y843" s="182"/>
      <c r="Z843" s="182"/>
    </row>
    <row r="844" spans="1:26" ht="15.75" customHeight="1">
      <c r="A844" s="182"/>
      <c r="B844" s="182"/>
      <c r="C844" s="182"/>
      <c r="D844" s="182"/>
      <c r="E844" s="182"/>
      <c r="F844" s="182"/>
      <c r="G844" s="182"/>
      <c r="H844" s="182"/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82"/>
      <c r="T844" s="182"/>
      <c r="U844" s="182"/>
      <c r="V844" s="182"/>
      <c r="W844" s="182"/>
      <c r="X844" s="182"/>
      <c r="Y844" s="182"/>
      <c r="Z844" s="182"/>
    </row>
    <row r="845" spans="1:26" ht="15.75" customHeight="1">
      <c r="A845" s="182"/>
      <c r="B845" s="182"/>
      <c r="C845" s="182"/>
      <c r="D845" s="182"/>
      <c r="E845" s="182"/>
      <c r="F845" s="182"/>
      <c r="G845" s="182"/>
      <c r="H845" s="182"/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82"/>
      <c r="T845" s="182"/>
      <c r="U845" s="182"/>
      <c r="V845" s="182"/>
      <c r="W845" s="182"/>
      <c r="X845" s="182"/>
      <c r="Y845" s="182"/>
      <c r="Z845" s="182"/>
    </row>
    <row r="846" spans="1:26" ht="15.75" customHeight="1">
      <c r="A846" s="182"/>
      <c r="B846" s="182"/>
      <c r="C846" s="182"/>
      <c r="D846" s="182"/>
      <c r="E846" s="182"/>
      <c r="F846" s="182"/>
      <c r="G846" s="182"/>
      <c r="H846" s="182"/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82"/>
      <c r="T846" s="182"/>
      <c r="U846" s="182"/>
      <c r="V846" s="182"/>
      <c r="W846" s="182"/>
      <c r="X846" s="182"/>
      <c r="Y846" s="182"/>
      <c r="Z846" s="182"/>
    </row>
    <row r="847" spans="1:26" ht="15.75" customHeight="1">
      <c r="A847" s="182"/>
      <c r="B847" s="182"/>
      <c r="C847" s="182"/>
      <c r="D847" s="182"/>
      <c r="E847" s="182"/>
      <c r="F847" s="182"/>
      <c r="G847" s="182"/>
      <c r="H847" s="182"/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82"/>
      <c r="T847" s="182"/>
      <c r="U847" s="182"/>
      <c r="V847" s="182"/>
      <c r="W847" s="182"/>
      <c r="X847" s="182"/>
      <c r="Y847" s="182"/>
      <c r="Z847" s="182"/>
    </row>
    <row r="848" spans="1:26" ht="15.75" customHeight="1">
      <c r="A848" s="182"/>
      <c r="B848" s="182"/>
      <c r="C848" s="182"/>
      <c r="D848" s="182"/>
      <c r="E848" s="182"/>
      <c r="F848" s="182"/>
      <c r="G848" s="182"/>
      <c r="H848" s="182"/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82"/>
      <c r="T848" s="182"/>
      <c r="U848" s="182"/>
      <c r="V848" s="182"/>
      <c r="W848" s="182"/>
      <c r="X848" s="182"/>
      <c r="Y848" s="182"/>
      <c r="Z848" s="182"/>
    </row>
    <row r="849" spans="1:26" ht="15.75" customHeight="1">
      <c r="A849" s="182"/>
      <c r="B849" s="182"/>
      <c r="C849" s="182"/>
      <c r="D849" s="182"/>
      <c r="E849" s="182"/>
      <c r="F849" s="182"/>
      <c r="G849" s="182"/>
      <c r="H849" s="182"/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82"/>
      <c r="T849" s="182"/>
      <c r="U849" s="182"/>
      <c r="V849" s="182"/>
      <c r="W849" s="182"/>
      <c r="X849" s="182"/>
      <c r="Y849" s="182"/>
      <c r="Z849" s="182"/>
    </row>
    <row r="850" spans="1:26" ht="15.75" customHeight="1">
      <c r="A850" s="182"/>
      <c r="B850" s="182"/>
      <c r="C850" s="182"/>
      <c r="D850" s="182"/>
      <c r="E850" s="182"/>
      <c r="F850" s="182"/>
      <c r="G850" s="182"/>
      <c r="H850" s="182"/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82"/>
      <c r="T850" s="182"/>
      <c r="U850" s="182"/>
      <c r="V850" s="182"/>
      <c r="W850" s="182"/>
      <c r="X850" s="182"/>
      <c r="Y850" s="182"/>
      <c r="Z850" s="182"/>
    </row>
    <row r="851" spans="1:26" ht="15.75" customHeight="1">
      <c r="A851" s="182"/>
      <c r="B851" s="182"/>
      <c r="C851" s="182"/>
      <c r="D851" s="182"/>
      <c r="E851" s="182"/>
      <c r="F851" s="182"/>
      <c r="G851" s="182"/>
      <c r="H851" s="182"/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82"/>
      <c r="T851" s="182"/>
      <c r="U851" s="182"/>
      <c r="V851" s="182"/>
      <c r="W851" s="182"/>
      <c r="X851" s="182"/>
      <c r="Y851" s="182"/>
      <c r="Z851" s="182"/>
    </row>
    <row r="852" spans="1:26" ht="15.75" customHeight="1">
      <c r="A852" s="182"/>
      <c r="B852" s="182"/>
      <c r="C852" s="182"/>
      <c r="D852" s="182"/>
      <c r="E852" s="182"/>
      <c r="F852" s="182"/>
      <c r="G852" s="182"/>
      <c r="H852" s="182"/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82"/>
      <c r="T852" s="182"/>
      <c r="U852" s="182"/>
      <c r="V852" s="182"/>
      <c r="W852" s="182"/>
      <c r="X852" s="182"/>
      <c r="Y852" s="182"/>
      <c r="Z852" s="182"/>
    </row>
    <row r="853" spans="1:26" ht="15.75" customHeight="1">
      <c r="A853" s="182"/>
      <c r="B853" s="182"/>
      <c r="C853" s="182"/>
      <c r="D853" s="182"/>
      <c r="E853" s="182"/>
      <c r="F853" s="182"/>
      <c r="G853" s="182"/>
      <c r="H853" s="182"/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82"/>
      <c r="T853" s="182"/>
      <c r="U853" s="182"/>
      <c r="V853" s="182"/>
      <c r="W853" s="182"/>
      <c r="X853" s="182"/>
      <c r="Y853" s="182"/>
      <c r="Z853" s="182"/>
    </row>
    <row r="854" spans="1:26" ht="15.75" customHeight="1">
      <c r="A854" s="182"/>
      <c r="B854" s="182"/>
      <c r="C854" s="182"/>
      <c r="D854" s="182"/>
      <c r="E854" s="182"/>
      <c r="F854" s="182"/>
      <c r="G854" s="182"/>
      <c r="H854" s="182"/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82"/>
      <c r="T854" s="182"/>
      <c r="U854" s="182"/>
      <c r="V854" s="182"/>
      <c r="W854" s="182"/>
      <c r="X854" s="182"/>
      <c r="Y854" s="182"/>
      <c r="Z854" s="182"/>
    </row>
    <row r="855" spans="1:26" ht="15.75" customHeight="1">
      <c r="A855" s="182"/>
      <c r="B855" s="182"/>
      <c r="C855" s="182"/>
      <c r="D855" s="182"/>
      <c r="E855" s="182"/>
      <c r="F855" s="182"/>
      <c r="G855" s="182"/>
      <c r="H855" s="182"/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82"/>
      <c r="T855" s="182"/>
      <c r="U855" s="182"/>
      <c r="V855" s="182"/>
      <c r="W855" s="182"/>
      <c r="X855" s="182"/>
      <c r="Y855" s="182"/>
      <c r="Z855" s="182"/>
    </row>
    <row r="856" spans="1:26" ht="15.75" customHeight="1">
      <c r="A856" s="182"/>
      <c r="B856" s="182"/>
      <c r="C856" s="182"/>
      <c r="D856" s="182"/>
      <c r="E856" s="182"/>
      <c r="F856" s="182"/>
      <c r="G856" s="182"/>
      <c r="H856" s="182"/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2"/>
      <c r="T856" s="182"/>
      <c r="U856" s="182"/>
      <c r="V856" s="182"/>
      <c r="W856" s="182"/>
      <c r="X856" s="182"/>
      <c r="Y856" s="182"/>
      <c r="Z856" s="182"/>
    </row>
    <row r="857" spans="1:26" ht="15.75" customHeight="1">
      <c r="A857" s="182"/>
      <c r="B857" s="182"/>
      <c r="C857" s="182"/>
      <c r="D857" s="182"/>
      <c r="E857" s="182"/>
      <c r="F857" s="182"/>
      <c r="G857" s="182"/>
      <c r="H857" s="182"/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2"/>
      <c r="T857" s="182"/>
      <c r="U857" s="182"/>
      <c r="V857" s="182"/>
      <c r="W857" s="182"/>
      <c r="X857" s="182"/>
      <c r="Y857" s="182"/>
      <c r="Z857" s="182"/>
    </row>
    <row r="858" spans="1:26" ht="15.75" customHeight="1">
      <c r="A858" s="182"/>
      <c r="B858" s="182"/>
      <c r="C858" s="182"/>
      <c r="D858" s="182"/>
      <c r="E858" s="182"/>
      <c r="F858" s="182"/>
      <c r="G858" s="182"/>
      <c r="H858" s="182"/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82"/>
      <c r="T858" s="182"/>
      <c r="U858" s="182"/>
      <c r="V858" s="182"/>
      <c r="W858" s="182"/>
      <c r="X858" s="182"/>
      <c r="Y858" s="182"/>
      <c r="Z858" s="182"/>
    </row>
    <row r="859" spans="1:26" ht="15.75" customHeight="1">
      <c r="A859" s="182"/>
      <c r="B859" s="182"/>
      <c r="C859" s="182"/>
      <c r="D859" s="182"/>
      <c r="E859" s="182"/>
      <c r="F859" s="182"/>
      <c r="G859" s="182"/>
      <c r="H859" s="182"/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82"/>
      <c r="T859" s="182"/>
      <c r="U859" s="182"/>
      <c r="V859" s="182"/>
      <c r="W859" s="182"/>
      <c r="X859" s="182"/>
      <c r="Y859" s="182"/>
      <c r="Z859" s="182"/>
    </row>
    <row r="860" spans="1:26" ht="15.75" customHeight="1">
      <c r="A860" s="182"/>
      <c r="B860" s="182"/>
      <c r="C860" s="182"/>
      <c r="D860" s="182"/>
      <c r="E860" s="182"/>
      <c r="F860" s="182"/>
      <c r="G860" s="182"/>
      <c r="H860" s="182"/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82"/>
      <c r="T860" s="182"/>
      <c r="U860" s="182"/>
      <c r="V860" s="182"/>
      <c r="W860" s="182"/>
      <c r="X860" s="182"/>
      <c r="Y860" s="182"/>
      <c r="Z860" s="182"/>
    </row>
    <row r="861" spans="1:26" ht="15.75" customHeight="1">
      <c r="A861" s="182"/>
      <c r="B861" s="182"/>
      <c r="C861" s="182"/>
      <c r="D861" s="182"/>
      <c r="E861" s="182"/>
      <c r="F861" s="182"/>
      <c r="G861" s="182"/>
      <c r="H861" s="182"/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82"/>
      <c r="T861" s="182"/>
      <c r="U861" s="182"/>
      <c r="V861" s="182"/>
      <c r="W861" s="182"/>
      <c r="X861" s="182"/>
      <c r="Y861" s="182"/>
      <c r="Z861" s="182"/>
    </row>
    <row r="862" spans="1:26" ht="15.75" customHeight="1">
      <c r="A862" s="182"/>
      <c r="B862" s="182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82"/>
      <c r="T862" s="182"/>
      <c r="U862" s="182"/>
      <c r="V862" s="182"/>
      <c r="W862" s="182"/>
      <c r="X862" s="182"/>
      <c r="Y862" s="182"/>
      <c r="Z862" s="182"/>
    </row>
    <row r="863" spans="1:26" ht="15.75" customHeight="1">
      <c r="A863" s="182"/>
      <c r="B863" s="182"/>
      <c r="C863" s="182"/>
      <c r="D863" s="182"/>
      <c r="E863" s="182"/>
      <c r="F863" s="182"/>
      <c r="G863" s="182"/>
      <c r="H863" s="182"/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82"/>
      <c r="T863" s="182"/>
      <c r="U863" s="182"/>
      <c r="V863" s="182"/>
      <c r="W863" s="182"/>
      <c r="X863" s="182"/>
      <c r="Y863" s="182"/>
      <c r="Z863" s="182"/>
    </row>
    <row r="864" spans="1:26" ht="15.75" customHeight="1">
      <c r="A864" s="182"/>
      <c r="B864" s="182"/>
      <c r="C864" s="182"/>
      <c r="D864" s="182"/>
      <c r="E864" s="182"/>
      <c r="F864" s="182"/>
      <c r="G864" s="182"/>
      <c r="H864" s="182"/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82"/>
      <c r="T864" s="182"/>
      <c r="U864" s="182"/>
      <c r="V864" s="182"/>
      <c r="W864" s="182"/>
      <c r="X864" s="182"/>
      <c r="Y864" s="182"/>
      <c r="Z864" s="182"/>
    </row>
    <row r="865" spans="1:26" ht="15.75" customHeight="1">
      <c r="A865" s="182"/>
      <c r="B865" s="182"/>
      <c r="C865" s="182"/>
      <c r="D865" s="182"/>
      <c r="E865" s="182"/>
      <c r="F865" s="182"/>
      <c r="G865" s="182"/>
      <c r="H865" s="182"/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82"/>
      <c r="T865" s="182"/>
      <c r="U865" s="182"/>
      <c r="V865" s="182"/>
      <c r="W865" s="182"/>
      <c r="X865" s="182"/>
      <c r="Y865" s="182"/>
      <c r="Z865" s="182"/>
    </row>
    <row r="866" spans="1:26" ht="15.75" customHeight="1">
      <c r="A866" s="182"/>
      <c r="B866" s="182"/>
      <c r="C866" s="182"/>
      <c r="D866" s="182"/>
      <c r="E866" s="182"/>
      <c r="F866" s="182"/>
      <c r="G866" s="182"/>
      <c r="H866" s="182"/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82"/>
      <c r="T866" s="182"/>
      <c r="U866" s="182"/>
      <c r="V866" s="182"/>
      <c r="W866" s="182"/>
      <c r="X866" s="182"/>
      <c r="Y866" s="182"/>
      <c r="Z866" s="182"/>
    </row>
    <row r="867" spans="1:26" ht="15.75" customHeight="1">
      <c r="A867" s="182"/>
      <c r="B867" s="182"/>
      <c r="C867" s="182"/>
      <c r="D867" s="182"/>
      <c r="E867" s="182"/>
      <c r="F867" s="182"/>
      <c r="G867" s="182"/>
      <c r="H867" s="182"/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82"/>
      <c r="T867" s="182"/>
      <c r="U867" s="182"/>
      <c r="V867" s="182"/>
      <c r="W867" s="182"/>
      <c r="X867" s="182"/>
      <c r="Y867" s="182"/>
      <c r="Z867" s="182"/>
    </row>
    <row r="868" spans="1:26" ht="15.75" customHeight="1">
      <c r="A868" s="182"/>
      <c r="B868" s="182"/>
      <c r="C868" s="182"/>
      <c r="D868" s="182"/>
      <c r="E868" s="182"/>
      <c r="F868" s="182"/>
      <c r="G868" s="182"/>
      <c r="H868" s="182"/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82"/>
      <c r="T868" s="182"/>
      <c r="U868" s="182"/>
      <c r="V868" s="182"/>
      <c r="W868" s="182"/>
      <c r="X868" s="182"/>
      <c r="Y868" s="182"/>
      <c r="Z868" s="182"/>
    </row>
    <row r="869" spans="1:26" ht="15.75" customHeight="1">
      <c r="A869" s="182"/>
      <c r="B869" s="182"/>
      <c r="C869" s="182"/>
      <c r="D869" s="182"/>
      <c r="E869" s="182"/>
      <c r="F869" s="182"/>
      <c r="G869" s="182"/>
      <c r="H869" s="182"/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82"/>
      <c r="T869" s="182"/>
      <c r="U869" s="182"/>
      <c r="V869" s="182"/>
      <c r="W869" s="182"/>
      <c r="X869" s="182"/>
      <c r="Y869" s="182"/>
      <c r="Z869" s="182"/>
    </row>
    <row r="870" spans="1:26" ht="15.75" customHeight="1">
      <c r="A870" s="182"/>
      <c r="B870" s="182"/>
      <c r="C870" s="182"/>
      <c r="D870" s="182"/>
      <c r="E870" s="182"/>
      <c r="F870" s="182"/>
      <c r="G870" s="182"/>
      <c r="H870" s="182"/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  <c r="X870" s="182"/>
      <c r="Y870" s="182"/>
      <c r="Z870" s="182"/>
    </row>
    <row r="871" spans="1:26" ht="15.75" customHeight="1">
      <c r="A871" s="182"/>
      <c r="B871" s="182"/>
      <c r="C871" s="182"/>
      <c r="D871" s="182"/>
      <c r="E871" s="182"/>
      <c r="F871" s="182"/>
      <c r="G871" s="182"/>
      <c r="H871" s="182"/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  <c r="X871" s="182"/>
      <c r="Y871" s="182"/>
      <c r="Z871" s="182"/>
    </row>
    <row r="872" spans="1:26" ht="15.75" customHeight="1">
      <c r="A872" s="182"/>
      <c r="B872" s="182"/>
      <c r="C872" s="182"/>
      <c r="D872" s="182"/>
      <c r="E872" s="182"/>
      <c r="F872" s="182"/>
      <c r="G872" s="182"/>
      <c r="H872" s="182"/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2"/>
      <c r="T872" s="182"/>
      <c r="U872" s="182"/>
      <c r="V872" s="182"/>
      <c r="W872" s="182"/>
      <c r="X872" s="182"/>
      <c r="Y872" s="182"/>
      <c r="Z872" s="182"/>
    </row>
    <row r="873" spans="1:26" ht="15.75" customHeight="1">
      <c r="A873" s="182"/>
      <c r="B873" s="182"/>
      <c r="C873" s="182"/>
      <c r="D873" s="182"/>
      <c r="E873" s="182"/>
      <c r="F873" s="182"/>
      <c r="G873" s="182"/>
      <c r="H873" s="182"/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  <c r="X873" s="182"/>
      <c r="Y873" s="182"/>
      <c r="Z873" s="182"/>
    </row>
    <row r="874" spans="1:26" ht="15.75" customHeight="1">
      <c r="A874" s="182"/>
      <c r="B874" s="182"/>
      <c r="C874" s="182"/>
      <c r="D874" s="182"/>
      <c r="E874" s="182"/>
      <c r="F874" s="182"/>
      <c r="G874" s="182"/>
      <c r="H874" s="182"/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  <c r="X874" s="182"/>
      <c r="Y874" s="182"/>
      <c r="Z874" s="182"/>
    </row>
    <row r="875" spans="1:26" ht="15.75" customHeight="1">
      <c r="A875" s="182"/>
      <c r="B875" s="182"/>
      <c r="C875" s="182"/>
      <c r="D875" s="182"/>
      <c r="E875" s="182"/>
      <c r="F875" s="182"/>
      <c r="G875" s="182"/>
      <c r="H875" s="182"/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2"/>
      <c r="T875" s="182"/>
      <c r="U875" s="182"/>
      <c r="V875" s="182"/>
      <c r="W875" s="182"/>
      <c r="X875" s="182"/>
      <c r="Y875" s="182"/>
      <c r="Z875" s="182"/>
    </row>
    <row r="876" spans="1:26" ht="15.75" customHeight="1">
      <c r="A876" s="182"/>
      <c r="B876" s="182"/>
      <c r="C876" s="182"/>
      <c r="D876" s="182"/>
      <c r="E876" s="182"/>
      <c r="F876" s="182"/>
      <c r="G876" s="182"/>
      <c r="H876" s="182"/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2"/>
      <c r="T876" s="182"/>
      <c r="U876" s="182"/>
      <c r="V876" s="182"/>
      <c r="W876" s="182"/>
      <c r="X876" s="182"/>
      <c r="Y876" s="182"/>
      <c r="Z876" s="182"/>
    </row>
    <row r="877" spans="1:26" ht="15.75" customHeight="1">
      <c r="A877" s="182"/>
      <c r="B877" s="182"/>
      <c r="C877" s="182"/>
      <c r="D877" s="182"/>
      <c r="E877" s="182"/>
      <c r="F877" s="182"/>
      <c r="G877" s="182"/>
      <c r="H877" s="182"/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2"/>
      <c r="T877" s="182"/>
      <c r="U877" s="182"/>
      <c r="V877" s="182"/>
      <c r="W877" s="182"/>
      <c r="X877" s="182"/>
      <c r="Y877" s="182"/>
      <c r="Z877" s="182"/>
    </row>
    <row r="878" spans="1:26" ht="15.75" customHeight="1">
      <c r="A878" s="182"/>
      <c r="B878" s="182"/>
      <c r="C878" s="182"/>
      <c r="D878" s="182"/>
      <c r="E878" s="182"/>
      <c r="F878" s="182"/>
      <c r="G878" s="182"/>
      <c r="H878" s="182"/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2"/>
      <c r="T878" s="182"/>
      <c r="U878" s="182"/>
      <c r="V878" s="182"/>
      <c r="W878" s="182"/>
      <c r="X878" s="182"/>
      <c r="Y878" s="182"/>
      <c r="Z878" s="182"/>
    </row>
    <row r="879" spans="1:26" ht="15.75" customHeight="1">
      <c r="A879" s="182"/>
      <c r="B879" s="182"/>
      <c r="C879" s="182"/>
      <c r="D879" s="182"/>
      <c r="E879" s="182"/>
      <c r="F879" s="182"/>
      <c r="G879" s="182"/>
      <c r="H879" s="182"/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82"/>
      <c r="T879" s="182"/>
      <c r="U879" s="182"/>
      <c r="V879" s="182"/>
      <c r="W879" s="182"/>
      <c r="X879" s="182"/>
      <c r="Y879" s="182"/>
      <c r="Z879" s="182"/>
    </row>
    <row r="880" spans="1:26" ht="15.75" customHeight="1">
      <c r="A880" s="182"/>
      <c r="B880" s="182"/>
      <c r="C880" s="182"/>
      <c r="D880" s="182"/>
      <c r="E880" s="182"/>
      <c r="F880" s="182"/>
      <c r="G880" s="182"/>
      <c r="H880" s="182"/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2"/>
      <c r="T880" s="182"/>
      <c r="U880" s="182"/>
      <c r="V880" s="182"/>
      <c r="W880" s="182"/>
      <c r="X880" s="182"/>
      <c r="Y880" s="182"/>
      <c r="Z880" s="182"/>
    </row>
    <row r="881" spans="1:26" ht="15.75" customHeight="1">
      <c r="A881" s="182"/>
      <c r="B881" s="182"/>
      <c r="C881" s="182"/>
      <c r="D881" s="182"/>
      <c r="E881" s="182"/>
      <c r="F881" s="182"/>
      <c r="G881" s="182"/>
      <c r="H881" s="182"/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82"/>
      <c r="T881" s="182"/>
      <c r="U881" s="182"/>
      <c r="V881" s="182"/>
      <c r="W881" s="182"/>
      <c r="X881" s="182"/>
      <c r="Y881" s="182"/>
      <c r="Z881" s="182"/>
    </row>
    <row r="882" spans="1:26" ht="15.75" customHeight="1">
      <c r="A882" s="182"/>
      <c r="B882" s="182"/>
      <c r="C882" s="182"/>
      <c r="D882" s="182"/>
      <c r="E882" s="182"/>
      <c r="F882" s="182"/>
      <c r="G882" s="182"/>
      <c r="H882" s="182"/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82"/>
      <c r="T882" s="182"/>
      <c r="U882" s="182"/>
      <c r="V882" s="182"/>
      <c r="W882" s="182"/>
      <c r="X882" s="182"/>
      <c r="Y882" s="182"/>
      <c r="Z882" s="182"/>
    </row>
    <row r="883" spans="1:26" ht="15.75" customHeight="1">
      <c r="A883" s="182"/>
      <c r="B883" s="182"/>
      <c r="C883" s="182"/>
      <c r="D883" s="182"/>
      <c r="E883" s="182"/>
      <c r="F883" s="182"/>
      <c r="G883" s="182"/>
      <c r="H883" s="182"/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82"/>
      <c r="T883" s="182"/>
      <c r="U883" s="182"/>
      <c r="V883" s="182"/>
      <c r="W883" s="182"/>
      <c r="X883" s="182"/>
      <c r="Y883" s="182"/>
      <c r="Z883" s="182"/>
    </row>
    <row r="884" spans="1:26" ht="15.75" customHeight="1">
      <c r="A884" s="182"/>
      <c r="B884" s="182"/>
      <c r="C884" s="182"/>
      <c r="D884" s="182"/>
      <c r="E884" s="182"/>
      <c r="F884" s="182"/>
      <c r="G884" s="182"/>
      <c r="H884" s="182"/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82"/>
      <c r="T884" s="182"/>
      <c r="U884" s="182"/>
      <c r="V884" s="182"/>
      <c r="W884" s="182"/>
      <c r="X884" s="182"/>
      <c r="Y884" s="182"/>
      <c r="Z884" s="182"/>
    </row>
    <row r="885" spans="1:26" ht="15.75" customHeight="1">
      <c r="A885" s="182"/>
      <c r="B885" s="182"/>
      <c r="C885" s="182"/>
      <c r="D885" s="182"/>
      <c r="E885" s="182"/>
      <c r="F885" s="182"/>
      <c r="G885" s="182"/>
      <c r="H885" s="182"/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82"/>
      <c r="T885" s="182"/>
      <c r="U885" s="182"/>
      <c r="V885" s="182"/>
      <c r="W885" s="182"/>
      <c r="X885" s="182"/>
      <c r="Y885" s="182"/>
      <c r="Z885" s="182"/>
    </row>
    <row r="886" spans="1:26" ht="15.75" customHeight="1">
      <c r="A886" s="182"/>
      <c r="B886" s="182"/>
      <c r="C886" s="182"/>
      <c r="D886" s="182"/>
      <c r="E886" s="182"/>
      <c r="F886" s="182"/>
      <c r="G886" s="182"/>
      <c r="H886" s="182"/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82"/>
      <c r="T886" s="182"/>
      <c r="U886" s="182"/>
      <c r="V886" s="182"/>
      <c r="W886" s="182"/>
      <c r="X886" s="182"/>
      <c r="Y886" s="182"/>
      <c r="Z886" s="182"/>
    </row>
    <row r="887" spans="1:26" ht="15.75" customHeight="1">
      <c r="A887" s="182"/>
      <c r="B887" s="182"/>
      <c r="C887" s="182"/>
      <c r="D887" s="182"/>
      <c r="E887" s="182"/>
      <c r="F887" s="182"/>
      <c r="G887" s="182"/>
      <c r="H887" s="182"/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82"/>
      <c r="T887" s="182"/>
      <c r="U887" s="182"/>
      <c r="V887" s="182"/>
      <c r="W887" s="182"/>
      <c r="X887" s="182"/>
      <c r="Y887" s="182"/>
      <c r="Z887" s="182"/>
    </row>
    <row r="888" spans="1:26" ht="15.75" customHeight="1">
      <c r="A888" s="182"/>
      <c r="B888" s="182"/>
      <c r="C888" s="182"/>
      <c r="D888" s="182"/>
      <c r="E888" s="182"/>
      <c r="F888" s="182"/>
      <c r="G888" s="182"/>
      <c r="H888" s="182"/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82"/>
      <c r="T888" s="182"/>
      <c r="U888" s="182"/>
      <c r="V888" s="182"/>
      <c r="W888" s="182"/>
      <c r="X888" s="182"/>
      <c r="Y888" s="182"/>
      <c r="Z888" s="182"/>
    </row>
    <row r="889" spans="1:26" ht="15.75" customHeight="1">
      <c r="A889" s="182"/>
      <c r="B889" s="182"/>
      <c r="C889" s="182"/>
      <c r="D889" s="182"/>
      <c r="E889" s="182"/>
      <c r="F889" s="182"/>
      <c r="G889" s="182"/>
      <c r="H889" s="182"/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  <c r="X889" s="182"/>
      <c r="Y889" s="182"/>
      <c r="Z889" s="182"/>
    </row>
    <row r="890" spans="1:26" ht="15.75" customHeight="1">
      <c r="A890" s="182"/>
      <c r="B890" s="182"/>
      <c r="C890" s="182"/>
      <c r="D890" s="182"/>
      <c r="E890" s="182"/>
      <c r="F890" s="182"/>
      <c r="G890" s="182"/>
      <c r="H890" s="182"/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82"/>
      <c r="T890" s="182"/>
      <c r="U890" s="182"/>
      <c r="V890" s="182"/>
      <c r="W890" s="182"/>
      <c r="X890" s="182"/>
      <c r="Y890" s="182"/>
      <c r="Z890" s="182"/>
    </row>
    <row r="891" spans="1:26" ht="15.75" customHeight="1">
      <c r="A891" s="182"/>
      <c r="B891" s="182"/>
      <c r="C891" s="182"/>
      <c r="D891" s="182"/>
      <c r="E891" s="182"/>
      <c r="F891" s="182"/>
      <c r="G891" s="182"/>
      <c r="H891" s="182"/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82"/>
      <c r="T891" s="182"/>
      <c r="U891" s="182"/>
      <c r="V891" s="182"/>
      <c r="W891" s="182"/>
      <c r="X891" s="182"/>
      <c r="Y891" s="182"/>
      <c r="Z891" s="182"/>
    </row>
    <row r="892" spans="1:26" ht="15.75" customHeight="1">
      <c r="A892" s="182"/>
      <c r="B892" s="182"/>
      <c r="C892" s="182"/>
      <c r="D892" s="182"/>
      <c r="E892" s="182"/>
      <c r="F892" s="182"/>
      <c r="G892" s="182"/>
      <c r="H892" s="182"/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82"/>
      <c r="T892" s="182"/>
      <c r="U892" s="182"/>
      <c r="V892" s="182"/>
      <c r="W892" s="182"/>
      <c r="X892" s="182"/>
      <c r="Y892" s="182"/>
      <c r="Z892" s="182"/>
    </row>
    <row r="893" spans="1:26" ht="15.75" customHeight="1">
      <c r="A893" s="182"/>
      <c r="B893" s="182"/>
      <c r="C893" s="182"/>
      <c r="D893" s="182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  <c r="X893" s="182"/>
      <c r="Y893" s="182"/>
      <c r="Z893" s="182"/>
    </row>
    <row r="894" spans="1:26" ht="15.75" customHeight="1">
      <c r="A894" s="182"/>
      <c r="B894" s="182"/>
      <c r="C894" s="182"/>
      <c r="D894" s="182"/>
      <c r="E894" s="182"/>
      <c r="F894" s="182"/>
      <c r="G894" s="182"/>
      <c r="H894" s="182"/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82"/>
      <c r="T894" s="182"/>
      <c r="U894" s="182"/>
      <c r="V894" s="182"/>
      <c r="W894" s="182"/>
      <c r="X894" s="182"/>
      <c r="Y894" s="182"/>
      <c r="Z894" s="182"/>
    </row>
    <row r="895" spans="1:26" ht="15.75" customHeight="1">
      <c r="A895" s="182"/>
      <c r="B895" s="182"/>
      <c r="C895" s="182"/>
      <c r="D895" s="182"/>
      <c r="E895" s="182"/>
      <c r="F895" s="182"/>
      <c r="G895" s="182"/>
      <c r="H895" s="182"/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82"/>
      <c r="T895" s="182"/>
      <c r="U895" s="182"/>
      <c r="V895" s="182"/>
      <c r="W895" s="182"/>
      <c r="X895" s="182"/>
      <c r="Y895" s="182"/>
      <c r="Z895" s="182"/>
    </row>
    <row r="896" spans="1:26" ht="15.75" customHeight="1">
      <c r="A896" s="182"/>
      <c r="B896" s="182"/>
      <c r="C896" s="182"/>
      <c r="D896" s="182"/>
      <c r="E896" s="182"/>
      <c r="F896" s="182"/>
      <c r="G896" s="182"/>
      <c r="H896" s="182"/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</row>
    <row r="897" spans="1:26" ht="15.75" customHeight="1">
      <c r="A897" s="182"/>
      <c r="B897" s="182"/>
      <c r="C897" s="182"/>
      <c r="D897" s="182"/>
      <c r="E897" s="182"/>
      <c r="F897" s="182"/>
      <c r="G897" s="182"/>
      <c r="H897" s="182"/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82"/>
      <c r="T897" s="182"/>
      <c r="U897" s="182"/>
      <c r="V897" s="182"/>
      <c r="W897" s="182"/>
      <c r="X897" s="182"/>
      <c r="Y897" s="182"/>
      <c r="Z897" s="182"/>
    </row>
    <row r="898" spans="1:26" ht="15.75" customHeight="1">
      <c r="A898" s="182"/>
      <c r="B898" s="182"/>
      <c r="C898" s="182"/>
      <c r="D898" s="182"/>
      <c r="E898" s="182"/>
      <c r="F898" s="182"/>
      <c r="G898" s="182"/>
      <c r="H898" s="182"/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2"/>
      <c r="T898" s="182"/>
      <c r="U898" s="182"/>
      <c r="V898" s="182"/>
      <c r="W898" s="182"/>
      <c r="X898" s="182"/>
      <c r="Y898" s="182"/>
      <c r="Z898" s="182"/>
    </row>
    <row r="899" spans="1:26" ht="15.75" customHeight="1">
      <c r="A899" s="182"/>
      <c r="B899" s="182"/>
      <c r="C899" s="182"/>
      <c r="D899" s="182"/>
      <c r="E899" s="182"/>
      <c r="F899" s="182"/>
      <c r="G899" s="182"/>
      <c r="H899" s="182"/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182"/>
      <c r="V899" s="182"/>
      <c r="W899" s="182"/>
      <c r="X899" s="182"/>
      <c r="Y899" s="182"/>
      <c r="Z899" s="182"/>
    </row>
    <row r="900" spans="1:26" ht="15.75" customHeight="1">
      <c r="A900" s="182"/>
      <c r="B900" s="182"/>
      <c r="C900" s="182"/>
      <c r="D900" s="182"/>
      <c r="E900" s="182"/>
      <c r="F900" s="182"/>
      <c r="G900" s="182"/>
      <c r="H900" s="182"/>
      <c r="I900" s="182"/>
      <c r="J900" s="182"/>
      <c r="K900" s="182"/>
      <c r="L900" s="182"/>
      <c r="M900" s="182"/>
      <c r="N900" s="182"/>
      <c r="O900" s="182"/>
      <c r="P900" s="182"/>
      <c r="Q900" s="182"/>
      <c r="R900" s="182"/>
      <c r="S900" s="182"/>
      <c r="T900" s="182"/>
      <c r="U900" s="182"/>
      <c r="V900" s="182"/>
      <c r="W900" s="182"/>
      <c r="X900" s="182"/>
      <c r="Y900" s="182"/>
      <c r="Z900" s="182"/>
    </row>
    <row r="901" spans="1:26" ht="15.75" customHeight="1">
      <c r="A901" s="182"/>
      <c r="B901" s="182"/>
      <c r="C901" s="182"/>
      <c r="D901" s="182"/>
      <c r="E901" s="182"/>
      <c r="F901" s="182"/>
      <c r="G901" s="182"/>
      <c r="H901" s="182"/>
      <c r="I901" s="182"/>
      <c r="J901" s="182"/>
      <c r="K901" s="182"/>
      <c r="L901" s="182"/>
      <c r="M901" s="182"/>
      <c r="N901" s="182"/>
      <c r="O901" s="182"/>
      <c r="P901" s="182"/>
      <c r="Q901" s="182"/>
      <c r="R901" s="182"/>
      <c r="S901" s="182"/>
      <c r="T901" s="182"/>
      <c r="U901" s="182"/>
      <c r="V901" s="182"/>
      <c r="W901" s="182"/>
      <c r="X901" s="182"/>
      <c r="Y901" s="182"/>
      <c r="Z901" s="182"/>
    </row>
    <row r="902" spans="1:26" ht="15.75" customHeight="1">
      <c r="A902" s="182"/>
      <c r="B902" s="182"/>
      <c r="C902" s="182"/>
      <c r="D902" s="182"/>
      <c r="E902" s="182"/>
      <c r="F902" s="182"/>
      <c r="G902" s="182"/>
      <c r="H902" s="182"/>
      <c r="I902" s="182"/>
      <c r="J902" s="182"/>
      <c r="K902" s="182"/>
      <c r="L902" s="182"/>
      <c r="M902" s="182"/>
      <c r="N902" s="182"/>
      <c r="O902" s="182"/>
      <c r="P902" s="182"/>
      <c r="Q902" s="182"/>
      <c r="R902" s="182"/>
      <c r="S902" s="182"/>
      <c r="T902" s="182"/>
      <c r="U902" s="182"/>
      <c r="V902" s="182"/>
      <c r="W902" s="182"/>
      <c r="X902" s="182"/>
      <c r="Y902" s="182"/>
      <c r="Z902" s="182"/>
    </row>
    <row r="903" spans="1:26" ht="15.75" customHeight="1">
      <c r="A903" s="182"/>
      <c r="B903" s="182"/>
      <c r="C903" s="182"/>
      <c r="D903" s="182"/>
      <c r="E903" s="182"/>
      <c r="F903" s="182"/>
      <c r="G903" s="182"/>
      <c r="H903" s="182"/>
      <c r="I903" s="182"/>
      <c r="J903" s="182"/>
      <c r="K903" s="182"/>
      <c r="L903" s="182"/>
      <c r="M903" s="182"/>
      <c r="N903" s="182"/>
      <c r="O903" s="182"/>
      <c r="P903" s="182"/>
      <c r="Q903" s="182"/>
      <c r="R903" s="182"/>
      <c r="S903" s="182"/>
      <c r="T903" s="182"/>
      <c r="U903" s="182"/>
      <c r="V903" s="182"/>
      <c r="W903" s="182"/>
      <c r="X903" s="182"/>
      <c r="Y903" s="182"/>
      <c r="Z903" s="182"/>
    </row>
    <row r="904" spans="1:26" ht="15.75" customHeight="1">
      <c r="A904" s="182"/>
      <c r="B904" s="182"/>
      <c r="C904" s="182"/>
      <c r="D904" s="182"/>
      <c r="E904" s="182"/>
      <c r="F904" s="182"/>
      <c r="G904" s="182"/>
      <c r="H904" s="182"/>
      <c r="I904" s="182"/>
      <c r="J904" s="182"/>
      <c r="K904" s="182"/>
      <c r="L904" s="182"/>
      <c r="M904" s="182"/>
      <c r="N904" s="182"/>
      <c r="O904" s="182"/>
      <c r="P904" s="182"/>
      <c r="Q904" s="182"/>
      <c r="R904" s="182"/>
      <c r="S904" s="182"/>
      <c r="T904" s="182"/>
      <c r="U904" s="182"/>
      <c r="V904" s="182"/>
      <c r="W904" s="182"/>
      <c r="X904" s="182"/>
      <c r="Y904" s="182"/>
      <c r="Z904" s="182"/>
    </row>
    <row r="905" spans="1:26" ht="15.75" customHeight="1">
      <c r="A905" s="182"/>
      <c r="B905" s="182"/>
      <c r="C905" s="182"/>
      <c r="D905" s="182"/>
      <c r="E905" s="182"/>
      <c r="F905" s="182"/>
      <c r="G905" s="182"/>
      <c r="H905" s="182"/>
      <c r="I905" s="182"/>
      <c r="J905" s="182"/>
      <c r="K905" s="182"/>
      <c r="L905" s="182"/>
      <c r="M905" s="182"/>
      <c r="N905" s="182"/>
      <c r="O905" s="182"/>
      <c r="P905" s="182"/>
      <c r="Q905" s="182"/>
      <c r="R905" s="182"/>
      <c r="S905" s="182"/>
      <c r="T905" s="182"/>
      <c r="U905" s="182"/>
      <c r="V905" s="182"/>
      <c r="W905" s="182"/>
      <c r="X905" s="182"/>
      <c r="Y905" s="182"/>
      <c r="Z905" s="182"/>
    </row>
    <row r="906" spans="1:26" ht="15.75" customHeight="1">
      <c r="A906" s="182"/>
      <c r="B906" s="182"/>
      <c r="C906" s="182"/>
      <c r="D906" s="182"/>
      <c r="E906" s="182"/>
      <c r="F906" s="182"/>
      <c r="G906" s="182"/>
      <c r="H906" s="182"/>
      <c r="I906" s="182"/>
      <c r="J906" s="182"/>
      <c r="K906" s="182"/>
      <c r="L906" s="182"/>
      <c r="M906" s="182"/>
      <c r="N906" s="182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2"/>
      <c r="Z906" s="182"/>
    </row>
    <row r="907" spans="1:26" ht="15.75" customHeight="1">
      <c r="A907" s="182"/>
      <c r="B907" s="182"/>
      <c r="C907" s="182"/>
      <c r="D907" s="182"/>
      <c r="E907" s="182"/>
      <c r="F907" s="182"/>
      <c r="G907" s="182"/>
      <c r="H907" s="182"/>
      <c r="I907" s="182"/>
      <c r="J907" s="182"/>
      <c r="K907" s="182"/>
      <c r="L907" s="182"/>
      <c r="M907" s="182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</row>
    <row r="908" spans="1:26" ht="15.75" customHeight="1">
      <c r="A908" s="182"/>
      <c r="B908" s="182"/>
      <c r="C908" s="182"/>
      <c r="D908" s="182"/>
      <c r="E908" s="182"/>
      <c r="F908" s="182"/>
      <c r="G908" s="182"/>
      <c r="H908" s="182"/>
      <c r="I908" s="182"/>
      <c r="J908" s="182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</row>
    <row r="909" spans="1:26" ht="15.75" customHeight="1">
      <c r="A909" s="182"/>
      <c r="B909" s="182"/>
      <c r="C909" s="182"/>
      <c r="D909" s="182"/>
      <c r="E909" s="182"/>
      <c r="F909" s="182"/>
      <c r="G909" s="182"/>
      <c r="H909" s="182"/>
      <c r="I909" s="182"/>
      <c r="J909" s="182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</row>
    <row r="910" spans="1:26" ht="15.75" customHeight="1">
      <c r="A910" s="182"/>
      <c r="B910" s="182"/>
      <c r="C910" s="182"/>
      <c r="D910" s="182"/>
      <c r="E910" s="182"/>
      <c r="F910" s="182"/>
      <c r="G910" s="182"/>
      <c r="H910" s="182"/>
      <c r="I910" s="182"/>
      <c r="J910" s="182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</row>
    <row r="911" spans="1:26" ht="15.75" customHeight="1">
      <c r="A911" s="182"/>
      <c r="B911" s="182"/>
      <c r="C911" s="182"/>
      <c r="D911" s="182"/>
      <c r="E911" s="182"/>
      <c r="F911" s="182"/>
      <c r="G911" s="182"/>
      <c r="H911" s="182"/>
      <c r="I911" s="182"/>
      <c r="J911" s="182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</row>
    <row r="912" spans="1:26" ht="15.75" customHeight="1">
      <c r="A912" s="182"/>
      <c r="B912" s="182"/>
      <c r="C912" s="182"/>
      <c r="D912" s="182"/>
      <c r="E912" s="182"/>
      <c r="F912" s="182"/>
      <c r="G912" s="182"/>
      <c r="H912" s="182"/>
      <c r="I912" s="182"/>
      <c r="J912" s="182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</row>
    <row r="913" spans="1:26" ht="15.75" customHeight="1">
      <c r="A913" s="182"/>
      <c r="B913" s="182"/>
      <c r="C913" s="182"/>
      <c r="D913" s="182"/>
      <c r="E913" s="182"/>
      <c r="F913" s="182"/>
      <c r="G913" s="182"/>
      <c r="H913" s="182"/>
      <c r="I913" s="182"/>
      <c r="J913" s="182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</row>
    <row r="914" spans="1:26" ht="15.75" customHeight="1">
      <c r="A914" s="182"/>
      <c r="B914" s="182"/>
      <c r="C914" s="182"/>
      <c r="D914" s="182"/>
      <c r="E914" s="182"/>
      <c r="F914" s="182"/>
      <c r="G914" s="182"/>
      <c r="H914" s="182"/>
      <c r="I914" s="182"/>
      <c r="J914" s="182"/>
      <c r="K914" s="182"/>
      <c r="L914" s="182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</row>
    <row r="915" spans="1:26" ht="15.75" customHeight="1">
      <c r="A915" s="182"/>
      <c r="B915" s="182"/>
      <c r="C915" s="182"/>
      <c r="D915" s="182"/>
      <c r="E915" s="182"/>
      <c r="F915" s="182"/>
      <c r="G915" s="182"/>
      <c r="H915" s="182"/>
      <c r="I915" s="182"/>
      <c r="J915" s="182"/>
      <c r="K915" s="182"/>
      <c r="L915" s="182"/>
      <c r="M915" s="182"/>
      <c r="N915" s="182"/>
      <c r="O915" s="182"/>
      <c r="P915" s="182"/>
      <c r="Q915" s="182"/>
      <c r="R915" s="182"/>
      <c r="S915" s="182"/>
      <c r="T915" s="182"/>
      <c r="U915" s="182"/>
      <c r="V915" s="182"/>
      <c r="W915" s="182"/>
      <c r="X915" s="182"/>
      <c r="Y915" s="182"/>
      <c r="Z915" s="182"/>
    </row>
    <row r="916" spans="1:26" ht="15.75" customHeight="1">
      <c r="A916" s="182"/>
      <c r="B916" s="182"/>
      <c r="C916" s="182"/>
      <c r="D916" s="182"/>
      <c r="E916" s="182"/>
      <c r="F916" s="182"/>
      <c r="G916" s="182"/>
      <c r="H916" s="182"/>
      <c r="I916" s="182"/>
      <c r="J916" s="182"/>
      <c r="K916" s="182"/>
      <c r="L916" s="182"/>
      <c r="M916" s="182"/>
      <c r="N916" s="182"/>
      <c r="O916" s="182"/>
      <c r="P916" s="182"/>
      <c r="Q916" s="182"/>
      <c r="R916" s="182"/>
      <c r="S916" s="182"/>
      <c r="T916" s="182"/>
      <c r="U916" s="182"/>
      <c r="V916" s="182"/>
      <c r="W916" s="182"/>
      <c r="X916" s="182"/>
      <c r="Y916" s="182"/>
      <c r="Z916" s="182"/>
    </row>
    <row r="917" spans="1:26" ht="15.75" customHeight="1">
      <c r="A917" s="182"/>
      <c r="B917" s="182"/>
      <c r="C917" s="182"/>
      <c r="D917" s="182"/>
      <c r="E917" s="182"/>
      <c r="F917" s="182"/>
      <c r="G917" s="182"/>
      <c r="H917" s="182"/>
      <c r="I917" s="182"/>
      <c r="J917" s="182"/>
      <c r="K917" s="182"/>
      <c r="L917" s="182"/>
      <c r="M917" s="182"/>
      <c r="N917" s="182"/>
      <c r="O917" s="182"/>
      <c r="P917" s="182"/>
      <c r="Q917" s="182"/>
      <c r="R917" s="182"/>
      <c r="S917" s="182"/>
      <c r="T917" s="182"/>
      <c r="U917" s="182"/>
      <c r="V917" s="182"/>
      <c r="W917" s="182"/>
      <c r="X917" s="182"/>
      <c r="Y917" s="182"/>
      <c r="Z917" s="182"/>
    </row>
    <row r="918" spans="1:26" ht="15.75" customHeight="1">
      <c r="A918" s="182"/>
      <c r="B918" s="182"/>
      <c r="C918" s="182"/>
      <c r="D918" s="182"/>
      <c r="E918" s="182"/>
      <c r="F918" s="182"/>
      <c r="G918" s="182"/>
      <c r="H918" s="182"/>
      <c r="I918" s="182"/>
      <c r="J918" s="182"/>
      <c r="K918" s="182"/>
      <c r="L918" s="182"/>
      <c r="M918" s="182"/>
      <c r="N918" s="182"/>
      <c r="O918" s="182"/>
      <c r="P918" s="182"/>
      <c r="Q918" s="182"/>
      <c r="R918" s="182"/>
      <c r="S918" s="182"/>
      <c r="T918" s="182"/>
      <c r="U918" s="182"/>
      <c r="V918" s="182"/>
      <c r="W918" s="182"/>
      <c r="X918" s="182"/>
      <c r="Y918" s="182"/>
      <c r="Z918" s="182"/>
    </row>
    <row r="919" spans="1:26" ht="15.75" customHeight="1">
      <c r="A919" s="182"/>
      <c r="B919" s="182"/>
      <c r="C919" s="182"/>
      <c r="D919" s="182"/>
      <c r="E919" s="182"/>
      <c r="F919" s="182"/>
      <c r="G919" s="182"/>
      <c r="H919" s="182"/>
      <c r="I919" s="182"/>
      <c r="J919" s="182"/>
      <c r="K919" s="182"/>
      <c r="L919" s="182"/>
      <c r="M919" s="182"/>
      <c r="N919" s="182"/>
      <c r="O919" s="182"/>
      <c r="P919" s="182"/>
      <c r="Q919" s="182"/>
      <c r="R919" s="182"/>
      <c r="S919" s="182"/>
      <c r="T919" s="182"/>
      <c r="U919" s="182"/>
      <c r="V919" s="182"/>
      <c r="W919" s="182"/>
      <c r="X919" s="182"/>
      <c r="Y919" s="182"/>
      <c r="Z919" s="182"/>
    </row>
    <row r="920" spans="1:26" ht="15.75" customHeight="1">
      <c r="A920" s="182"/>
      <c r="B920" s="182"/>
      <c r="C920" s="182"/>
      <c r="D920" s="182"/>
      <c r="E920" s="182"/>
      <c r="F920" s="182"/>
      <c r="G920" s="182"/>
      <c r="H920" s="182"/>
      <c r="I920" s="182"/>
      <c r="J920" s="182"/>
      <c r="K920" s="182"/>
      <c r="L920" s="182"/>
      <c r="M920" s="182"/>
      <c r="N920" s="182"/>
      <c r="O920" s="182"/>
      <c r="P920" s="182"/>
      <c r="Q920" s="182"/>
      <c r="R920" s="182"/>
      <c r="S920" s="182"/>
      <c r="T920" s="182"/>
      <c r="U920" s="182"/>
      <c r="V920" s="182"/>
      <c r="W920" s="182"/>
      <c r="X920" s="182"/>
      <c r="Y920" s="182"/>
      <c r="Z920" s="182"/>
    </row>
    <row r="921" spans="1:26" ht="15.75" customHeight="1">
      <c r="A921" s="182"/>
      <c r="B921" s="182"/>
      <c r="C921" s="182"/>
      <c r="D921" s="182"/>
      <c r="E921" s="182"/>
      <c r="F921" s="182"/>
      <c r="G921" s="182"/>
      <c r="H921" s="182"/>
      <c r="I921" s="182"/>
      <c r="J921" s="182"/>
      <c r="K921" s="182"/>
      <c r="L921" s="182"/>
      <c r="M921" s="182"/>
      <c r="N921" s="182"/>
      <c r="O921" s="182"/>
      <c r="P921" s="182"/>
      <c r="Q921" s="182"/>
      <c r="R921" s="182"/>
      <c r="S921" s="182"/>
      <c r="T921" s="182"/>
      <c r="U921" s="182"/>
      <c r="V921" s="182"/>
      <c r="W921" s="182"/>
      <c r="X921" s="182"/>
      <c r="Y921" s="182"/>
      <c r="Z921" s="182"/>
    </row>
    <row r="922" spans="1:26" ht="15.75" customHeight="1">
      <c r="A922" s="182"/>
      <c r="B922" s="182"/>
      <c r="C922" s="182"/>
      <c r="D922" s="182"/>
      <c r="E922" s="182"/>
      <c r="F922" s="182"/>
      <c r="G922" s="182"/>
      <c r="H922" s="182"/>
      <c r="I922" s="182"/>
      <c r="J922" s="182"/>
      <c r="K922" s="182"/>
      <c r="L922" s="182"/>
      <c r="M922" s="182"/>
      <c r="N922" s="182"/>
      <c r="O922" s="182"/>
      <c r="P922" s="182"/>
      <c r="Q922" s="182"/>
      <c r="R922" s="182"/>
      <c r="S922" s="182"/>
      <c r="T922" s="182"/>
      <c r="U922" s="182"/>
      <c r="V922" s="182"/>
      <c r="W922" s="182"/>
      <c r="X922" s="182"/>
      <c r="Y922" s="182"/>
      <c r="Z922" s="182"/>
    </row>
    <row r="923" spans="1:26" ht="15.75" customHeight="1">
      <c r="A923" s="182"/>
      <c r="B923" s="182"/>
      <c r="C923" s="182"/>
      <c r="D923" s="182"/>
      <c r="E923" s="182"/>
      <c r="F923" s="182"/>
      <c r="G923" s="182"/>
      <c r="H923" s="182"/>
      <c r="I923" s="182"/>
      <c r="J923" s="182"/>
      <c r="K923" s="182"/>
      <c r="L923" s="182"/>
      <c r="M923" s="182"/>
      <c r="N923" s="182"/>
      <c r="O923" s="182"/>
      <c r="P923" s="182"/>
      <c r="Q923" s="182"/>
      <c r="R923" s="182"/>
      <c r="S923" s="182"/>
      <c r="T923" s="182"/>
      <c r="U923" s="182"/>
      <c r="V923" s="182"/>
      <c r="W923" s="182"/>
      <c r="X923" s="182"/>
      <c r="Y923" s="182"/>
      <c r="Z923" s="182"/>
    </row>
    <row r="924" spans="1:26" ht="15.75" customHeight="1">
      <c r="A924" s="182"/>
      <c r="B924" s="182"/>
      <c r="C924" s="182"/>
      <c r="D924" s="182"/>
      <c r="E924" s="182"/>
      <c r="F924" s="182"/>
      <c r="G924" s="182"/>
      <c r="H924" s="182"/>
      <c r="I924" s="182"/>
      <c r="J924" s="182"/>
      <c r="K924" s="182"/>
      <c r="L924" s="182"/>
      <c r="M924" s="182"/>
      <c r="N924" s="182"/>
      <c r="O924" s="182"/>
      <c r="P924" s="182"/>
      <c r="Q924" s="182"/>
      <c r="R924" s="182"/>
      <c r="S924" s="182"/>
      <c r="T924" s="182"/>
      <c r="U924" s="182"/>
      <c r="V924" s="182"/>
      <c r="W924" s="182"/>
      <c r="X924" s="182"/>
      <c r="Y924" s="182"/>
      <c r="Z924" s="182"/>
    </row>
    <row r="925" spans="1:26" ht="15.75" customHeight="1">
      <c r="A925" s="182"/>
      <c r="B925" s="182"/>
      <c r="C925" s="182"/>
      <c r="D925" s="182"/>
      <c r="E925" s="182"/>
      <c r="F925" s="182"/>
      <c r="G925" s="182"/>
      <c r="H925" s="182"/>
      <c r="I925" s="182"/>
      <c r="J925" s="182"/>
      <c r="K925" s="182"/>
      <c r="L925" s="182"/>
      <c r="M925" s="182"/>
      <c r="N925" s="182"/>
      <c r="O925" s="182"/>
      <c r="P925" s="182"/>
      <c r="Q925" s="182"/>
      <c r="R925" s="182"/>
      <c r="S925" s="182"/>
      <c r="T925" s="182"/>
      <c r="U925" s="182"/>
      <c r="V925" s="182"/>
      <c r="W925" s="182"/>
      <c r="X925" s="182"/>
      <c r="Y925" s="182"/>
      <c r="Z925" s="182"/>
    </row>
    <row r="926" spans="1:26" ht="15.75" customHeight="1">
      <c r="A926" s="182"/>
      <c r="B926" s="182"/>
      <c r="C926" s="182"/>
      <c r="D926" s="182"/>
      <c r="E926" s="182"/>
      <c r="F926" s="182"/>
      <c r="G926" s="182"/>
      <c r="H926" s="182"/>
      <c r="I926" s="182"/>
      <c r="J926" s="182"/>
      <c r="K926" s="182"/>
      <c r="L926" s="182"/>
      <c r="M926" s="182"/>
      <c r="N926" s="182"/>
      <c r="O926" s="182"/>
      <c r="P926" s="182"/>
      <c r="Q926" s="182"/>
      <c r="R926" s="182"/>
      <c r="S926" s="182"/>
      <c r="T926" s="182"/>
      <c r="U926" s="182"/>
      <c r="V926" s="182"/>
      <c r="W926" s="182"/>
      <c r="X926" s="182"/>
      <c r="Y926" s="182"/>
      <c r="Z926" s="182"/>
    </row>
    <row r="927" spans="1:26" ht="15.75" customHeight="1">
      <c r="A927" s="182"/>
      <c r="B927" s="182"/>
      <c r="C927" s="182"/>
      <c r="D927" s="182"/>
      <c r="E927" s="182"/>
      <c r="F927" s="182"/>
      <c r="G927" s="182"/>
      <c r="H927" s="182"/>
      <c r="I927" s="182"/>
      <c r="J927" s="182"/>
      <c r="K927" s="182"/>
      <c r="L927" s="182"/>
      <c r="M927" s="182"/>
      <c r="N927" s="182"/>
      <c r="O927" s="182"/>
      <c r="P927" s="182"/>
      <c r="Q927" s="182"/>
      <c r="R927" s="182"/>
      <c r="S927" s="182"/>
      <c r="T927" s="182"/>
      <c r="U927" s="182"/>
      <c r="V927" s="182"/>
      <c r="W927" s="182"/>
      <c r="X927" s="182"/>
      <c r="Y927" s="182"/>
      <c r="Z927" s="182"/>
    </row>
    <row r="928" spans="1:26" ht="15.75" customHeight="1">
      <c r="A928" s="182"/>
      <c r="B928" s="182"/>
      <c r="C928" s="182"/>
      <c r="D928" s="182"/>
      <c r="E928" s="182"/>
      <c r="F928" s="182"/>
      <c r="G928" s="182"/>
      <c r="H928" s="182"/>
      <c r="I928" s="182"/>
      <c r="J928" s="182"/>
      <c r="K928" s="182"/>
      <c r="L928" s="182"/>
      <c r="M928" s="182"/>
      <c r="N928" s="182"/>
      <c r="O928" s="182"/>
      <c r="P928" s="182"/>
      <c r="Q928" s="182"/>
      <c r="R928" s="182"/>
      <c r="S928" s="182"/>
      <c r="T928" s="182"/>
      <c r="U928" s="182"/>
      <c r="V928" s="182"/>
      <c r="W928" s="182"/>
      <c r="X928" s="182"/>
      <c r="Y928" s="182"/>
      <c r="Z928" s="182"/>
    </row>
    <row r="929" spans="1:26" ht="15.75" customHeight="1">
      <c r="A929" s="182"/>
      <c r="B929" s="182"/>
      <c r="C929" s="182"/>
      <c r="D929" s="182"/>
      <c r="E929" s="182"/>
      <c r="F929" s="182"/>
      <c r="G929" s="182"/>
      <c r="H929" s="182"/>
      <c r="I929" s="182"/>
      <c r="J929" s="182"/>
      <c r="K929" s="182"/>
      <c r="L929" s="182"/>
      <c r="M929" s="182"/>
      <c r="N929" s="182"/>
      <c r="O929" s="182"/>
      <c r="P929" s="182"/>
      <c r="Q929" s="182"/>
      <c r="R929" s="182"/>
      <c r="S929" s="182"/>
      <c r="T929" s="182"/>
      <c r="U929" s="182"/>
      <c r="V929" s="182"/>
      <c r="W929" s="182"/>
      <c r="X929" s="182"/>
      <c r="Y929" s="182"/>
      <c r="Z929" s="182"/>
    </row>
    <row r="930" spans="1:26" ht="15.75" customHeight="1">
      <c r="A930" s="182"/>
      <c r="B930" s="182"/>
      <c r="C930" s="182"/>
      <c r="D930" s="182"/>
      <c r="E930" s="182"/>
      <c r="F930" s="182"/>
      <c r="G930" s="182"/>
      <c r="H930" s="182"/>
      <c r="I930" s="182"/>
      <c r="J930" s="182"/>
      <c r="K930" s="182"/>
      <c r="L930" s="182"/>
      <c r="M930" s="182"/>
      <c r="N930" s="182"/>
      <c r="O930" s="182"/>
      <c r="P930" s="182"/>
      <c r="Q930" s="182"/>
      <c r="R930" s="182"/>
      <c r="S930" s="182"/>
      <c r="T930" s="182"/>
      <c r="U930" s="182"/>
      <c r="V930" s="182"/>
      <c r="W930" s="182"/>
      <c r="X930" s="182"/>
      <c r="Y930" s="182"/>
      <c r="Z930" s="182"/>
    </row>
    <row r="931" spans="1:26" ht="15.75" customHeight="1">
      <c r="A931" s="182"/>
      <c r="B931" s="182"/>
      <c r="C931" s="182"/>
      <c r="D931" s="182"/>
      <c r="E931" s="182"/>
      <c r="F931" s="182"/>
      <c r="G931" s="182"/>
      <c r="H931" s="182"/>
      <c r="I931" s="182"/>
      <c r="J931" s="182"/>
      <c r="K931" s="182"/>
      <c r="L931" s="182"/>
      <c r="M931" s="182"/>
      <c r="N931" s="182"/>
      <c r="O931" s="182"/>
      <c r="P931" s="182"/>
      <c r="Q931" s="182"/>
      <c r="R931" s="182"/>
      <c r="S931" s="182"/>
      <c r="T931" s="182"/>
      <c r="U931" s="182"/>
      <c r="V931" s="182"/>
      <c r="W931" s="182"/>
      <c r="X931" s="182"/>
      <c r="Y931" s="182"/>
      <c r="Z931" s="182"/>
    </row>
    <row r="932" spans="1:26" ht="15.75" customHeight="1">
      <c r="A932" s="182"/>
      <c r="B932" s="182"/>
      <c r="C932" s="182"/>
      <c r="D932" s="182"/>
      <c r="E932" s="182"/>
      <c r="F932" s="182"/>
      <c r="G932" s="182"/>
      <c r="H932" s="182"/>
      <c r="I932" s="182"/>
      <c r="J932" s="182"/>
      <c r="K932" s="182"/>
      <c r="L932" s="182"/>
      <c r="M932" s="182"/>
      <c r="N932" s="182"/>
      <c r="O932" s="182"/>
      <c r="P932" s="182"/>
      <c r="Q932" s="182"/>
      <c r="R932" s="182"/>
      <c r="S932" s="182"/>
      <c r="T932" s="182"/>
      <c r="U932" s="182"/>
      <c r="V932" s="182"/>
      <c r="W932" s="182"/>
      <c r="X932" s="182"/>
      <c r="Y932" s="182"/>
      <c r="Z932" s="182"/>
    </row>
    <row r="933" spans="1:26" ht="15.75" customHeight="1">
      <c r="A933" s="182"/>
      <c r="B933" s="182"/>
      <c r="C933" s="182"/>
      <c r="D933" s="182"/>
      <c r="E933" s="182"/>
      <c r="F933" s="182"/>
      <c r="G933" s="182"/>
      <c r="H933" s="182"/>
      <c r="I933" s="182"/>
      <c r="J933" s="182"/>
      <c r="K933" s="182"/>
      <c r="L933" s="182"/>
      <c r="M933" s="182"/>
      <c r="N933" s="182"/>
      <c r="O933" s="182"/>
      <c r="P933" s="182"/>
      <c r="Q933" s="182"/>
      <c r="R933" s="182"/>
      <c r="S933" s="182"/>
      <c r="T933" s="182"/>
      <c r="U933" s="182"/>
      <c r="V933" s="182"/>
      <c r="W933" s="182"/>
      <c r="X933" s="182"/>
      <c r="Y933" s="182"/>
      <c r="Z933" s="182"/>
    </row>
    <row r="934" spans="1:26" ht="15.75" customHeight="1">
      <c r="A934" s="182"/>
      <c r="B934" s="182"/>
      <c r="C934" s="182"/>
      <c r="D934" s="182"/>
      <c r="E934" s="182"/>
      <c r="F934" s="182"/>
      <c r="G934" s="182"/>
      <c r="H934" s="182"/>
      <c r="I934" s="182"/>
      <c r="J934" s="182"/>
      <c r="K934" s="182"/>
      <c r="L934" s="182"/>
      <c r="M934" s="182"/>
      <c r="N934" s="182"/>
      <c r="O934" s="182"/>
      <c r="P934" s="182"/>
      <c r="Q934" s="182"/>
      <c r="R934" s="182"/>
      <c r="S934" s="182"/>
      <c r="T934" s="182"/>
      <c r="U934" s="182"/>
      <c r="V934" s="182"/>
      <c r="W934" s="182"/>
      <c r="X934" s="182"/>
      <c r="Y934" s="182"/>
      <c r="Z934" s="182"/>
    </row>
    <row r="935" spans="1:26" ht="15.75" customHeight="1">
      <c r="A935" s="182"/>
      <c r="B935" s="182"/>
      <c r="C935" s="182"/>
      <c r="D935" s="182"/>
      <c r="E935" s="182"/>
      <c r="F935" s="182"/>
      <c r="G935" s="182"/>
      <c r="H935" s="182"/>
      <c r="I935" s="182"/>
      <c r="J935" s="182"/>
      <c r="K935" s="182"/>
      <c r="L935" s="182"/>
      <c r="M935" s="182"/>
      <c r="N935" s="182"/>
      <c r="O935" s="182"/>
      <c r="P935" s="182"/>
      <c r="Q935" s="182"/>
      <c r="R935" s="182"/>
      <c r="S935" s="182"/>
      <c r="T935" s="182"/>
      <c r="U935" s="182"/>
      <c r="V935" s="182"/>
      <c r="W935" s="182"/>
      <c r="X935" s="182"/>
      <c r="Y935" s="182"/>
      <c r="Z935" s="182"/>
    </row>
    <row r="936" spans="1:26" ht="15.75" customHeight="1">
      <c r="A936" s="182"/>
      <c r="B936" s="182"/>
      <c r="C936" s="182"/>
      <c r="D936" s="182"/>
      <c r="E936" s="182"/>
      <c r="F936" s="182"/>
      <c r="G936" s="182"/>
      <c r="H936" s="182"/>
      <c r="I936" s="182"/>
      <c r="J936" s="182"/>
      <c r="K936" s="182"/>
      <c r="L936" s="182"/>
      <c r="M936" s="182"/>
      <c r="N936" s="182"/>
      <c r="O936" s="182"/>
      <c r="P936" s="182"/>
      <c r="Q936" s="182"/>
      <c r="R936" s="182"/>
      <c r="S936" s="182"/>
      <c r="T936" s="182"/>
      <c r="U936" s="182"/>
      <c r="V936" s="182"/>
      <c r="W936" s="182"/>
      <c r="X936" s="182"/>
      <c r="Y936" s="182"/>
      <c r="Z936" s="182"/>
    </row>
    <row r="937" spans="1:26" ht="15.75" customHeight="1">
      <c r="A937" s="182"/>
      <c r="B937" s="182"/>
      <c r="C937" s="182"/>
      <c r="D937" s="182"/>
      <c r="E937" s="182"/>
      <c r="F937" s="182"/>
      <c r="G937" s="182"/>
      <c r="H937" s="182"/>
      <c r="I937" s="182"/>
      <c r="J937" s="182"/>
      <c r="K937" s="182"/>
      <c r="L937" s="182"/>
      <c r="M937" s="182"/>
      <c r="N937" s="182"/>
      <c r="O937" s="182"/>
      <c r="P937" s="182"/>
      <c r="Q937" s="182"/>
      <c r="R937" s="182"/>
      <c r="S937" s="182"/>
      <c r="T937" s="182"/>
      <c r="U937" s="182"/>
      <c r="V937" s="182"/>
      <c r="W937" s="182"/>
      <c r="X937" s="182"/>
      <c r="Y937" s="182"/>
      <c r="Z937" s="182"/>
    </row>
    <row r="938" spans="1:26" ht="15.75" customHeight="1">
      <c r="A938" s="182"/>
      <c r="B938" s="182"/>
      <c r="C938" s="182"/>
      <c r="D938" s="182"/>
      <c r="E938" s="182"/>
      <c r="F938" s="182"/>
      <c r="G938" s="182"/>
      <c r="H938" s="182"/>
      <c r="I938" s="182"/>
      <c r="J938" s="182"/>
      <c r="K938" s="182"/>
      <c r="L938" s="182"/>
      <c r="M938" s="182"/>
      <c r="N938" s="182"/>
      <c r="O938" s="182"/>
      <c r="P938" s="182"/>
      <c r="Q938" s="182"/>
      <c r="R938" s="182"/>
      <c r="S938" s="182"/>
      <c r="T938" s="182"/>
      <c r="U938" s="182"/>
      <c r="V938" s="182"/>
      <c r="W938" s="182"/>
      <c r="X938" s="182"/>
      <c r="Y938" s="182"/>
      <c r="Z938" s="182"/>
    </row>
    <row r="939" spans="1:26" ht="15.75" customHeight="1">
      <c r="A939" s="182"/>
      <c r="B939" s="182"/>
      <c r="C939" s="182"/>
      <c r="D939" s="182"/>
      <c r="E939" s="182"/>
      <c r="F939" s="182"/>
      <c r="G939" s="182"/>
      <c r="H939" s="182"/>
      <c r="I939" s="182"/>
      <c r="J939" s="182"/>
      <c r="K939" s="182"/>
      <c r="L939" s="182"/>
      <c r="M939" s="182"/>
      <c r="N939" s="182"/>
      <c r="O939" s="182"/>
      <c r="P939" s="182"/>
      <c r="Q939" s="182"/>
      <c r="R939" s="182"/>
      <c r="S939" s="182"/>
      <c r="T939" s="182"/>
      <c r="U939" s="182"/>
      <c r="V939" s="182"/>
      <c r="W939" s="182"/>
      <c r="X939" s="182"/>
      <c r="Y939" s="182"/>
      <c r="Z939" s="182"/>
    </row>
    <row r="940" spans="1:26" ht="15.75" customHeight="1">
      <c r="A940" s="182"/>
      <c r="B940" s="182"/>
      <c r="C940" s="182"/>
      <c r="D940" s="182"/>
      <c r="E940" s="182"/>
      <c r="F940" s="182"/>
      <c r="G940" s="182"/>
      <c r="H940" s="182"/>
      <c r="I940" s="182"/>
      <c r="J940" s="182"/>
      <c r="K940" s="182"/>
      <c r="L940" s="182"/>
      <c r="M940" s="182"/>
      <c r="N940" s="182"/>
      <c r="O940" s="182"/>
      <c r="P940" s="182"/>
      <c r="Q940" s="182"/>
      <c r="R940" s="182"/>
      <c r="S940" s="182"/>
      <c r="T940" s="182"/>
      <c r="U940" s="182"/>
      <c r="V940" s="182"/>
      <c r="W940" s="182"/>
      <c r="X940" s="182"/>
      <c r="Y940" s="182"/>
      <c r="Z940" s="182"/>
    </row>
    <row r="941" spans="1:26" ht="15.75" customHeight="1">
      <c r="A941" s="182"/>
      <c r="B941" s="182"/>
      <c r="C941" s="182"/>
      <c r="D941" s="182"/>
      <c r="E941" s="182"/>
      <c r="F941" s="182"/>
      <c r="G941" s="182"/>
      <c r="H941" s="182"/>
      <c r="I941" s="182"/>
      <c r="J941" s="182"/>
      <c r="K941" s="182"/>
      <c r="L941" s="182"/>
      <c r="M941" s="182"/>
      <c r="N941" s="182"/>
      <c r="O941" s="182"/>
      <c r="P941" s="182"/>
      <c r="Q941" s="182"/>
      <c r="R941" s="182"/>
      <c r="S941" s="182"/>
      <c r="T941" s="182"/>
      <c r="U941" s="182"/>
      <c r="V941" s="182"/>
      <c r="W941" s="182"/>
      <c r="X941" s="182"/>
      <c r="Y941" s="182"/>
      <c r="Z941" s="182"/>
    </row>
    <row r="942" spans="1:26" ht="15.75" customHeight="1">
      <c r="A942" s="182"/>
      <c r="B942" s="182"/>
      <c r="C942" s="182"/>
      <c r="D942" s="182"/>
      <c r="E942" s="182"/>
      <c r="F942" s="182"/>
      <c r="G942" s="182"/>
      <c r="H942" s="182"/>
      <c r="I942" s="182"/>
      <c r="J942" s="182"/>
      <c r="K942" s="182"/>
      <c r="L942" s="182"/>
      <c r="M942" s="182"/>
      <c r="N942" s="182"/>
      <c r="O942" s="182"/>
      <c r="P942" s="182"/>
      <c r="Q942" s="182"/>
      <c r="R942" s="182"/>
      <c r="S942" s="182"/>
      <c r="T942" s="182"/>
      <c r="U942" s="182"/>
      <c r="V942" s="182"/>
      <c r="W942" s="182"/>
      <c r="X942" s="182"/>
      <c r="Y942" s="182"/>
      <c r="Z942" s="182"/>
    </row>
    <row r="943" spans="1:26" ht="15.75" customHeight="1">
      <c r="A943" s="182"/>
      <c r="B943" s="182"/>
      <c r="C943" s="182"/>
      <c r="D943" s="182"/>
      <c r="E943" s="182"/>
      <c r="F943" s="182"/>
      <c r="G943" s="182"/>
      <c r="H943" s="182"/>
      <c r="I943" s="182"/>
      <c r="J943" s="182"/>
      <c r="K943" s="182"/>
      <c r="L943" s="182"/>
      <c r="M943" s="182"/>
      <c r="N943" s="182"/>
      <c r="O943" s="182"/>
      <c r="P943" s="182"/>
      <c r="Q943" s="182"/>
      <c r="R943" s="182"/>
      <c r="S943" s="182"/>
      <c r="T943" s="182"/>
      <c r="U943" s="182"/>
      <c r="V943" s="182"/>
      <c r="W943" s="182"/>
      <c r="X943" s="182"/>
      <c r="Y943" s="182"/>
      <c r="Z943" s="182"/>
    </row>
    <row r="944" spans="1:26" ht="15.75" customHeight="1">
      <c r="A944" s="182"/>
      <c r="B944" s="182"/>
      <c r="C944" s="182"/>
      <c r="D944" s="182"/>
      <c r="E944" s="182"/>
      <c r="F944" s="182"/>
      <c r="G944" s="182"/>
      <c r="H944" s="182"/>
      <c r="I944" s="182"/>
      <c r="J944" s="182"/>
      <c r="K944" s="182"/>
      <c r="L944" s="182"/>
      <c r="M944" s="182"/>
      <c r="N944" s="182"/>
      <c r="O944" s="182"/>
      <c r="P944" s="182"/>
      <c r="Q944" s="182"/>
      <c r="R944" s="182"/>
      <c r="S944" s="182"/>
      <c r="T944" s="182"/>
      <c r="U944" s="182"/>
      <c r="V944" s="182"/>
      <c r="W944" s="182"/>
      <c r="X944" s="182"/>
      <c r="Y944" s="182"/>
      <c r="Z944" s="182"/>
    </row>
    <row r="945" spans="1:26" ht="15.75" customHeight="1">
      <c r="A945" s="182"/>
      <c r="B945" s="182"/>
      <c r="C945" s="182"/>
      <c r="D945" s="182"/>
      <c r="E945" s="182"/>
      <c r="F945" s="182"/>
      <c r="G945" s="182"/>
      <c r="H945" s="182"/>
      <c r="I945" s="182"/>
      <c r="J945" s="182"/>
      <c r="K945" s="182"/>
      <c r="L945" s="182"/>
      <c r="M945" s="182"/>
      <c r="N945" s="182"/>
      <c r="O945" s="182"/>
      <c r="P945" s="182"/>
      <c r="Q945" s="182"/>
      <c r="R945" s="182"/>
      <c r="S945" s="182"/>
      <c r="T945" s="182"/>
      <c r="U945" s="182"/>
      <c r="V945" s="182"/>
      <c r="W945" s="182"/>
      <c r="X945" s="182"/>
      <c r="Y945" s="182"/>
      <c r="Z945" s="182"/>
    </row>
    <row r="946" spans="1:26" ht="15.75" customHeight="1">
      <c r="A946" s="182"/>
      <c r="B946" s="182"/>
      <c r="C946" s="182"/>
      <c r="D946" s="182"/>
      <c r="E946" s="182"/>
      <c r="F946" s="182"/>
      <c r="G946" s="182"/>
      <c r="H946" s="182"/>
      <c r="I946" s="182"/>
      <c r="J946" s="182"/>
      <c r="K946" s="182"/>
      <c r="L946" s="182"/>
      <c r="M946" s="182"/>
      <c r="N946" s="182"/>
      <c r="O946" s="182"/>
      <c r="P946" s="182"/>
      <c r="Q946" s="182"/>
      <c r="R946" s="182"/>
      <c r="S946" s="182"/>
      <c r="T946" s="182"/>
      <c r="U946" s="182"/>
      <c r="V946" s="182"/>
      <c r="W946" s="182"/>
      <c r="X946" s="182"/>
      <c r="Y946" s="182"/>
      <c r="Z946" s="182"/>
    </row>
    <row r="947" spans="1:26" ht="15.75" customHeight="1">
      <c r="A947" s="182"/>
      <c r="B947" s="182"/>
      <c r="C947" s="182"/>
      <c r="D947" s="182"/>
      <c r="E947" s="182"/>
      <c r="F947" s="182"/>
      <c r="G947" s="182"/>
      <c r="H947" s="182"/>
      <c r="I947" s="182"/>
      <c r="J947" s="182"/>
      <c r="K947" s="182"/>
      <c r="L947" s="182"/>
      <c r="M947" s="182"/>
      <c r="N947" s="182"/>
      <c r="O947" s="182"/>
      <c r="P947" s="182"/>
      <c r="Q947" s="182"/>
      <c r="R947" s="182"/>
      <c r="S947" s="182"/>
      <c r="T947" s="182"/>
      <c r="U947" s="182"/>
      <c r="V947" s="182"/>
      <c r="W947" s="182"/>
      <c r="X947" s="182"/>
      <c r="Y947" s="182"/>
      <c r="Z947" s="182"/>
    </row>
    <row r="948" spans="1:26" ht="15.75" customHeight="1">
      <c r="A948" s="182"/>
      <c r="B948" s="182"/>
      <c r="C948" s="182"/>
      <c r="D948" s="182"/>
      <c r="E948" s="182"/>
      <c r="F948" s="182"/>
      <c r="G948" s="182"/>
      <c r="H948" s="182"/>
      <c r="I948" s="182"/>
      <c r="J948" s="182"/>
      <c r="K948" s="182"/>
      <c r="L948" s="182"/>
      <c r="M948" s="182"/>
      <c r="N948" s="182"/>
      <c r="O948" s="182"/>
      <c r="P948" s="182"/>
      <c r="Q948" s="182"/>
      <c r="R948" s="182"/>
      <c r="S948" s="182"/>
      <c r="T948" s="182"/>
      <c r="U948" s="182"/>
      <c r="V948" s="182"/>
      <c r="W948" s="182"/>
      <c r="X948" s="182"/>
      <c r="Y948" s="182"/>
      <c r="Z948" s="182"/>
    </row>
    <row r="949" spans="1:26" ht="15.75" customHeight="1">
      <c r="A949" s="182"/>
      <c r="B949" s="182"/>
      <c r="C949" s="182"/>
      <c r="D949" s="182"/>
      <c r="E949" s="182"/>
      <c r="F949" s="182"/>
      <c r="G949" s="182"/>
      <c r="H949" s="182"/>
      <c r="I949" s="182"/>
      <c r="J949" s="182"/>
      <c r="K949" s="182"/>
      <c r="L949" s="182"/>
      <c r="M949" s="182"/>
      <c r="N949" s="182"/>
      <c r="O949" s="182"/>
      <c r="P949" s="182"/>
      <c r="Q949" s="182"/>
      <c r="R949" s="182"/>
      <c r="S949" s="182"/>
      <c r="T949" s="182"/>
      <c r="U949" s="182"/>
      <c r="V949" s="182"/>
      <c r="W949" s="182"/>
      <c r="X949" s="182"/>
      <c r="Y949" s="182"/>
      <c r="Z949" s="182"/>
    </row>
    <row r="950" spans="1:26" ht="15.75" customHeight="1">
      <c r="A950" s="182"/>
      <c r="B950" s="182"/>
      <c r="C950" s="182"/>
      <c r="D950" s="182"/>
      <c r="E950" s="182"/>
      <c r="F950" s="182"/>
      <c r="G950" s="182"/>
      <c r="H950" s="182"/>
      <c r="I950" s="182"/>
      <c r="J950" s="182"/>
      <c r="K950" s="182"/>
      <c r="L950" s="182"/>
      <c r="M950" s="182"/>
      <c r="N950" s="182"/>
      <c r="O950" s="182"/>
      <c r="P950" s="182"/>
      <c r="Q950" s="182"/>
      <c r="R950" s="182"/>
      <c r="S950" s="182"/>
      <c r="T950" s="182"/>
      <c r="U950" s="182"/>
      <c r="V950" s="182"/>
      <c r="W950" s="182"/>
      <c r="X950" s="182"/>
      <c r="Y950" s="182"/>
      <c r="Z950" s="182"/>
    </row>
    <row r="951" spans="1:26" ht="15.75" customHeight="1">
      <c r="A951" s="182"/>
      <c r="B951" s="182"/>
      <c r="C951" s="182"/>
      <c r="D951" s="182"/>
      <c r="E951" s="182"/>
      <c r="F951" s="182"/>
      <c r="G951" s="182"/>
      <c r="H951" s="182"/>
      <c r="I951" s="182"/>
      <c r="J951" s="182"/>
      <c r="K951" s="182"/>
      <c r="L951" s="182"/>
      <c r="M951" s="182"/>
      <c r="N951" s="182"/>
      <c r="O951" s="182"/>
      <c r="P951" s="182"/>
      <c r="Q951" s="182"/>
      <c r="R951" s="182"/>
      <c r="S951" s="182"/>
      <c r="T951" s="182"/>
      <c r="U951" s="182"/>
      <c r="V951" s="182"/>
      <c r="W951" s="182"/>
      <c r="X951" s="182"/>
      <c r="Y951" s="182"/>
      <c r="Z951" s="182"/>
    </row>
    <row r="952" spans="1:26" ht="15.75" customHeight="1">
      <c r="A952" s="182"/>
      <c r="B952" s="182"/>
      <c r="C952" s="182"/>
      <c r="D952" s="182"/>
      <c r="E952" s="182"/>
      <c r="F952" s="182"/>
      <c r="G952" s="182"/>
      <c r="H952" s="182"/>
      <c r="I952" s="182"/>
      <c r="J952" s="182"/>
      <c r="K952" s="182"/>
      <c r="L952" s="182"/>
      <c r="M952" s="182"/>
      <c r="N952" s="182"/>
      <c r="O952" s="182"/>
      <c r="P952" s="182"/>
      <c r="Q952" s="182"/>
      <c r="R952" s="182"/>
      <c r="S952" s="182"/>
      <c r="T952" s="182"/>
      <c r="U952" s="182"/>
      <c r="V952" s="182"/>
      <c r="W952" s="182"/>
      <c r="X952" s="182"/>
      <c r="Y952" s="182"/>
      <c r="Z952" s="182"/>
    </row>
    <row r="953" spans="1:26" ht="15.75" customHeight="1">
      <c r="A953" s="182"/>
      <c r="B953" s="182"/>
      <c r="C953" s="182"/>
      <c r="D953" s="182"/>
      <c r="E953" s="182"/>
      <c r="F953" s="182"/>
      <c r="G953" s="182"/>
      <c r="H953" s="182"/>
      <c r="I953" s="182"/>
      <c r="J953" s="182"/>
      <c r="K953" s="182"/>
      <c r="L953" s="182"/>
      <c r="M953" s="182"/>
      <c r="N953" s="182"/>
      <c r="O953" s="182"/>
      <c r="P953" s="182"/>
      <c r="Q953" s="182"/>
      <c r="R953" s="182"/>
      <c r="S953" s="182"/>
      <c r="T953" s="182"/>
      <c r="U953" s="182"/>
      <c r="V953" s="182"/>
      <c r="W953" s="182"/>
      <c r="X953" s="182"/>
      <c r="Y953" s="182"/>
      <c r="Z953" s="182"/>
    </row>
    <row r="954" spans="1:26" ht="15.75" customHeight="1">
      <c r="A954" s="182"/>
      <c r="B954" s="182"/>
      <c r="C954" s="182"/>
      <c r="D954" s="182"/>
      <c r="E954" s="182"/>
      <c r="F954" s="182"/>
      <c r="G954" s="182"/>
      <c r="H954" s="182"/>
      <c r="I954" s="182"/>
      <c r="J954" s="182"/>
      <c r="K954" s="182"/>
      <c r="L954" s="182"/>
      <c r="M954" s="182"/>
      <c r="N954" s="182"/>
      <c r="O954" s="182"/>
      <c r="P954" s="182"/>
      <c r="Q954" s="182"/>
      <c r="R954" s="182"/>
      <c r="S954" s="182"/>
      <c r="T954" s="182"/>
      <c r="U954" s="182"/>
      <c r="V954" s="182"/>
      <c r="W954" s="182"/>
      <c r="X954" s="182"/>
      <c r="Y954" s="182"/>
      <c r="Z954" s="182"/>
    </row>
    <row r="955" spans="1:26" ht="15.75" customHeight="1">
      <c r="A955" s="182"/>
      <c r="B955" s="182"/>
      <c r="C955" s="182"/>
      <c r="D955" s="182"/>
      <c r="E955" s="182"/>
      <c r="F955" s="182"/>
      <c r="G955" s="182"/>
      <c r="H955" s="182"/>
      <c r="I955" s="182"/>
      <c r="J955" s="182"/>
      <c r="K955" s="182"/>
      <c r="L955" s="182"/>
      <c r="M955" s="182"/>
      <c r="N955" s="182"/>
      <c r="O955" s="182"/>
      <c r="P955" s="182"/>
      <c r="Q955" s="182"/>
      <c r="R955" s="182"/>
      <c r="S955" s="182"/>
      <c r="T955" s="182"/>
      <c r="U955" s="182"/>
      <c r="V955" s="182"/>
      <c r="W955" s="182"/>
      <c r="X955" s="182"/>
      <c r="Y955" s="182"/>
      <c r="Z955" s="182"/>
    </row>
    <row r="956" spans="1:26" ht="15.75" customHeight="1">
      <c r="A956" s="182"/>
      <c r="B956" s="182"/>
      <c r="C956" s="182"/>
      <c r="D956" s="182"/>
      <c r="E956" s="182"/>
      <c r="F956" s="182"/>
      <c r="G956" s="182"/>
      <c r="H956" s="182"/>
      <c r="I956" s="182"/>
      <c r="J956" s="182"/>
      <c r="K956" s="182"/>
      <c r="L956" s="182"/>
      <c r="M956" s="182"/>
      <c r="N956" s="182"/>
      <c r="O956" s="182"/>
      <c r="P956" s="182"/>
      <c r="Q956" s="182"/>
      <c r="R956" s="182"/>
      <c r="S956" s="182"/>
      <c r="T956" s="182"/>
      <c r="U956" s="182"/>
      <c r="V956" s="182"/>
      <c r="W956" s="182"/>
      <c r="X956" s="182"/>
      <c r="Y956" s="182"/>
      <c r="Z956" s="182"/>
    </row>
    <row r="957" spans="1:26" ht="15.75" customHeight="1">
      <c r="A957" s="182"/>
      <c r="B957" s="182"/>
      <c r="C957" s="182"/>
      <c r="D957" s="182"/>
      <c r="E957" s="182"/>
      <c r="F957" s="182"/>
      <c r="G957" s="182"/>
      <c r="H957" s="182"/>
      <c r="I957" s="182"/>
      <c r="J957" s="182"/>
      <c r="K957" s="182"/>
      <c r="L957" s="182"/>
      <c r="M957" s="182"/>
      <c r="N957" s="182"/>
      <c r="O957" s="182"/>
      <c r="P957" s="182"/>
      <c r="Q957" s="182"/>
      <c r="R957" s="182"/>
      <c r="S957" s="182"/>
      <c r="T957" s="182"/>
      <c r="U957" s="182"/>
      <c r="V957" s="182"/>
      <c r="W957" s="182"/>
      <c r="X957" s="182"/>
      <c r="Y957" s="182"/>
      <c r="Z957" s="182"/>
    </row>
    <row r="958" spans="1:26" ht="15.75" customHeight="1">
      <c r="A958" s="182"/>
      <c r="B958" s="182"/>
      <c r="C958" s="182"/>
      <c r="D958" s="182"/>
      <c r="E958" s="182"/>
      <c r="F958" s="182"/>
      <c r="G958" s="182"/>
      <c r="H958" s="182"/>
      <c r="I958" s="182"/>
      <c r="J958" s="182"/>
      <c r="K958" s="182"/>
      <c r="L958" s="182"/>
      <c r="M958" s="182"/>
      <c r="N958" s="182"/>
      <c r="O958" s="182"/>
      <c r="P958" s="182"/>
      <c r="Q958" s="182"/>
      <c r="R958" s="182"/>
      <c r="S958" s="182"/>
      <c r="T958" s="182"/>
      <c r="U958" s="182"/>
      <c r="V958" s="182"/>
      <c r="W958" s="182"/>
      <c r="X958" s="182"/>
      <c r="Y958" s="182"/>
      <c r="Z958" s="182"/>
    </row>
    <row r="959" spans="1:26" ht="15.75" customHeight="1">
      <c r="A959" s="182"/>
      <c r="B959" s="182"/>
      <c r="C959" s="182"/>
      <c r="D959" s="182"/>
      <c r="E959" s="182"/>
      <c r="F959" s="182"/>
      <c r="G959" s="182"/>
      <c r="H959" s="182"/>
      <c r="I959" s="182"/>
      <c r="J959" s="182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  <c r="X959" s="182"/>
      <c r="Y959" s="182"/>
      <c r="Z959" s="182"/>
    </row>
    <row r="960" spans="1:26" ht="15.75" customHeight="1">
      <c r="A960" s="182"/>
      <c r="B960" s="182"/>
      <c r="C960" s="182"/>
      <c r="D960" s="182"/>
      <c r="E960" s="182"/>
      <c r="F960" s="182"/>
      <c r="G960" s="182"/>
      <c r="H960" s="182"/>
      <c r="I960" s="182"/>
      <c r="J960" s="182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  <c r="X960" s="182"/>
      <c r="Y960" s="182"/>
      <c r="Z960" s="182"/>
    </row>
    <row r="961" spans="1:26" ht="15.75" customHeight="1">
      <c r="A961" s="182"/>
      <c r="B961" s="182"/>
      <c r="C961" s="182"/>
      <c r="D961" s="182"/>
      <c r="E961" s="182"/>
      <c r="F961" s="182"/>
      <c r="G961" s="182"/>
      <c r="H961" s="182"/>
      <c r="I961" s="182"/>
      <c r="J961" s="182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  <c r="X961" s="182"/>
      <c r="Y961" s="182"/>
      <c r="Z961" s="182"/>
    </row>
    <row r="962" spans="1:26" ht="15.75" customHeight="1">
      <c r="A962" s="182"/>
      <c r="B962" s="182"/>
      <c r="C962" s="182"/>
      <c r="D962" s="182"/>
      <c r="E962" s="182"/>
      <c r="F962" s="182"/>
      <c r="G962" s="182"/>
      <c r="H962" s="182"/>
      <c r="I962" s="182"/>
      <c r="J962" s="182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</row>
    <row r="963" spans="1:26" ht="15.75" customHeight="1">
      <c r="A963" s="182"/>
      <c r="B963" s="182"/>
      <c r="C963" s="182"/>
      <c r="D963" s="182"/>
      <c r="E963" s="182"/>
      <c r="F963" s="182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  <c r="X963" s="182"/>
      <c r="Y963" s="182"/>
      <c r="Z963" s="182"/>
    </row>
    <row r="964" spans="1:26" ht="15.75" customHeight="1">
      <c r="A964" s="182"/>
      <c r="B964" s="182"/>
      <c r="C964" s="182"/>
      <c r="D964" s="182"/>
      <c r="E964" s="182"/>
      <c r="F964" s="182"/>
      <c r="G964" s="182"/>
      <c r="H964" s="182"/>
      <c r="I964" s="182"/>
      <c r="J964" s="182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</row>
    <row r="965" spans="1:26" ht="15.75" customHeight="1">
      <c r="A965" s="182"/>
      <c r="B965" s="182"/>
      <c r="C965" s="182"/>
      <c r="D965" s="182"/>
      <c r="E965" s="182"/>
      <c r="F965" s="182"/>
      <c r="G965" s="182"/>
      <c r="H965" s="182"/>
      <c r="I965" s="182"/>
      <c r="J965" s="182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  <c r="X965" s="182"/>
      <c r="Y965" s="182"/>
      <c r="Z965" s="182"/>
    </row>
    <row r="966" spans="1:26" ht="15.75" customHeight="1">
      <c r="A966" s="182"/>
      <c r="B966" s="182"/>
      <c r="C966" s="182"/>
      <c r="D966" s="182"/>
      <c r="E966" s="182"/>
      <c r="F966" s="182"/>
      <c r="G966" s="182"/>
      <c r="H966" s="182"/>
      <c r="I966" s="182"/>
      <c r="J966" s="182"/>
      <c r="K966" s="182"/>
      <c r="L966" s="182"/>
      <c r="M966" s="182"/>
      <c r="N966" s="182"/>
      <c r="O966" s="182"/>
      <c r="P966" s="182"/>
      <c r="Q966" s="182"/>
      <c r="R966" s="182"/>
      <c r="S966" s="182"/>
      <c r="T966" s="182"/>
      <c r="U966" s="182"/>
      <c r="V966" s="182"/>
      <c r="W966" s="182"/>
      <c r="X966" s="182"/>
      <c r="Y966" s="182"/>
      <c r="Z966" s="182"/>
    </row>
    <row r="967" spans="1:26" ht="15.75" customHeight="1">
      <c r="A967" s="182"/>
      <c r="B967" s="182"/>
      <c r="C967" s="182"/>
      <c r="D967" s="182"/>
      <c r="E967" s="182"/>
      <c r="F967" s="182"/>
      <c r="G967" s="182"/>
      <c r="H967" s="182"/>
      <c r="I967" s="182"/>
      <c r="J967" s="182"/>
      <c r="K967" s="182"/>
      <c r="L967" s="182"/>
      <c r="M967" s="182"/>
      <c r="N967" s="182"/>
      <c r="O967" s="182"/>
      <c r="P967" s="182"/>
      <c r="Q967" s="182"/>
      <c r="R967" s="182"/>
      <c r="S967" s="182"/>
      <c r="T967" s="182"/>
      <c r="U967" s="182"/>
      <c r="V967" s="182"/>
      <c r="W967" s="182"/>
      <c r="X967" s="182"/>
      <c r="Y967" s="182"/>
      <c r="Z967" s="182"/>
    </row>
    <row r="968" spans="1:26" ht="15.75" customHeight="1">
      <c r="A968" s="182"/>
      <c r="B968" s="182"/>
      <c r="C968" s="182"/>
      <c r="D968" s="182"/>
      <c r="E968" s="182"/>
      <c r="F968" s="182"/>
      <c r="G968" s="182"/>
      <c r="H968" s="182"/>
      <c r="I968" s="182"/>
      <c r="J968" s="182"/>
      <c r="K968" s="182"/>
      <c r="L968" s="182"/>
      <c r="M968" s="182"/>
      <c r="N968" s="182"/>
      <c r="O968" s="182"/>
      <c r="P968" s="182"/>
      <c r="Q968" s="182"/>
      <c r="R968" s="182"/>
      <c r="S968" s="182"/>
      <c r="T968" s="182"/>
      <c r="U968" s="182"/>
      <c r="V968" s="182"/>
      <c r="W968" s="182"/>
      <c r="X968" s="182"/>
      <c r="Y968" s="182"/>
      <c r="Z968" s="182"/>
    </row>
    <row r="969" spans="1:26" ht="15.75" customHeight="1">
      <c r="A969" s="182"/>
      <c r="B969" s="182"/>
      <c r="C969" s="182"/>
      <c r="D969" s="182"/>
      <c r="E969" s="182"/>
      <c r="F969" s="182"/>
      <c r="G969" s="182"/>
      <c r="H969" s="182"/>
      <c r="I969" s="182"/>
      <c r="J969" s="182"/>
      <c r="K969" s="182"/>
      <c r="L969" s="182"/>
      <c r="M969" s="182"/>
      <c r="N969" s="182"/>
      <c r="O969" s="182"/>
      <c r="P969" s="182"/>
      <c r="Q969" s="182"/>
      <c r="R969" s="182"/>
      <c r="S969" s="182"/>
      <c r="T969" s="182"/>
      <c r="U969" s="182"/>
      <c r="V969" s="182"/>
      <c r="W969" s="182"/>
      <c r="X969" s="182"/>
      <c r="Y969" s="182"/>
      <c r="Z969" s="182"/>
    </row>
    <row r="970" spans="1:26" ht="15.75" customHeight="1">
      <c r="A970" s="182"/>
      <c r="B970" s="182"/>
      <c r="C970" s="182"/>
      <c r="D970" s="182"/>
      <c r="E970" s="182"/>
      <c r="F970" s="182"/>
      <c r="G970" s="182"/>
      <c r="H970" s="182"/>
      <c r="I970" s="182"/>
      <c r="J970" s="182"/>
      <c r="K970" s="182"/>
      <c r="L970" s="182"/>
      <c r="M970" s="182"/>
      <c r="N970" s="182"/>
      <c r="O970" s="182"/>
      <c r="P970" s="182"/>
      <c r="Q970" s="182"/>
      <c r="R970" s="182"/>
      <c r="S970" s="182"/>
      <c r="T970" s="182"/>
      <c r="U970" s="182"/>
      <c r="V970" s="182"/>
      <c r="W970" s="182"/>
      <c r="X970" s="182"/>
      <c r="Y970" s="182"/>
      <c r="Z970" s="182"/>
    </row>
    <row r="971" spans="1:26" ht="15.75" customHeight="1">
      <c r="A971" s="182"/>
      <c r="B971" s="182"/>
      <c r="C971" s="182"/>
      <c r="D971" s="182"/>
      <c r="E971" s="182"/>
      <c r="F971" s="182"/>
      <c r="G971" s="182"/>
      <c r="H971" s="182"/>
      <c r="I971" s="182"/>
      <c r="J971" s="182"/>
      <c r="K971" s="182"/>
      <c r="L971" s="182"/>
      <c r="M971" s="182"/>
      <c r="N971" s="182"/>
      <c r="O971" s="182"/>
      <c r="P971" s="182"/>
      <c r="Q971" s="182"/>
      <c r="R971" s="182"/>
      <c r="S971" s="182"/>
      <c r="T971" s="182"/>
      <c r="U971" s="182"/>
      <c r="V971" s="182"/>
      <c r="W971" s="182"/>
      <c r="X971" s="182"/>
      <c r="Y971" s="182"/>
      <c r="Z971" s="182"/>
    </row>
    <row r="972" spans="1:26" ht="15.75" customHeight="1">
      <c r="A972" s="182"/>
      <c r="B972" s="182"/>
      <c r="C972" s="182"/>
      <c r="D972" s="182"/>
      <c r="E972" s="182"/>
      <c r="F972" s="182"/>
      <c r="G972" s="182"/>
      <c r="H972" s="182"/>
      <c r="I972" s="182"/>
      <c r="J972" s="182"/>
      <c r="K972" s="182"/>
      <c r="L972" s="182"/>
      <c r="M972" s="182"/>
      <c r="N972" s="182"/>
      <c r="O972" s="182"/>
      <c r="P972" s="182"/>
      <c r="Q972" s="182"/>
      <c r="R972" s="182"/>
      <c r="S972" s="182"/>
      <c r="T972" s="182"/>
      <c r="U972" s="182"/>
      <c r="V972" s="182"/>
      <c r="W972" s="182"/>
      <c r="X972" s="182"/>
      <c r="Y972" s="182"/>
      <c r="Z972" s="182"/>
    </row>
    <row r="973" spans="1:26" ht="15.75" customHeight="1">
      <c r="A973" s="182"/>
      <c r="B973" s="182"/>
      <c r="C973" s="182"/>
      <c r="D973" s="182"/>
      <c r="E973" s="182"/>
      <c r="F973" s="182"/>
      <c r="G973" s="182"/>
      <c r="H973" s="182"/>
      <c r="I973" s="182"/>
      <c r="J973" s="182"/>
      <c r="K973" s="182"/>
      <c r="L973" s="182"/>
      <c r="M973" s="182"/>
      <c r="N973" s="182"/>
      <c r="O973" s="182"/>
      <c r="P973" s="182"/>
      <c r="Q973" s="182"/>
      <c r="R973" s="182"/>
      <c r="S973" s="182"/>
      <c r="T973" s="182"/>
      <c r="U973" s="182"/>
      <c r="V973" s="182"/>
      <c r="W973" s="182"/>
      <c r="X973" s="182"/>
      <c r="Y973" s="182"/>
      <c r="Z973" s="182"/>
    </row>
    <row r="974" spans="1:26" ht="15.75" customHeight="1">
      <c r="A974" s="182"/>
      <c r="B974" s="182"/>
      <c r="C974" s="182"/>
      <c r="D974" s="182"/>
      <c r="E974" s="182"/>
      <c r="F974" s="182"/>
      <c r="G974" s="182"/>
      <c r="H974" s="182"/>
      <c r="I974" s="182"/>
      <c r="J974" s="182"/>
      <c r="K974" s="182"/>
      <c r="L974" s="182"/>
      <c r="M974" s="182"/>
      <c r="N974" s="182"/>
      <c r="O974" s="182"/>
      <c r="P974" s="182"/>
      <c r="Q974" s="182"/>
      <c r="R974" s="182"/>
      <c r="S974" s="182"/>
      <c r="T974" s="182"/>
      <c r="U974" s="182"/>
      <c r="V974" s="182"/>
      <c r="W974" s="182"/>
      <c r="X974" s="182"/>
      <c r="Y974" s="182"/>
      <c r="Z974" s="182"/>
    </row>
    <row r="975" spans="1:26" ht="15.75" customHeight="1">
      <c r="A975" s="182"/>
      <c r="B975" s="182"/>
      <c r="C975" s="182"/>
      <c r="D975" s="182"/>
      <c r="E975" s="182"/>
      <c r="F975" s="182"/>
      <c r="G975" s="182"/>
      <c r="H975" s="182"/>
      <c r="I975" s="182"/>
      <c r="J975" s="182"/>
      <c r="K975" s="182"/>
      <c r="L975" s="182"/>
      <c r="M975" s="182"/>
      <c r="N975" s="182"/>
      <c r="O975" s="182"/>
      <c r="P975" s="182"/>
      <c r="Q975" s="182"/>
      <c r="R975" s="182"/>
      <c r="S975" s="182"/>
      <c r="T975" s="182"/>
      <c r="U975" s="182"/>
      <c r="V975" s="182"/>
      <c r="W975" s="182"/>
      <c r="X975" s="182"/>
      <c r="Y975" s="182"/>
      <c r="Z975" s="182"/>
    </row>
    <row r="976" spans="1:26" ht="15.75" customHeight="1">
      <c r="A976" s="182"/>
      <c r="B976" s="182"/>
      <c r="C976" s="182"/>
      <c r="D976" s="182"/>
      <c r="E976" s="182"/>
      <c r="F976" s="182"/>
      <c r="G976" s="182"/>
      <c r="H976" s="182"/>
      <c r="I976" s="182"/>
      <c r="J976" s="182"/>
      <c r="K976" s="182"/>
      <c r="L976" s="182"/>
      <c r="M976" s="182"/>
      <c r="N976" s="182"/>
      <c r="O976" s="182"/>
      <c r="P976" s="182"/>
      <c r="Q976" s="182"/>
      <c r="R976" s="182"/>
      <c r="S976" s="182"/>
      <c r="T976" s="182"/>
      <c r="U976" s="182"/>
      <c r="V976" s="182"/>
      <c r="W976" s="182"/>
      <c r="X976" s="182"/>
      <c r="Y976" s="182"/>
      <c r="Z976" s="182"/>
    </row>
    <row r="977" spans="1:26" ht="15.75" customHeight="1">
      <c r="A977" s="182"/>
      <c r="B977" s="182"/>
      <c r="C977" s="182"/>
      <c r="D977" s="182"/>
      <c r="E977" s="182"/>
      <c r="F977" s="182"/>
      <c r="G977" s="182"/>
      <c r="H977" s="182"/>
      <c r="I977" s="182"/>
      <c r="J977" s="182"/>
      <c r="K977" s="182"/>
      <c r="L977" s="182"/>
      <c r="M977" s="182"/>
      <c r="N977" s="182"/>
      <c r="O977" s="182"/>
      <c r="P977" s="182"/>
      <c r="Q977" s="182"/>
      <c r="R977" s="182"/>
      <c r="S977" s="182"/>
      <c r="T977" s="182"/>
      <c r="U977" s="182"/>
      <c r="V977" s="182"/>
      <c r="W977" s="182"/>
      <c r="X977" s="182"/>
      <c r="Y977" s="182"/>
      <c r="Z977" s="182"/>
    </row>
    <row r="978" spans="1:26" ht="15.75" customHeight="1">
      <c r="A978" s="182"/>
      <c r="B978" s="182"/>
      <c r="C978" s="182"/>
      <c r="D978" s="182"/>
      <c r="E978" s="182"/>
      <c r="F978" s="182"/>
      <c r="G978" s="182"/>
      <c r="H978" s="182"/>
      <c r="I978" s="182"/>
      <c r="J978" s="182"/>
      <c r="K978" s="182"/>
      <c r="L978" s="182"/>
      <c r="M978" s="182"/>
      <c r="N978" s="182"/>
      <c r="O978" s="182"/>
      <c r="P978" s="182"/>
      <c r="Q978" s="182"/>
      <c r="R978" s="182"/>
      <c r="S978" s="182"/>
      <c r="T978" s="182"/>
      <c r="U978" s="182"/>
      <c r="V978" s="182"/>
      <c r="W978" s="182"/>
      <c r="X978" s="182"/>
      <c r="Y978" s="182"/>
      <c r="Z978" s="182"/>
    </row>
    <row r="979" spans="1:26" ht="15.75" customHeight="1">
      <c r="A979" s="182"/>
      <c r="B979" s="182"/>
      <c r="C979" s="182"/>
      <c r="D979" s="182"/>
      <c r="E979" s="182"/>
      <c r="F979" s="182"/>
      <c r="G979" s="182"/>
      <c r="H979" s="182"/>
      <c r="I979" s="182"/>
      <c r="J979" s="182"/>
      <c r="K979" s="182"/>
      <c r="L979" s="182"/>
      <c r="M979" s="182"/>
      <c r="N979" s="182"/>
      <c r="O979" s="182"/>
      <c r="P979" s="182"/>
      <c r="Q979" s="182"/>
      <c r="R979" s="182"/>
      <c r="S979" s="182"/>
      <c r="T979" s="182"/>
      <c r="U979" s="182"/>
      <c r="V979" s="182"/>
      <c r="W979" s="182"/>
      <c r="X979" s="182"/>
      <c r="Y979" s="182"/>
      <c r="Z979" s="182"/>
    </row>
    <row r="980" spans="1:26" ht="15.75" customHeight="1">
      <c r="A980" s="182"/>
      <c r="B980" s="182"/>
      <c r="C980" s="182"/>
      <c r="D980" s="182"/>
      <c r="E980" s="182"/>
      <c r="F980" s="182"/>
      <c r="G980" s="182"/>
      <c r="H980" s="182"/>
      <c r="I980" s="182"/>
      <c r="J980" s="182"/>
      <c r="K980" s="182"/>
      <c r="L980" s="182"/>
      <c r="M980" s="182"/>
      <c r="N980" s="182"/>
      <c r="O980" s="182"/>
      <c r="P980" s="182"/>
      <c r="Q980" s="182"/>
      <c r="R980" s="182"/>
      <c r="S980" s="182"/>
      <c r="T980" s="182"/>
      <c r="U980" s="182"/>
      <c r="V980" s="182"/>
      <c r="W980" s="182"/>
      <c r="X980" s="182"/>
      <c r="Y980" s="182"/>
      <c r="Z980" s="182"/>
    </row>
    <row r="981" spans="1:26" ht="15.75" customHeight="1">
      <c r="A981" s="182"/>
      <c r="B981" s="182"/>
      <c r="C981" s="182"/>
      <c r="D981" s="182"/>
      <c r="E981" s="182"/>
      <c r="F981" s="182"/>
      <c r="G981" s="182"/>
      <c r="H981" s="182"/>
      <c r="I981" s="182"/>
      <c r="J981" s="182"/>
      <c r="K981" s="182"/>
      <c r="L981" s="182"/>
      <c r="M981" s="182"/>
      <c r="N981" s="182"/>
      <c r="O981" s="182"/>
      <c r="P981" s="182"/>
      <c r="Q981" s="182"/>
      <c r="R981" s="182"/>
      <c r="S981" s="182"/>
      <c r="T981" s="182"/>
      <c r="U981" s="182"/>
      <c r="V981" s="182"/>
      <c r="W981" s="182"/>
      <c r="X981" s="182"/>
      <c r="Y981" s="182"/>
      <c r="Z981" s="182"/>
    </row>
    <row r="982" spans="1:26" ht="15.75" customHeight="1">
      <c r="A982" s="182"/>
      <c r="B982" s="182"/>
      <c r="C982" s="182"/>
      <c r="D982" s="182"/>
      <c r="E982" s="182"/>
      <c r="F982" s="182"/>
      <c r="G982" s="182"/>
      <c r="H982" s="182"/>
      <c r="I982" s="182"/>
      <c r="J982" s="182"/>
      <c r="K982" s="182"/>
      <c r="L982" s="182"/>
      <c r="M982" s="182"/>
      <c r="N982" s="182"/>
      <c r="O982" s="182"/>
      <c r="P982" s="182"/>
      <c r="Q982" s="182"/>
      <c r="R982" s="182"/>
      <c r="S982" s="182"/>
      <c r="T982" s="182"/>
      <c r="U982" s="182"/>
      <c r="V982" s="182"/>
      <c r="W982" s="182"/>
      <c r="X982" s="182"/>
      <c r="Y982" s="182"/>
      <c r="Z982" s="182"/>
    </row>
    <row r="983" spans="1:26" ht="15.75" customHeight="1">
      <c r="A983" s="182"/>
      <c r="B983" s="182"/>
      <c r="C983" s="182"/>
      <c r="D983" s="182"/>
      <c r="E983" s="182"/>
      <c r="F983" s="182"/>
      <c r="G983" s="182"/>
      <c r="H983" s="182"/>
      <c r="I983" s="182"/>
      <c r="J983" s="182"/>
      <c r="K983" s="182"/>
      <c r="L983" s="182"/>
      <c r="M983" s="182"/>
      <c r="N983" s="182"/>
      <c r="O983" s="182"/>
      <c r="P983" s="182"/>
      <c r="Q983" s="182"/>
      <c r="R983" s="182"/>
      <c r="S983" s="182"/>
      <c r="T983" s="182"/>
      <c r="U983" s="182"/>
      <c r="V983" s="182"/>
      <c r="W983" s="182"/>
      <c r="X983" s="182"/>
      <c r="Y983" s="182"/>
      <c r="Z983" s="182"/>
    </row>
    <row r="984" spans="1:26" ht="15.75" customHeight="1">
      <c r="A984" s="182"/>
      <c r="B984" s="182"/>
      <c r="C984" s="182"/>
      <c r="D984" s="182"/>
      <c r="E984" s="182"/>
      <c r="F984" s="182"/>
      <c r="G984" s="182"/>
      <c r="H984" s="182"/>
      <c r="I984" s="182"/>
      <c r="J984" s="182"/>
      <c r="K984" s="182"/>
      <c r="L984" s="182"/>
      <c r="M984" s="182"/>
      <c r="N984" s="182"/>
      <c r="O984" s="182"/>
      <c r="P984" s="182"/>
      <c r="Q984" s="182"/>
      <c r="R984" s="182"/>
      <c r="S984" s="182"/>
      <c r="T984" s="182"/>
      <c r="U984" s="182"/>
      <c r="V984" s="182"/>
      <c r="W984" s="182"/>
      <c r="X984" s="182"/>
      <c r="Y984" s="182"/>
      <c r="Z984" s="182"/>
    </row>
    <row r="985" spans="1:26" ht="15.75" customHeight="1">
      <c r="A985" s="182"/>
      <c r="B985" s="182"/>
      <c r="C985" s="182"/>
      <c r="D985" s="182"/>
      <c r="E985" s="182"/>
      <c r="F985" s="182"/>
      <c r="G985" s="182"/>
      <c r="H985" s="182"/>
      <c r="I985" s="182"/>
      <c r="J985" s="182"/>
      <c r="K985" s="182"/>
      <c r="L985" s="182"/>
      <c r="M985" s="182"/>
      <c r="N985" s="182"/>
      <c r="O985" s="182"/>
      <c r="P985" s="182"/>
      <c r="Q985" s="182"/>
      <c r="R985" s="182"/>
      <c r="S985" s="182"/>
      <c r="T985" s="182"/>
      <c r="U985" s="182"/>
      <c r="V985" s="182"/>
      <c r="W985" s="182"/>
      <c r="X985" s="182"/>
      <c r="Y985" s="182"/>
      <c r="Z985" s="182"/>
    </row>
    <row r="986" spans="1:26" ht="15.75" customHeight="1">
      <c r="A986" s="182"/>
      <c r="B986" s="182"/>
      <c r="C986" s="182"/>
      <c r="D986" s="182"/>
      <c r="E986" s="182"/>
      <c r="F986" s="182"/>
      <c r="G986" s="182"/>
      <c r="H986" s="182"/>
      <c r="I986" s="182"/>
      <c r="J986" s="182"/>
      <c r="K986" s="182"/>
      <c r="L986" s="182"/>
      <c r="M986" s="182"/>
      <c r="N986" s="182"/>
      <c r="O986" s="182"/>
      <c r="P986" s="182"/>
      <c r="Q986" s="182"/>
      <c r="R986" s="182"/>
      <c r="S986" s="182"/>
      <c r="T986" s="182"/>
      <c r="U986" s="182"/>
      <c r="V986" s="182"/>
      <c r="W986" s="182"/>
      <c r="X986" s="182"/>
      <c r="Y986" s="182"/>
      <c r="Z986" s="182"/>
    </row>
    <row r="987" spans="1:26" ht="15.75" customHeight="1">
      <c r="A987" s="182"/>
      <c r="B987" s="182"/>
      <c r="C987" s="182"/>
      <c r="D987" s="182"/>
      <c r="E987" s="182"/>
      <c r="F987" s="182"/>
      <c r="G987" s="182"/>
      <c r="H987" s="182"/>
      <c r="I987" s="182"/>
      <c r="J987" s="182"/>
      <c r="K987" s="182"/>
      <c r="L987" s="182"/>
      <c r="M987" s="182"/>
      <c r="N987" s="182"/>
      <c r="O987" s="182"/>
      <c r="P987" s="182"/>
      <c r="Q987" s="182"/>
      <c r="R987" s="182"/>
      <c r="S987" s="182"/>
      <c r="T987" s="182"/>
      <c r="U987" s="182"/>
      <c r="V987" s="182"/>
      <c r="W987" s="182"/>
      <c r="X987" s="182"/>
      <c r="Y987" s="182"/>
      <c r="Z987" s="182"/>
    </row>
    <row r="988" spans="1:26" ht="15.75" customHeight="1">
      <c r="A988" s="182"/>
      <c r="B988" s="182"/>
      <c r="C988" s="182"/>
      <c r="D988" s="182"/>
      <c r="E988" s="182"/>
      <c r="F988" s="182"/>
      <c r="G988" s="182"/>
      <c r="H988" s="182"/>
      <c r="I988" s="182"/>
      <c r="J988" s="182"/>
      <c r="K988" s="182"/>
      <c r="L988" s="182"/>
      <c r="M988" s="182"/>
      <c r="N988" s="182"/>
      <c r="O988" s="182"/>
      <c r="P988" s="182"/>
      <c r="Q988" s="182"/>
      <c r="R988" s="182"/>
      <c r="S988" s="182"/>
      <c r="T988" s="182"/>
      <c r="U988" s="182"/>
      <c r="V988" s="182"/>
      <c r="W988" s="182"/>
      <c r="X988" s="182"/>
      <c r="Y988" s="182"/>
      <c r="Z988" s="182"/>
    </row>
    <row r="989" spans="1:26" ht="15.75" customHeight="1">
      <c r="A989" s="182"/>
      <c r="B989" s="182"/>
      <c r="C989" s="182"/>
      <c r="D989" s="182"/>
      <c r="E989" s="182"/>
      <c r="F989" s="182"/>
      <c r="G989" s="182"/>
      <c r="H989" s="182"/>
      <c r="I989" s="182"/>
      <c r="J989" s="182"/>
      <c r="K989" s="182"/>
      <c r="L989" s="182"/>
      <c r="M989" s="182"/>
      <c r="N989" s="182"/>
      <c r="O989" s="182"/>
      <c r="P989" s="182"/>
      <c r="Q989" s="182"/>
      <c r="R989" s="182"/>
      <c r="S989" s="182"/>
      <c r="T989" s="182"/>
      <c r="U989" s="182"/>
      <c r="V989" s="182"/>
      <c r="W989" s="182"/>
      <c r="X989" s="182"/>
      <c r="Y989" s="182"/>
      <c r="Z989" s="182"/>
    </row>
    <row r="990" spans="1:26" ht="15.75" customHeight="1">
      <c r="A990" s="182"/>
      <c r="B990" s="182"/>
      <c r="C990" s="182"/>
      <c r="D990" s="182"/>
      <c r="E990" s="182"/>
      <c r="F990" s="182"/>
      <c r="G990" s="182"/>
      <c r="H990" s="182"/>
      <c r="I990" s="182"/>
      <c r="J990" s="182"/>
      <c r="K990" s="182"/>
      <c r="L990" s="182"/>
      <c r="M990" s="182"/>
      <c r="N990" s="182"/>
      <c r="O990" s="182"/>
      <c r="P990" s="182"/>
      <c r="Q990" s="182"/>
      <c r="R990" s="182"/>
      <c r="S990" s="182"/>
      <c r="T990" s="182"/>
      <c r="U990" s="182"/>
      <c r="V990" s="182"/>
      <c r="W990" s="182"/>
      <c r="X990" s="182"/>
      <c r="Y990" s="182"/>
      <c r="Z990" s="182"/>
    </row>
    <row r="991" spans="1:26" ht="15.75" customHeight="1">
      <c r="A991" s="182"/>
      <c r="B991" s="182"/>
      <c r="C991" s="182"/>
      <c r="D991" s="182"/>
      <c r="E991" s="182"/>
      <c r="F991" s="182"/>
      <c r="G991" s="182"/>
      <c r="H991" s="182"/>
      <c r="I991" s="182"/>
      <c r="J991" s="182"/>
      <c r="K991" s="182"/>
      <c r="L991" s="182"/>
      <c r="M991" s="182"/>
      <c r="N991" s="182"/>
      <c r="O991" s="182"/>
      <c r="P991" s="182"/>
      <c r="Q991" s="182"/>
      <c r="R991" s="182"/>
      <c r="S991" s="182"/>
      <c r="T991" s="182"/>
      <c r="U991" s="182"/>
      <c r="V991" s="182"/>
      <c r="W991" s="182"/>
      <c r="X991" s="182"/>
      <c r="Y991" s="182"/>
      <c r="Z991" s="182"/>
    </row>
    <row r="992" spans="1:26" ht="15.75" customHeight="1">
      <c r="A992" s="182"/>
      <c r="B992" s="182"/>
      <c r="C992" s="182"/>
      <c r="D992" s="182"/>
      <c r="E992" s="182"/>
      <c r="F992" s="182"/>
      <c r="G992" s="182"/>
      <c r="H992" s="182"/>
      <c r="I992" s="182"/>
      <c r="J992" s="182"/>
      <c r="K992" s="182"/>
      <c r="L992" s="182"/>
      <c r="M992" s="182"/>
      <c r="N992" s="182"/>
      <c r="O992" s="182"/>
      <c r="P992" s="182"/>
      <c r="Q992" s="182"/>
      <c r="R992" s="182"/>
      <c r="S992" s="182"/>
      <c r="T992" s="182"/>
      <c r="U992" s="182"/>
      <c r="V992" s="182"/>
      <c r="W992" s="182"/>
      <c r="X992" s="182"/>
      <c r="Y992" s="182"/>
      <c r="Z992" s="182"/>
    </row>
    <row r="993" spans="1:26" ht="15.75" customHeight="1">
      <c r="A993" s="182"/>
      <c r="B993" s="182"/>
      <c r="C993" s="182"/>
      <c r="D993" s="182"/>
      <c r="E993" s="182"/>
      <c r="F993" s="182"/>
      <c r="G993" s="182"/>
      <c r="H993" s="182"/>
      <c r="I993" s="182"/>
      <c r="J993" s="182"/>
      <c r="K993" s="182"/>
      <c r="L993" s="182"/>
      <c r="M993" s="182"/>
      <c r="N993" s="182"/>
      <c r="O993" s="182"/>
      <c r="P993" s="182"/>
      <c r="Q993" s="182"/>
      <c r="R993" s="182"/>
      <c r="S993" s="182"/>
      <c r="T993" s="182"/>
      <c r="U993" s="182"/>
      <c r="V993" s="182"/>
      <c r="W993" s="182"/>
      <c r="X993" s="182"/>
      <c r="Y993" s="182"/>
      <c r="Z993" s="182"/>
    </row>
    <row r="994" spans="1:26" ht="15.75" customHeight="1">
      <c r="A994" s="182"/>
      <c r="B994" s="182"/>
      <c r="C994" s="182"/>
      <c r="D994" s="182"/>
      <c r="E994" s="182"/>
      <c r="F994" s="182"/>
      <c r="G994" s="182"/>
      <c r="H994" s="182"/>
      <c r="I994" s="182"/>
      <c r="J994" s="182"/>
      <c r="K994" s="182"/>
      <c r="L994" s="182"/>
      <c r="M994" s="182"/>
      <c r="N994" s="182"/>
      <c r="O994" s="182"/>
      <c r="P994" s="182"/>
      <c r="Q994" s="182"/>
      <c r="R994" s="182"/>
      <c r="S994" s="182"/>
      <c r="T994" s="182"/>
      <c r="U994" s="182"/>
      <c r="V994" s="182"/>
      <c r="W994" s="182"/>
      <c r="X994" s="182"/>
      <c r="Y994" s="182"/>
      <c r="Z994" s="182"/>
    </row>
    <row r="995" spans="1:26" ht="15.75" customHeight="1">
      <c r="A995" s="182"/>
      <c r="B995" s="182"/>
      <c r="C995" s="182"/>
      <c r="D995" s="182"/>
      <c r="E995" s="182"/>
      <c r="F995" s="182"/>
      <c r="G995" s="182"/>
      <c r="H995" s="182"/>
      <c r="I995" s="182"/>
      <c r="J995" s="182"/>
      <c r="K995" s="182"/>
      <c r="L995" s="182"/>
      <c r="M995" s="182"/>
      <c r="N995" s="182"/>
      <c r="O995" s="182"/>
      <c r="P995" s="182"/>
      <c r="Q995" s="182"/>
      <c r="R995" s="182"/>
      <c r="S995" s="182"/>
      <c r="T995" s="182"/>
      <c r="U995" s="182"/>
      <c r="V995" s="182"/>
      <c r="W995" s="182"/>
      <c r="X995" s="182"/>
      <c r="Y995" s="182"/>
      <c r="Z995" s="182"/>
    </row>
    <row r="996" spans="1:26" ht="15.75" customHeight="1">
      <c r="A996" s="182"/>
      <c r="B996" s="182"/>
      <c r="C996" s="182"/>
      <c r="D996" s="182"/>
      <c r="E996" s="182"/>
      <c r="F996" s="182"/>
      <c r="G996" s="182"/>
      <c r="H996" s="182"/>
      <c r="I996" s="182"/>
      <c r="J996" s="182"/>
      <c r="K996" s="182"/>
      <c r="L996" s="182"/>
      <c r="M996" s="182"/>
      <c r="N996" s="182"/>
      <c r="O996" s="182"/>
      <c r="P996" s="182"/>
      <c r="Q996" s="182"/>
      <c r="R996" s="182"/>
      <c r="S996" s="182"/>
      <c r="T996" s="182"/>
      <c r="U996" s="182"/>
      <c r="V996" s="182"/>
      <c r="W996" s="182"/>
      <c r="X996" s="182"/>
      <c r="Y996" s="182"/>
      <c r="Z996" s="182"/>
    </row>
    <row r="997" spans="1:26" ht="15.75" customHeight="1">
      <c r="A997" s="182"/>
      <c r="B997" s="182"/>
      <c r="C997" s="182"/>
      <c r="D997" s="182"/>
      <c r="E997" s="182"/>
      <c r="F997" s="182"/>
      <c r="G997" s="182"/>
      <c r="H997" s="182"/>
      <c r="I997" s="182"/>
      <c r="J997" s="182"/>
      <c r="K997" s="182"/>
      <c r="L997" s="182"/>
      <c r="M997" s="182"/>
      <c r="N997" s="182"/>
      <c r="O997" s="182"/>
      <c r="P997" s="182"/>
      <c r="Q997" s="182"/>
      <c r="R997" s="182"/>
      <c r="S997" s="182"/>
      <c r="T997" s="182"/>
      <c r="U997" s="182"/>
      <c r="V997" s="182"/>
      <c r="W997" s="182"/>
      <c r="X997" s="182"/>
      <c r="Y997" s="182"/>
      <c r="Z997" s="182"/>
    </row>
    <row r="998" spans="1:26" ht="15.75" customHeight="1">
      <c r="A998" s="182"/>
      <c r="B998" s="182"/>
      <c r="C998" s="182"/>
      <c r="D998" s="182"/>
      <c r="E998" s="182"/>
      <c r="F998" s="182"/>
      <c r="G998" s="182"/>
      <c r="H998" s="182"/>
      <c r="I998" s="182"/>
      <c r="J998" s="182"/>
      <c r="K998" s="182"/>
      <c r="L998" s="182"/>
      <c r="M998" s="182"/>
      <c r="N998" s="182"/>
      <c r="O998" s="182"/>
      <c r="P998" s="182"/>
      <c r="Q998" s="182"/>
      <c r="R998" s="182"/>
      <c r="S998" s="182"/>
      <c r="T998" s="182"/>
      <c r="U998" s="182"/>
      <c r="V998" s="182"/>
      <c r="W998" s="182"/>
      <c r="X998" s="182"/>
      <c r="Y998" s="182"/>
      <c r="Z998" s="182"/>
    </row>
    <row r="999" spans="1:26" ht="15.75" customHeight="1">
      <c r="A999" s="182"/>
      <c r="B999" s="182"/>
      <c r="C999" s="182"/>
      <c r="D999" s="182"/>
      <c r="E999" s="182"/>
      <c r="F999" s="182"/>
      <c r="G999" s="182"/>
      <c r="H999" s="182"/>
      <c r="I999" s="182"/>
      <c r="J999" s="182"/>
      <c r="K999" s="182"/>
      <c r="L999" s="182"/>
      <c r="M999" s="182"/>
      <c r="N999" s="182"/>
      <c r="O999" s="182"/>
      <c r="P999" s="182"/>
      <c r="Q999" s="182"/>
      <c r="R999" s="182"/>
      <c r="S999" s="182"/>
      <c r="T999" s="182"/>
      <c r="U999" s="182"/>
      <c r="V999" s="182"/>
      <c r="W999" s="182"/>
      <c r="X999" s="182"/>
      <c r="Y999" s="182"/>
      <c r="Z999" s="182"/>
    </row>
    <row r="1000" spans="1:26" ht="15.75" customHeight="1">
      <c r="A1000" s="182"/>
      <c r="B1000" s="182"/>
      <c r="C1000" s="182"/>
      <c r="D1000" s="182"/>
      <c r="E1000" s="182"/>
      <c r="F1000" s="182"/>
      <c r="G1000" s="182"/>
      <c r="H1000" s="182"/>
      <c r="I1000" s="182"/>
      <c r="J1000" s="182"/>
      <c r="K1000" s="182"/>
      <c r="L1000" s="182"/>
      <c r="M1000" s="182"/>
      <c r="N1000" s="182"/>
      <c r="O1000" s="182"/>
      <c r="P1000" s="182"/>
      <c r="Q1000" s="182"/>
      <c r="R1000" s="182"/>
      <c r="S1000" s="182"/>
      <c r="T1000" s="182"/>
      <c r="U1000" s="182"/>
      <c r="V1000" s="182"/>
      <c r="W1000" s="182"/>
      <c r="X1000" s="182"/>
      <c r="Y1000" s="182"/>
      <c r="Z1000" s="182"/>
    </row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Outputs</vt:lpstr>
      <vt:lpstr>Inputs</vt:lpstr>
      <vt:lpstr>Raw Data</vt:lpstr>
      <vt:lpstr>Definitions</vt:lpstr>
      <vt:lpstr>Example of Conversion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Brett Nowak</cp:lastModifiedBy>
  <dcterms:created xsi:type="dcterms:W3CDTF">2018-07-24T17:06:42Z</dcterms:created>
  <dcterms:modified xsi:type="dcterms:W3CDTF">2018-07-26T16:45:51Z</dcterms:modified>
</cp:coreProperties>
</file>