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ettnowak/Dropbox (Liquid and Grit)/Liquid and Grit Team Folder/Reports/SC Product Reports/08 2018 PR/"/>
    </mc:Choice>
  </mc:AlternateContent>
  <xr:revisionPtr revIDLastSave="0" documentId="13_ncr:1_{AD6EF6D7-A015-8348-97D8-EB9BBE8EFCD7}" xr6:coauthVersionLast="34" xr6:coauthVersionMax="34" xr10:uidLastSave="{00000000-0000-0000-0000-000000000000}"/>
  <bookViews>
    <workbookView xWindow="0" yWindow="460" windowWidth="40960" windowHeight="20540" xr2:uid="{00000000-000D-0000-FFFF-FFFF00000000}"/>
  </bookViews>
  <sheets>
    <sheet name="Outputs" sheetId="1" r:id="rId1"/>
    <sheet name="Inputs" sheetId="2" r:id="rId2"/>
    <sheet name="Raw Data" sheetId="3" r:id="rId3"/>
    <sheet name="Definitions" sheetId="12" r:id="rId4"/>
  </sheets>
  <definedNames>
    <definedName name="_xlnm._FilterDatabase" localSheetId="0" hidden="1">Outputs!$A$8:$N$72</definedName>
    <definedName name="_xlchart.v1.0" hidden="1">Outputs!$B$9:$B$63</definedName>
    <definedName name="_xlchart.v1.1" hidden="1">Outputs!$D$8</definedName>
    <definedName name="_xlchart.v1.2" hidden="1">Outputs!$D$9:$D$63</definedName>
    <definedName name="_xlchart.v1.3" hidden="1">Outputs!$B$9:$B$63</definedName>
    <definedName name="_xlchart.v1.4" hidden="1">Outputs!$D$8</definedName>
    <definedName name="_xlchart.v1.5" hidden="1">Outputs!$D$9:$D$63</definedName>
  </definedNames>
  <calcPr calcId="179021"/>
</workbook>
</file>

<file path=xl/calcChain.xml><?xml version="1.0" encoding="utf-8"?>
<calcChain xmlns="http://schemas.openxmlformats.org/spreadsheetml/2006/main">
  <c r="R6" i="2" l="1"/>
  <c r="P81" i="3" l="1"/>
  <c r="P80" i="3"/>
  <c r="P79" i="3"/>
  <c r="P78" i="3"/>
  <c r="P77" i="3"/>
  <c r="P76" i="3"/>
  <c r="P75" i="3"/>
  <c r="P74" i="3"/>
  <c r="P73" i="3"/>
  <c r="P72" i="3"/>
  <c r="P71" i="3"/>
  <c r="P70" i="3"/>
  <c r="P69" i="3"/>
  <c r="AV68" i="3"/>
  <c r="P68" i="3"/>
  <c r="AV67" i="3"/>
  <c r="P67" i="3"/>
  <c r="AV66" i="3"/>
  <c r="P66" i="3"/>
  <c r="P65" i="3"/>
  <c r="P64" i="3"/>
  <c r="BB63" i="3"/>
  <c r="BB64" i="3" s="1"/>
  <c r="P63" i="3"/>
  <c r="P62" i="3"/>
  <c r="P61" i="3"/>
  <c r="AO60" i="3"/>
  <c r="P60" i="3"/>
  <c r="AO59" i="3"/>
  <c r="P59" i="3"/>
  <c r="P58" i="3"/>
  <c r="AP54" i="3"/>
  <c r="AM54" i="3"/>
  <c r="AM8" i="3" s="1"/>
  <c r="AP53" i="3"/>
  <c r="AM53" i="3"/>
  <c r="AS49" i="3"/>
  <c r="AP49" i="3"/>
  <c r="AN49" i="3"/>
  <c r="AM49" i="3"/>
  <c r="AM10" i="3" s="1"/>
  <c r="AD49" i="3"/>
  <c r="B49" i="3"/>
  <c r="BB44" i="3"/>
  <c r="BA44" i="3"/>
  <c r="AY44" i="3"/>
  <c r="AX44" i="3"/>
  <c r="AW44" i="3"/>
  <c r="AU44" i="3"/>
  <c r="AS44" i="3"/>
  <c r="AR44" i="3"/>
  <c r="AQ44" i="3"/>
  <c r="AP44" i="3"/>
  <c r="AO44" i="3"/>
  <c r="AN44" i="3"/>
  <c r="AN16" i="3" s="1"/>
  <c r="AM44" i="3"/>
  <c r="AF44" i="3"/>
  <c r="AE44" i="3"/>
  <c r="AD44" i="3"/>
  <c r="V44" i="3"/>
  <c r="V39" i="3" s="1"/>
  <c r="R44" i="3"/>
  <c r="B44" i="3"/>
  <c r="AZ34" i="3"/>
  <c r="AW34" i="3"/>
  <c r="AU34" i="3"/>
  <c r="AO34" i="3"/>
  <c r="AM34" i="3"/>
  <c r="AI34" i="3"/>
  <c r="AC34" i="3"/>
  <c r="AA34" i="3"/>
  <c r="W34" i="3"/>
  <c r="K34" i="3"/>
  <c r="E34" i="3"/>
  <c r="C34" i="3"/>
  <c r="T33" i="3"/>
  <c r="D33" i="3"/>
  <c r="D34" i="3" s="1"/>
  <c r="AN15" i="3"/>
  <c r="AN14" i="3"/>
  <c r="BB10" i="3"/>
  <c r="AN10" i="3"/>
  <c r="AK10" i="3"/>
  <c r="I10" i="3"/>
  <c r="AO9" i="3"/>
  <c r="AK9" i="3"/>
  <c r="I9" i="3"/>
  <c r="BB8" i="3"/>
  <c r="AK8" i="3"/>
  <c r="I8" i="3"/>
  <c r="AM7" i="3"/>
  <c r="AK7" i="3"/>
  <c r="I7" i="3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M61" i="2"/>
  <c r="AK61" i="2"/>
  <c r="AJ61" i="2"/>
  <c r="AI61" i="2"/>
  <c r="AH61" i="2"/>
  <c r="AE61" i="2"/>
  <c r="AD61" i="2"/>
  <c r="AC61" i="2"/>
  <c r="AB61" i="2"/>
  <c r="AA61" i="2"/>
  <c r="Z61" i="2"/>
  <c r="Y61" i="2"/>
  <c r="X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M60" i="2"/>
  <c r="AL60" i="2"/>
  <c r="AK60" i="2"/>
  <c r="AJ60" i="2"/>
  <c r="AI60" i="2"/>
  <c r="AH60" i="2"/>
  <c r="AD60" i="2"/>
  <c r="AC60" i="2"/>
  <c r="AB60" i="2"/>
  <c r="AA60" i="2"/>
  <c r="Z60" i="2"/>
  <c r="Y60" i="2"/>
  <c r="X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BA58" i="2"/>
  <c r="AZ58" i="2"/>
  <c r="AY58" i="2"/>
  <c r="AX58" i="2"/>
  <c r="AV58" i="2"/>
  <c r="AO58" i="2"/>
  <c r="AN58" i="2"/>
  <c r="AM58" i="2"/>
  <c r="AL58" i="2"/>
  <c r="AJ58" i="2"/>
  <c r="Z58" i="2"/>
  <c r="X58" i="2"/>
  <c r="Q58" i="2"/>
  <c r="P58" i="2"/>
  <c r="O58" i="2"/>
  <c r="N58" i="2"/>
  <c r="L58" i="2"/>
  <c r="E58" i="2"/>
  <c r="D58" i="2"/>
  <c r="C58" i="2"/>
  <c r="AZ57" i="2"/>
  <c r="AX57" i="2"/>
  <c r="AV57" i="2"/>
  <c r="AN57" i="2"/>
  <c r="AL57" i="2"/>
  <c r="AJ57" i="2"/>
  <c r="AH57" i="2"/>
  <c r="AB57" i="2"/>
  <c r="Z57" i="2"/>
  <c r="X57" i="2"/>
  <c r="V57" i="2"/>
  <c r="T57" i="2"/>
  <c r="P57" i="2"/>
  <c r="N57" i="2"/>
  <c r="L57" i="2"/>
  <c r="D57" i="2"/>
  <c r="BE55" i="2"/>
  <c r="BD55" i="2"/>
  <c r="BA55" i="2"/>
  <c r="AW55" i="2"/>
  <c r="AU55" i="2"/>
  <c r="AP55" i="2"/>
  <c r="AM55" i="2"/>
  <c r="AK55" i="2"/>
  <c r="AJ55" i="2"/>
  <c r="AI55" i="2"/>
  <c r="AH55" i="2"/>
  <c r="AD55" i="2"/>
  <c r="AC55" i="2"/>
  <c r="AB55" i="2"/>
  <c r="AA55" i="2"/>
  <c r="Z55" i="2"/>
  <c r="Y55" i="2"/>
  <c r="X55" i="2"/>
  <c r="V55" i="2"/>
  <c r="U55" i="2"/>
  <c r="T55" i="2"/>
  <c r="S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BE54" i="2"/>
  <c r="BD54" i="2"/>
  <c r="BA54" i="2"/>
  <c r="AW54" i="2"/>
  <c r="AV54" i="2"/>
  <c r="AU54" i="2"/>
  <c r="AM54" i="2"/>
  <c r="AK54" i="2"/>
  <c r="AJ54" i="2"/>
  <c r="AI54" i="2"/>
  <c r="AH54" i="2"/>
  <c r="AE54" i="2"/>
  <c r="AD54" i="2"/>
  <c r="AC54" i="2"/>
  <c r="AB54" i="2"/>
  <c r="AA54" i="2"/>
  <c r="Z54" i="2"/>
  <c r="Y54" i="2"/>
  <c r="X54" i="2"/>
  <c r="V54" i="2"/>
  <c r="U54" i="2"/>
  <c r="T54" i="2"/>
  <c r="S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BB52" i="2"/>
  <c r="BA52" i="2"/>
  <c r="AZ52" i="2"/>
  <c r="AY52" i="2"/>
  <c r="AX52" i="2"/>
  <c r="AO52" i="2"/>
  <c r="AN52" i="2"/>
  <c r="AM52" i="2"/>
  <c r="AL52" i="2"/>
  <c r="Z52" i="2"/>
  <c r="S52" i="2"/>
  <c r="R52" i="2"/>
  <c r="Q52" i="2"/>
  <c r="P52" i="2"/>
  <c r="N52" i="2"/>
  <c r="H52" i="2"/>
  <c r="G52" i="2"/>
  <c r="F52" i="2"/>
  <c r="E52" i="2"/>
  <c r="D52" i="2"/>
  <c r="C52" i="2"/>
  <c r="AZ51" i="2"/>
  <c r="AY51" i="2"/>
  <c r="AX51" i="2"/>
  <c r="AV51" i="2"/>
  <c r="AT51" i="2"/>
  <c r="AR51" i="2"/>
  <c r="AL51" i="2"/>
  <c r="AJ51" i="2"/>
  <c r="AH51" i="2"/>
  <c r="AF51" i="2"/>
  <c r="AD51" i="2"/>
  <c r="AB51" i="2"/>
  <c r="Z51" i="2"/>
  <c r="X51" i="2"/>
  <c r="V51" i="2"/>
  <c r="T51" i="2"/>
  <c r="R51" i="2"/>
  <c r="P51" i="2"/>
  <c r="O51" i="2"/>
  <c r="N51" i="2"/>
  <c r="L51" i="2"/>
  <c r="H51" i="2"/>
  <c r="F51" i="2"/>
  <c r="D51" i="2"/>
  <c r="C51" i="2"/>
  <c r="BE49" i="2"/>
  <c r="BE51" i="2" s="1"/>
  <c r="BD49" i="2"/>
  <c r="BC49" i="2"/>
  <c r="BC51" i="2" s="1"/>
  <c r="BB49" i="2"/>
  <c r="BB51" i="2" s="1"/>
  <c r="BA49" i="2"/>
  <c r="AZ49" i="2"/>
  <c r="AY34" i="3" s="1"/>
  <c r="AY49" i="2"/>
  <c r="AX49" i="2"/>
  <c r="AW49" i="2"/>
  <c r="AW57" i="2" s="1"/>
  <c r="AV49" i="2"/>
  <c r="AV52" i="2" s="1"/>
  <c r="AU49" i="2"/>
  <c r="AU58" i="2" s="1"/>
  <c r="AT49" i="2"/>
  <c r="AS15" i="3" s="1"/>
  <c r="AS49" i="2"/>
  <c r="AS58" i="2" s="1"/>
  <c r="AR49" i="2"/>
  <c r="AQ49" i="2"/>
  <c r="AQ51" i="2" s="1"/>
  <c r="AP49" i="2"/>
  <c r="AP52" i="2" s="1"/>
  <c r="AO49" i="2"/>
  <c r="AN49" i="2"/>
  <c r="AN51" i="2" s="1"/>
  <c r="AM49" i="2"/>
  <c r="AL49" i="2"/>
  <c r="AK34" i="3" s="1"/>
  <c r="AK49" i="2"/>
  <c r="AK57" i="2" s="1"/>
  <c r="AJ49" i="2"/>
  <c r="AJ52" i="2" s="1"/>
  <c r="AI49" i="2"/>
  <c r="AI58" i="2" s="1"/>
  <c r="AH49" i="2"/>
  <c r="AG49" i="2"/>
  <c r="AG57" i="2" s="1"/>
  <c r="AF49" i="2"/>
  <c r="AE49" i="2"/>
  <c r="AD49" i="2"/>
  <c r="AC49" i="2"/>
  <c r="AB49" i="2"/>
  <c r="AB58" i="2" s="1"/>
  <c r="AA49" i="2"/>
  <c r="Z49" i="2"/>
  <c r="Y34" i="3" s="1"/>
  <c r="Y49" i="2"/>
  <c r="Y57" i="2" s="1"/>
  <c r="X49" i="2"/>
  <c r="X52" i="2" s="1"/>
  <c r="W49" i="2"/>
  <c r="W58" i="2" s="1"/>
  <c r="V49" i="2"/>
  <c r="U34" i="3" s="1"/>
  <c r="U49" i="2"/>
  <c r="U51" i="2" s="1"/>
  <c r="T49" i="2"/>
  <c r="S49" i="2"/>
  <c r="R49" i="2"/>
  <c r="Q49" i="2"/>
  <c r="P49" i="2"/>
  <c r="O34" i="3" s="1"/>
  <c r="O49" i="2"/>
  <c r="N49" i="2"/>
  <c r="M34" i="3" s="1"/>
  <c r="M49" i="2"/>
  <c r="M57" i="2" s="1"/>
  <c r="L49" i="2"/>
  <c r="L52" i="2" s="1"/>
  <c r="K49" i="2"/>
  <c r="K58" i="2" s="1"/>
  <c r="J49" i="2"/>
  <c r="I49" i="2"/>
  <c r="I58" i="2" s="1"/>
  <c r="H49" i="2"/>
  <c r="G49" i="2"/>
  <c r="F49" i="2"/>
  <c r="E49" i="2"/>
  <c r="D49" i="2"/>
  <c r="C49" i="2"/>
  <c r="BD44" i="2"/>
  <c r="AF44" i="2"/>
  <c r="BD43" i="2"/>
  <c r="AF43" i="2"/>
  <c r="M43" i="2"/>
  <c r="M44" i="2" s="1"/>
  <c r="AM40" i="2"/>
  <c r="AM41" i="2" s="1"/>
  <c r="Z40" i="2"/>
  <c r="Z41" i="2" s="1"/>
  <c r="O40" i="2"/>
  <c r="O41" i="2" s="1"/>
  <c r="AI37" i="2"/>
  <c r="AI38" i="2" s="1"/>
  <c r="W37" i="2"/>
  <c r="W38" i="2" s="1"/>
  <c r="K37" i="2"/>
  <c r="K38" i="2" s="1"/>
  <c r="AY34" i="2"/>
  <c r="AY35" i="2" s="1"/>
  <c r="AM34" i="2"/>
  <c r="AM35" i="2" s="1"/>
  <c r="AA34" i="2"/>
  <c r="AA35" i="2" s="1"/>
  <c r="O34" i="2"/>
  <c r="C34" i="2"/>
  <c r="C35" i="2" s="1"/>
  <c r="BD32" i="2"/>
  <c r="BA32" i="2"/>
  <c r="AV32" i="2"/>
  <c r="AU32" i="2"/>
  <c r="AP32" i="2"/>
  <c r="AJ32" i="2"/>
  <c r="AI32" i="2"/>
  <c r="AH32" i="2"/>
  <c r="AD32" i="2"/>
  <c r="AC32" i="2"/>
  <c r="AB32" i="2"/>
  <c r="Z32" i="2"/>
  <c r="X32" i="2"/>
  <c r="V32" i="2"/>
  <c r="T32" i="2"/>
  <c r="S32" i="2"/>
  <c r="Q32" i="2"/>
  <c r="P32" i="2"/>
  <c r="N32" i="2"/>
  <c r="L32" i="2"/>
  <c r="J32" i="2"/>
  <c r="H32" i="2"/>
  <c r="G32" i="2"/>
  <c r="F32" i="2"/>
  <c r="E32" i="2"/>
  <c r="D32" i="2"/>
  <c r="BE31" i="2"/>
  <c r="BD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E23" i="2"/>
  <c r="BE43" i="2" s="1"/>
  <c r="BE44" i="2" s="1"/>
  <c r="BD23" i="2"/>
  <c r="BC23" i="2"/>
  <c r="BC43" i="2" s="1"/>
  <c r="BC44" i="2" s="1"/>
  <c r="BB23" i="2"/>
  <c r="BA23" i="2"/>
  <c r="AZ23" i="2"/>
  <c r="AY23" i="2"/>
  <c r="AX23" i="2"/>
  <c r="AW23" i="2"/>
  <c r="AV23" i="2"/>
  <c r="AU23" i="2"/>
  <c r="AU43" i="2" s="1"/>
  <c r="AU44" i="2" s="1"/>
  <c r="AT23" i="2"/>
  <c r="AS23" i="2"/>
  <c r="AS43" i="2" s="1"/>
  <c r="AS44" i="2" s="1"/>
  <c r="AR23" i="2"/>
  <c r="AR43" i="2" s="1"/>
  <c r="AR44" i="2" s="1"/>
  <c r="AQ23" i="2"/>
  <c r="AQ43" i="2" s="1"/>
  <c r="AQ44" i="2" s="1"/>
  <c r="AP23" i="2"/>
  <c r="AO23" i="2"/>
  <c r="AN23" i="2"/>
  <c r="AM23" i="2"/>
  <c r="AM43" i="2" s="1"/>
  <c r="AM44" i="2" s="1"/>
  <c r="AL23" i="2"/>
  <c r="AK23" i="2"/>
  <c r="AJ23" i="2"/>
  <c r="AI23" i="2"/>
  <c r="AH23" i="2"/>
  <c r="AG23" i="2"/>
  <c r="AG43" i="2" s="1"/>
  <c r="AG44" i="2" s="1"/>
  <c r="AF23" i="2"/>
  <c r="AE23" i="2"/>
  <c r="AE43" i="2" s="1"/>
  <c r="AE44" i="2" s="1"/>
  <c r="AD23" i="2"/>
  <c r="AC23" i="2"/>
  <c r="AB23" i="2"/>
  <c r="AA23" i="2"/>
  <c r="AA43" i="2" s="1"/>
  <c r="AA44" i="2" s="1"/>
  <c r="Z23" i="2"/>
  <c r="Y23" i="2"/>
  <c r="X23" i="2"/>
  <c r="W23" i="2"/>
  <c r="V23" i="2"/>
  <c r="U23" i="2"/>
  <c r="T23" i="2"/>
  <c r="T43" i="2" s="1"/>
  <c r="T44" i="2" s="1"/>
  <c r="S23" i="2"/>
  <c r="S43" i="2" s="1"/>
  <c r="S44" i="2" s="1"/>
  <c r="R23" i="2"/>
  <c r="Q23" i="2"/>
  <c r="P23" i="2"/>
  <c r="O23" i="2"/>
  <c r="O43" i="2" s="1"/>
  <c r="O44" i="2" s="1"/>
  <c r="N23" i="2"/>
  <c r="M23" i="2"/>
  <c r="L23" i="2"/>
  <c r="K23" i="2"/>
  <c r="K43" i="2" s="1"/>
  <c r="K44" i="2" s="1"/>
  <c r="J23" i="2"/>
  <c r="I23" i="2"/>
  <c r="H23" i="2"/>
  <c r="G23" i="2"/>
  <c r="F23" i="2"/>
  <c r="E23" i="2"/>
  <c r="D23" i="2"/>
  <c r="C23" i="2"/>
  <c r="C43" i="2" s="1"/>
  <c r="C44" i="2" s="1"/>
  <c r="BE22" i="2"/>
  <c r="BD22" i="2"/>
  <c r="BC22" i="2"/>
  <c r="BB22" i="2"/>
  <c r="BB43" i="2" s="1"/>
  <c r="BB44" i="2" s="1"/>
  <c r="BA22" i="2"/>
  <c r="BA43" i="2" s="1"/>
  <c r="BA44" i="2" s="1"/>
  <c r="AZ22" i="2"/>
  <c r="AZ43" i="2" s="1"/>
  <c r="AZ44" i="2" s="1"/>
  <c r="AY22" i="2"/>
  <c r="AY43" i="2" s="1"/>
  <c r="AY44" i="2" s="1"/>
  <c r="AX22" i="2"/>
  <c r="AX43" i="2" s="1"/>
  <c r="AX44" i="2" s="1"/>
  <c r="AW22" i="2"/>
  <c r="AW43" i="2" s="1"/>
  <c r="AW44" i="2" s="1"/>
  <c r="AV22" i="2"/>
  <c r="AV43" i="2" s="1"/>
  <c r="AV44" i="2" s="1"/>
  <c r="AU22" i="2"/>
  <c r="AT22" i="2"/>
  <c r="AT43" i="2" s="1"/>
  <c r="AT44" i="2" s="1"/>
  <c r="AS22" i="2"/>
  <c r="AR22" i="2"/>
  <c r="AQ22" i="2"/>
  <c r="AP22" i="2"/>
  <c r="AP43" i="2" s="1"/>
  <c r="AP44" i="2" s="1"/>
  <c r="AO22" i="2"/>
  <c r="AO43" i="2" s="1"/>
  <c r="AO44" i="2" s="1"/>
  <c r="AN22" i="2"/>
  <c r="AN43" i="2" s="1"/>
  <c r="AN44" i="2" s="1"/>
  <c r="AM22" i="2"/>
  <c r="AL22" i="2"/>
  <c r="AL43" i="2" s="1"/>
  <c r="AL44" i="2" s="1"/>
  <c r="AK22" i="2"/>
  <c r="AK43" i="2" s="1"/>
  <c r="AK44" i="2" s="1"/>
  <c r="AJ22" i="2"/>
  <c r="AJ43" i="2" s="1"/>
  <c r="AJ44" i="2" s="1"/>
  <c r="AI22" i="2"/>
  <c r="AI43" i="2" s="1"/>
  <c r="AI44" i="2" s="1"/>
  <c r="AH22" i="2"/>
  <c r="AH43" i="2" s="1"/>
  <c r="AH44" i="2" s="1"/>
  <c r="AG22" i="2"/>
  <c r="AF22" i="2"/>
  <c r="AE22" i="2"/>
  <c r="AD22" i="2"/>
  <c r="AD43" i="2" s="1"/>
  <c r="AD44" i="2" s="1"/>
  <c r="AC22" i="2"/>
  <c r="AC43" i="2" s="1"/>
  <c r="AC44" i="2" s="1"/>
  <c r="AB22" i="2"/>
  <c r="AB43" i="2" s="1"/>
  <c r="AB44" i="2" s="1"/>
  <c r="AA22" i="2"/>
  <c r="Z22" i="2"/>
  <c r="Z43" i="2" s="1"/>
  <c r="Z44" i="2" s="1"/>
  <c r="Y22" i="2"/>
  <c r="Y43" i="2" s="1"/>
  <c r="Y44" i="2" s="1"/>
  <c r="X22" i="2"/>
  <c r="X43" i="2" s="1"/>
  <c r="X44" i="2" s="1"/>
  <c r="W22" i="2"/>
  <c r="W43" i="2" s="1"/>
  <c r="W44" i="2" s="1"/>
  <c r="V22" i="2"/>
  <c r="V43" i="2" s="1"/>
  <c r="V44" i="2" s="1"/>
  <c r="U22" i="2"/>
  <c r="U43" i="2" s="1"/>
  <c r="U44" i="2" s="1"/>
  <c r="T22" i="2"/>
  <c r="S22" i="2"/>
  <c r="R22" i="2"/>
  <c r="R43" i="2" s="1"/>
  <c r="R44" i="2" s="1"/>
  <c r="Q22" i="2"/>
  <c r="Q43" i="2" s="1"/>
  <c r="Q44" i="2" s="1"/>
  <c r="P22" i="2"/>
  <c r="P43" i="2" s="1"/>
  <c r="P44" i="2" s="1"/>
  <c r="O22" i="2"/>
  <c r="N22" i="2"/>
  <c r="N43" i="2" s="1"/>
  <c r="N44" i="2" s="1"/>
  <c r="M22" i="2"/>
  <c r="L22" i="2"/>
  <c r="L43" i="2" s="1"/>
  <c r="L44" i="2" s="1"/>
  <c r="K22" i="2"/>
  <c r="J22" i="2"/>
  <c r="J43" i="2" s="1"/>
  <c r="J44" i="2" s="1"/>
  <c r="I22" i="2"/>
  <c r="I43" i="2" s="1"/>
  <c r="I44" i="2" s="1"/>
  <c r="H22" i="2"/>
  <c r="H43" i="2" s="1"/>
  <c r="H44" i="2" s="1"/>
  <c r="G22" i="2"/>
  <c r="G43" i="2" s="1"/>
  <c r="G44" i="2" s="1"/>
  <c r="F22" i="2"/>
  <c r="F43" i="2" s="1"/>
  <c r="F44" i="2" s="1"/>
  <c r="E22" i="2"/>
  <c r="E43" i="2" s="1"/>
  <c r="E44" i="2" s="1"/>
  <c r="D22" i="2"/>
  <c r="D43" i="2" s="1"/>
  <c r="D44" i="2" s="1"/>
  <c r="C22" i="2"/>
  <c r="BE19" i="2"/>
  <c r="BE40" i="2" s="1"/>
  <c r="BE41" i="2" s="1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O40" i="2" s="1"/>
  <c r="AO41" i="2" s="1"/>
  <c r="AN19" i="2"/>
  <c r="AM19" i="2"/>
  <c r="AL19" i="2"/>
  <c r="AK19" i="2"/>
  <c r="AK40" i="2" s="1"/>
  <c r="AK41" i="2" s="1"/>
  <c r="AJ19" i="2"/>
  <c r="AI19" i="2"/>
  <c r="AH19" i="2"/>
  <c r="AG19" i="2"/>
  <c r="AF19" i="2"/>
  <c r="AE19" i="2"/>
  <c r="AD19" i="2"/>
  <c r="AC19" i="2"/>
  <c r="AC40" i="2" s="1"/>
  <c r="AC41" i="2" s="1"/>
  <c r="AB19" i="2"/>
  <c r="AA19" i="2"/>
  <c r="Z19" i="2"/>
  <c r="Y19" i="2"/>
  <c r="Y40" i="2" s="1"/>
  <c r="Y41" i="2" s="1"/>
  <c r="X19" i="2"/>
  <c r="W19" i="2"/>
  <c r="V19" i="2"/>
  <c r="U19" i="2"/>
  <c r="T19" i="2"/>
  <c r="S19" i="2"/>
  <c r="Q19" i="2"/>
  <c r="Q40" i="2" s="1"/>
  <c r="Q41" i="2" s="1"/>
  <c r="P19" i="2"/>
  <c r="O19" i="2"/>
  <c r="N19" i="2"/>
  <c r="M19" i="2"/>
  <c r="M40" i="2" s="1"/>
  <c r="M41" i="2" s="1"/>
  <c r="L19" i="2"/>
  <c r="K19" i="2"/>
  <c r="K40" i="2" s="1"/>
  <c r="K41" i="2" s="1"/>
  <c r="J19" i="2"/>
  <c r="I19" i="2"/>
  <c r="H19" i="2"/>
  <c r="G19" i="2"/>
  <c r="F19" i="2"/>
  <c r="E19" i="2"/>
  <c r="D19" i="2"/>
  <c r="BE18" i="2"/>
  <c r="BD18" i="2"/>
  <c r="BD40" i="2" s="1"/>
  <c r="BD41" i="2" s="1"/>
  <c r="BC18" i="2"/>
  <c r="BC40" i="2" s="1"/>
  <c r="BC41" i="2" s="1"/>
  <c r="BB18" i="2"/>
  <c r="BB40" i="2" s="1"/>
  <c r="BB41" i="2" s="1"/>
  <c r="BA18" i="2"/>
  <c r="BA40" i="2" s="1"/>
  <c r="BA41" i="2" s="1"/>
  <c r="AZ18" i="2"/>
  <c r="AZ40" i="2" s="1"/>
  <c r="AZ41" i="2" s="1"/>
  <c r="AY18" i="2"/>
  <c r="AY40" i="2" s="1"/>
  <c r="AY41" i="2" s="1"/>
  <c r="AX18" i="2"/>
  <c r="AX40" i="2" s="1"/>
  <c r="AX41" i="2" s="1"/>
  <c r="AV18" i="2"/>
  <c r="AV40" i="2" s="1"/>
  <c r="AV41" i="2" s="1"/>
  <c r="AU18" i="2"/>
  <c r="AU40" i="2" s="1"/>
  <c r="AU41" i="2" s="1"/>
  <c r="AT18" i="2"/>
  <c r="AT40" i="2" s="1"/>
  <c r="AT41" i="2" s="1"/>
  <c r="AS18" i="2"/>
  <c r="AS40" i="2" s="1"/>
  <c r="AS41" i="2" s="1"/>
  <c r="AR18" i="2"/>
  <c r="AR40" i="2" s="1"/>
  <c r="AR41" i="2" s="1"/>
  <c r="AQ18" i="2"/>
  <c r="AQ40" i="2" s="1"/>
  <c r="AQ41" i="2" s="1"/>
  <c r="AP18" i="2"/>
  <c r="AP40" i="2" s="1"/>
  <c r="AP41" i="2" s="1"/>
  <c r="AO18" i="2"/>
  <c r="AN18" i="2"/>
  <c r="AN40" i="2" s="1"/>
  <c r="AN41" i="2" s="1"/>
  <c r="AM18" i="2"/>
  <c r="AL18" i="2"/>
  <c r="AL40" i="2" s="1"/>
  <c r="AL41" i="2" s="1"/>
  <c r="AK18" i="2"/>
  <c r="AJ18" i="2"/>
  <c r="AJ40" i="2" s="1"/>
  <c r="AJ41" i="2" s="1"/>
  <c r="AI18" i="2"/>
  <c r="AI40" i="2" s="1"/>
  <c r="AI41" i="2" s="1"/>
  <c r="AH18" i="2"/>
  <c r="AH40" i="2" s="1"/>
  <c r="AH41" i="2" s="1"/>
  <c r="AG18" i="2"/>
  <c r="AG40" i="2" s="1"/>
  <c r="AG41" i="2" s="1"/>
  <c r="AF18" i="2"/>
  <c r="AF40" i="2" s="1"/>
  <c r="AF41" i="2" s="1"/>
  <c r="AD18" i="2"/>
  <c r="AD40" i="2" s="1"/>
  <c r="AD41" i="2" s="1"/>
  <c r="AC18" i="2"/>
  <c r="AB18" i="2"/>
  <c r="AB40" i="2" s="1"/>
  <c r="AB41" i="2" s="1"/>
  <c r="AA18" i="2"/>
  <c r="AA40" i="2" s="1"/>
  <c r="AA41" i="2" s="1"/>
  <c r="Z18" i="2"/>
  <c r="Y18" i="2"/>
  <c r="X18" i="2"/>
  <c r="X40" i="2" s="1"/>
  <c r="X41" i="2" s="1"/>
  <c r="W18" i="2"/>
  <c r="W40" i="2" s="1"/>
  <c r="W41" i="2" s="1"/>
  <c r="U18" i="2"/>
  <c r="U40" i="2" s="1"/>
  <c r="U41" i="2" s="1"/>
  <c r="T18" i="2"/>
  <c r="T40" i="2" s="1"/>
  <c r="T41" i="2" s="1"/>
  <c r="S18" i="2"/>
  <c r="S40" i="2" s="1"/>
  <c r="S41" i="2" s="1"/>
  <c r="R18" i="2"/>
  <c r="Q18" i="2"/>
  <c r="P18" i="2"/>
  <c r="P40" i="2" s="1"/>
  <c r="P41" i="2" s="1"/>
  <c r="O18" i="2"/>
  <c r="N18" i="2"/>
  <c r="N40" i="2" s="1"/>
  <c r="N41" i="2" s="1"/>
  <c r="M18" i="2"/>
  <c r="L18" i="2"/>
  <c r="L40" i="2" s="1"/>
  <c r="L41" i="2" s="1"/>
  <c r="K18" i="2"/>
  <c r="J18" i="2"/>
  <c r="J40" i="2" s="1"/>
  <c r="J41" i="2" s="1"/>
  <c r="I18" i="2"/>
  <c r="I40" i="2" s="1"/>
  <c r="I41" i="2" s="1"/>
  <c r="H18" i="2"/>
  <c r="H40" i="2" s="1"/>
  <c r="H41" i="2" s="1"/>
  <c r="G18" i="2"/>
  <c r="G40" i="2" s="1"/>
  <c r="G41" i="2" s="1"/>
  <c r="F18" i="2"/>
  <c r="F40" i="2" s="1"/>
  <c r="F41" i="2" s="1"/>
  <c r="E18" i="2"/>
  <c r="E40" i="2" s="1"/>
  <c r="E41" i="2" s="1"/>
  <c r="D18" i="2"/>
  <c r="D40" i="2" s="1"/>
  <c r="D41" i="2" s="1"/>
  <c r="C18" i="2"/>
  <c r="AW17" i="2"/>
  <c r="AW18" i="2" s="1"/>
  <c r="AW40" i="2" s="1"/>
  <c r="AW41" i="2" s="1"/>
  <c r="AJ17" i="2"/>
  <c r="AE17" i="2"/>
  <c r="AE18" i="2" s="1"/>
  <c r="AE40" i="2" s="1"/>
  <c r="AE41" i="2" s="1"/>
  <c r="Y17" i="2"/>
  <c r="V17" i="2"/>
  <c r="V18" i="2" s="1"/>
  <c r="V40" i="2" s="1"/>
  <c r="V41" i="2" s="1"/>
  <c r="R17" i="2"/>
  <c r="BE15" i="2"/>
  <c r="BE37" i="2" s="1"/>
  <c r="BE38" i="2" s="1"/>
  <c r="BD15" i="2"/>
  <c r="BC15" i="2"/>
  <c r="BB15" i="2"/>
  <c r="BA15" i="2"/>
  <c r="AZ15" i="2"/>
  <c r="AY15" i="2"/>
  <c r="AX15" i="2"/>
  <c r="AW15" i="2"/>
  <c r="AV15" i="2"/>
  <c r="AU15" i="2"/>
  <c r="AS15" i="2"/>
  <c r="AS37" i="2" s="1"/>
  <c r="AS38" i="2" s="1"/>
  <c r="AR15" i="2"/>
  <c r="AP15" i="2"/>
  <c r="AN15" i="2"/>
  <c r="AM15" i="2"/>
  <c r="AL15" i="2"/>
  <c r="AK15" i="2"/>
  <c r="AK37" i="2" s="1"/>
  <c r="AK38" i="2" s="1"/>
  <c r="AJ15" i="2"/>
  <c r="AI15" i="2"/>
  <c r="AH15" i="2"/>
  <c r="AG15" i="2"/>
  <c r="AG37" i="2" s="1"/>
  <c r="AG38" i="2" s="1"/>
  <c r="AF15" i="2"/>
  <c r="AE15" i="2"/>
  <c r="AD15" i="2"/>
  <c r="AC15" i="2"/>
  <c r="AB15" i="2"/>
  <c r="AA15" i="2"/>
  <c r="Z15" i="2"/>
  <c r="Y15" i="2"/>
  <c r="Y37" i="2" s="1"/>
  <c r="Y38" i="2" s="1"/>
  <c r="X15" i="2"/>
  <c r="W15" i="2"/>
  <c r="V15" i="2"/>
  <c r="U15" i="2"/>
  <c r="U37" i="2" s="1"/>
  <c r="U38" i="2" s="1"/>
  <c r="T15" i="2"/>
  <c r="S15" i="2"/>
  <c r="R15" i="2"/>
  <c r="P15" i="2"/>
  <c r="O15" i="2"/>
  <c r="N15" i="2"/>
  <c r="M15" i="2"/>
  <c r="M37" i="2" s="1"/>
  <c r="M38" i="2" s="1"/>
  <c r="L15" i="2"/>
  <c r="K15" i="2"/>
  <c r="J15" i="2"/>
  <c r="I15" i="2"/>
  <c r="I37" i="2" s="1"/>
  <c r="I38" i="2" s="1"/>
  <c r="H15" i="2"/>
  <c r="G15" i="2"/>
  <c r="F15" i="2"/>
  <c r="E15" i="2"/>
  <c r="D15" i="2"/>
  <c r="C15" i="2"/>
  <c r="BE14" i="2"/>
  <c r="BD14" i="2"/>
  <c r="BD37" i="2" s="1"/>
  <c r="BD38" i="2" s="1"/>
  <c r="BC14" i="2"/>
  <c r="BC37" i="2" s="1"/>
  <c r="BC38" i="2" s="1"/>
  <c r="BB14" i="2"/>
  <c r="BB37" i="2" s="1"/>
  <c r="BB38" i="2" s="1"/>
  <c r="BA14" i="2"/>
  <c r="BA37" i="2" s="1"/>
  <c r="BA38" i="2" s="1"/>
  <c r="AZ14" i="2"/>
  <c r="AZ37" i="2" s="1"/>
  <c r="AZ38" i="2" s="1"/>
  <c r="AY14" i="2"/>
  <c r="AY37" i="2" s="1"/>
  <c r="AY38" i="2" s="1"/>
  <c r="AX14" i="2"/>
  <c r="AX37" i="2" s="1"/>
  <c r="AX38" i="2" s="1"/>
  <c r="AS14" i="2"/>
  <c r="AR14" i="2"/>
  <c r="AR37" i="2" s="1"/>
  <c r="AR38" i="2" s="1"/>
  <c r="AQ14" i="2"/>
  <c r="AP14" i="2"/>
  <c r="AP37" i="2" s="1"/>
  <c r="AP38" i="2" s="1"/>
  <c r="AO14" i="2"/>
  <c r="AN14" i="2"/>
  <c r="AN37" i="2" s="1"/>
  <c r="AN38" i="2" s="1"/>
  <c r="AM14" i="2"/>
  <c r="AM37" i="2" s="1"/>
  <c r="AM38" i="2" s="1"/>
  <c r="AL14" i="2"/>
  <c r="AL37" i="2" s="1"/>
  <c r="AL38" i="2" s="1"/>
  <c r="AK14" i="2"/>
  <c r="AI14" i="2"/>
  <c r="AH14" i="2"/>
  <c r="AH37" i="2" s="1"/>
  <c r="AH38" i="2" s="1"/>
  <c r="AG14" i="2"/>
  <c r="AF14" i="2"/>
  <c r="AF37" i="2" s="1"/>
  <c r="AF38" i="2" s="1"/>
  <c r="AE14" i="2"/>
  <c r="AE37" i="2" s="1"/>
  <c r="AE38" i="2" s="1"/>
  <c r="AB14" i="2"/>
  <c r="AB37" i="2" s="1"/>
  <c r="AB38" i="2" s="1"/>
  <c r="AA14" i="2"/>
  <c r="AA37" i="2" s="1"/>
  <c r="AA38" i="2" s="1"/>
  <c r="Y14" i="2"/>
  <c r="X14" i="2"/>
  <c r="X37" i="2" s="1"/>
  <c r="X38" i="2" s="1"/>
  <c r="W14" i="2"/>
  <c r="V14" i="2"/>
  <c r="V37" i="2" s="1"/>
  <c r="V38" i="2" s="1"/>
  <c r="U14" i="2"/>
  <c r="T14" i="2"/>
  <c r="T37" i="2" s="1"/>
  <c r="T38" i="2" s="1"/>
  <c r="S14" i="2"/>
  <c r="S37" i="2" s="1"/>
  <c r="S38" i="2" s="1"/>
  <c r="R14" i="2"/>
  <c r="R37" i="2" s="1"/>
  <c r="R38" i="2" s="1"/>
  <c r="Q14" i="2"/>
  <c r="P14" i="2"/>
  <c r="P37" i="2" s="1"/>
  <c r="P38" i="2" s="1"/>
  <c r="O14" i="2"/>
  <c r="O37" i="2" s="1"/>
  <c r="O38" i="2" s="1"/>
  <c r="N14" i="2"/>
  <c r="N37" i="2" s="1"/>
  <c r="N38" i="2" s="1"/>
  <c r="M14" i="2"/>
  <c r="L14" i="2"/>
  <c r="L37" i="2" s="1"/>
  <c r="L38" i="2" s="1"/>
  <c r="K14" i="2"/>
  <c r="J14" i="2"/>
  <c r="J37" i="2" s="1"/>
  <c r="J38" i="2" s="1"/>
  <c r="I14" i="2"/>
  <c r="H14" i="2"/>
  <c r="H37" i="2" s="1"/>
  <c r="H38" i="2" s="1"/>
  <c r="F14" i="2"/>
  <c r="F37" i="2" s="1"/>
  <c r="F38" i="2" s="1"/>
  <c r="E14" i="2"/>
  <c r="E37" i="2" s="1"/>
  <c r="E38" i="2" s="1"/>
  <c r="D14" i="2"/>
  <c r="D37" i="2" s="1"/>
  <c r="D38" i="2" s="1"/>
  <c r="C14" i="2"/>
  <c r="C37" i="2" s="1"/>
  <c r="C38" i="2" s="1"/>
  <c r="BD13" i="2"/>
  <c r="AW13" i="2"/>
  <c r="AW14" i="2" s="1"/>
  <c r="AW37" i="2" s="1"/>
  <c r="AW38" i="2" s="1"/>
  <c r="AV13" i="2"/>
  <c r="AV14" i="2" s="1"/>
  <c r="AV37" i="2" s="1"/>
  <c r="AV38" i="2" s="1"/>
  <c r="AU13" i="2"/>
  <c r="AU14" i="2" s="1"/>
  <c r="AU37" i="2" s="1"/>
  <c r="AU38" i="2" s="1"/>
  <c r="AT13" i="2"/>
  <c r="AT14" i="2" s="1"/>
  <c r="AL13" i="2"/>
  <c r="AJ13" i="2"/>
  <c r="AJ14" i="2" s="1"/>
  <c r="AJ37" i="2" s="1"/>
  <c r="AJ38" i="2" s="1"/>
  <c r="AI13" i="2"/>
  <c r="AG13" i="2"/>
  <c r="AD13" i="2"/>
  <c r="AD14" i="2" s="1"/>
  <c r="AD37" i="2" s="1"/>
  <c r="AD38" i="2" s="1"/>
  <c r="AC13" i="2"/>
  <c r="AC14" i="2" s="1"/>
  <c r="AC37" i="2" s="1"/>
  <c r="AC38" i="2" s="1"/>
  <c r="Z13" i="2"/>
  <c r="Z14" i="2" s="1"/>
  <c r="Z37" i="2" s="1"/>
  <c r="Z38" i="2" s="1"/>
  <c r="L13" i="2"/>
  <c r="G13" i="2"/>
  <c r="G14" i="2" s="1"/>
  <c r="G37" i="2" s="1"/>
  <c r="G38" i="2" s="1"/>
  <c r="BE11" i="2"/>
  <c r="BD11" i="2"/>
  <c r="BC11" i="2"/>
  <c r="BA11" i="2"/>
  <c r="BA34" i="2" s="1"/>
  <c r="AZ11" i="2"/>
  <c r="AY11" i="2"/>
  <c r="AX11" i="2"/>
  <c r="AW11" i="2"/>
  <c r="AW34" i="2" s="1"/>
  <c r="AV11" i="2"/>
  <c r="AU11" i="2"/>
  <c r="AS11" i="2"/>
  <c r="AQ11" i="2"/>
  <c r="AM11" i="2"/>
  <c r="AL11" i="2"/>
  <c r="AK11" i="2"/>
  <c r="AK34" i="2" s="1"/>
  <c r="AJ11" i="2"/>
  <c r="AI11" i="2"/>
  <c r="AI34" i="2" s="1"/>
  <c r="AH11" i="2"/>
  <c r="AG11" i="2"/>
  <c r="AF11" i="2"/>
  <c r="AE11" i="2"/>
  <c r="AD11" i="2"/>
  <c r="AC11" i="2"/>
  <c r="AC34" i="2" s="1"/>
  <c r="AB11" i="2"/>
  <c r="AA11" i="2"/>
  <c r="Z11" i="2"/>
  <c r="Y11" i="2"/>
  <c r="Y34" i="2" s="1"/>
  <c r="X11" i="2"/>
  <c r="W11" i="2"/>
  <c r="W34" i="2" s="1"/>
  <c r="V11" i="2"/>
  <c r="U11" i="2"/>
  <c r="T11" i="2"/>
  <c r="S11" i="2"/>
  <c r="R11" i="2"/>
  <c r="Q11" i="2"/>
  <c r="Q34" i="2" s="1"/>
  <c r="P11" i="2"/>
  <c r="O11" i="2"/>
  <c r="N11" i="2"/>
  <c r="M11" i="2"/>
  <c r="M34" i="2" s="1"/>
  <c r="L11" i="2"/>
  <c r="K11" i="2"/>
  <c r="K34" i="2" s="1"/>
  <c r="J11" i="2"/>
  <c r="I11" i="2"/>
  <c r="H11" i="2"/>
  <c r="G11" i="2"/>
  <c r="F11" i="2"/>
  <c r="E11" i="2"/>
  <c r="E34" i="2" s="1"/>
  <c r="D11" i="2"/>
  <c r="C11" i="2"/>
  <c r="BD10" i="2"/>
  <c r="BD34" i="2" s="1"/>
  <c r="BC10" i="2"/>
  <c r="BC34" i="2" s="1"/>
  <c r="BB10" i="2"/>
  <c r="BA10" i="2"/>
  <c r="AZ10" i="2"/>
  <c r="AZ34" i="2" s="1"/>
  <c r="AY10" i="2"/>
  <c r="AX10" i="2"/>
  <c r="AX34" i="2" s="1"/>
  <c r="AW10" i="2"/>
  <c r="AS10" i="2"/>
  <c r="AS34" i="2" s="1"/>
  <c r="AR10" i="2"/>
  <c r="AQ10" i="2"/>
  <c r="AQ34" i="2" s="1"/>
  <c r="AO10" i="2"/>
  <c r="AN10" i="2"/>
  <c r="AM10" i="2"/>
  <c r="AL10" i="2"/>
  <c r="AL34" i="2" s="1"/>
  <c r="AK10" i="2"/>
  <c r="AJ10" i="2"/>
  <c r="AJ34" i="2" s="1"/>
  <c r="AI10" i="2"/>
  <c r="AH10" i="2"/>
  <c r="AH34" i="2" s="1"/>
  <c r="AF10" i="2"/>
  <c r="AF34" i="2" s="1"/>
  <c r="AE10" i="2"/>
  <c r="AE34" i="2" s="1"/>
  <c r="AD10" i="2"/>
  <c r="AD34" i="2" s="1"/>
  <c r="AC10" i="2"/>
  <c r="AB10" i="2"/>
  <c r="AB34" i="2" s="1"/>
  <c r="AA10" i="2"/>
  <c r="Z10" i="2"/>
  <c r="Z34" i="2" s="1"/>
  <c r="Y10" i="2"/>
  <c r="X10" i="2"/>
  <c r="X34" i="2" s="1"/>
  <c r="W10" i="2"/>
  <c r="V10" i="2"/>
  <c r="V34" i="2" s="1"/>
  <c r="U10" i="2"/>
  <c r="U34" i="2" s="1"/>
  <c r="T10" i="2"/>
  <c r="T34" i="2" s="1"/>
  <c r="S10" i="2"/>
  <c r="S34" i="2" s="1"/>
  <c r="R10" i="2"/>
  <c r="R34" i="2" s="1"/>
  <c r="Q10" i="2"/>
  <c r="P10" i="2"/>
  <c r="P34" i="2" s="1"/>
  <c r="O10" i="2"/>
  <c r="N10" i="2"/>
  <c r="N34" i="2" s="1"/>
  <c r="M10" i="2"/>
  <c r="L10" i="2"/>
  <c r="L34" i="2" s="1"/>
  <c r="K10" i="2"/>
  <c r="J10" i="2"/>
  <c r="J34" i="2" s="1"/>
  <c r="I10" i="2"/>
  <c r="I34" i="2" s="1"/>
  <c r="H10" i="2"/>
  <c r="H34" i="2" s="1"/>
  <c r="G10" i="2"/>
  <c r="G34" i="2" s="1"/>
  <c r="F10" i="2"/>
  <c r="F34" i="2" s="1"/>
  <c r="E10" i="2"/>
  <c r="D10" i="2"/>
  <c r="D34" i="2" s="1"/>
  <c r="C10" i="2"/>
  <c r="BE9" i="2"/>
  <c r="BE10" i="2" s="1"/>
  <c r="BE34" i="2" s="1"/>
  <c r="BC9" i="2"/>
  <c r="AV9" i="2"/>
  <c r="AV10" i="2" s="1"/>
  <c r="AV34" i="2" s="1"/>
  <c r="AU9" i="2"/>
  <c r="AU10" i="2" s="1"/>
  <c r="AU34" i="2" s="1"/>
  <c r="AT9" i="2"/>
  <c r="AT10" i="2" s="1"/>
  <c r="AQ9" i="2"/>
  <c r="AP9" i="2"/>
  <c r="AP10" i="2" s="1"/>
  <c r="AJ9" i="2"/>
  <c r="AG9" i="2"/>
  <c r="AG10" i="2" s="1"/>
  <c r="AG34" i="2" s="1"/>
  <c r="H9" i="2"/>
  <c r="AP7" i="2"/>
  <c r="AP61" i="2" s="1"/>
  <c r="AO7" i="2"/>
  <c r="AO61" i="2" s="1"/>
  <c r="AN7" i="2"/>
  <c r="AL7" i="2"/>
  <c r="AL61" i="2" s="1"/>
  <c r="AG7" i="2"/>
  <c r="AG61" i="2" s="1"/>
  <c r="AF7" i="2"/>
  <c r="AF61" i="2" s="1"/>
  <c r="AE7" i="2"/>
  <c r="AE60" i="2" s="1"/>
  <c r="I37" i="1" s="1"/>
  <c r="W7" i="2"/>
  <c r="W60" i="2" s="1"/>
  <c r="C7" i="2"/>
  <c r="BC6" i="2"/>
  <c r="BC54" i="2" s="1"/>
  <c r="F60" i="1" s="1"/>
  <c r="BB6" i="2"/>
  <c r="BB54" i="2" s="1"/>
  <c r="F59" i="1" s="1"/>
  <c r="AZ6" i="2"/>
  <c r="AZ55" i="2" s="1"/>
  <c r="G57" i="1" s="1"/>
  <c r="AY6" i="2"/>
  <c r="AY54" i="2" s="1"/>
  <c r="AX6" i="2"/>
  <c r="AX55" i="2" s="1"/>
  <c r="AV6" i="2"/>
  <c r="AV55" i="2" s="1"/>
  <c r="AS6" i="2"/>
  <c r="AS55" i="2" s="1"/>
  <c r="AP6" i="2"/>
  <c r="AP54" i="2" s="1"/>
  <c r="F48" i="1" s="1"/>
  <c r="AO6" i="2"/>
  <c r="AO54" i="2" s="1"/>
  <c r="AN6" i="2"/>
  <c r="AN54" i="2" s="1"/>
  <c r="F46" i="1" s="1"/>
  <c r="AL6" i="2"/>
  <c r="AL55" i="2" s="1"/>
  <c r="G44" i="1" s="1"/>
  <c r="AF6" i="2"/>
  <c r="AE6" i="2"/>
  <c r="AE55" i="2" s="1"/>
  <c r="C6" i="2"/>
  <c r="C54" i="2" s="1"/>
  <c r="N63" i="1"/>
  <c r="M63" i="1"/>
  <c r="J63" i="1"/>
  <c r="I63" i="1"/>
  <c r="H63" i="1"/>
  <c r="G63" i="1"/>
  <c r="F63" i="1"/>
  <c r="N62" i="1"/>
  <c r="M62" i="1"/>
  <c r="J62" i="1"/>
  <c r="I62" i="1"/>
  <c r="H62" i="1"/>
  <c r="N61" i="1"/>
  <c r="M61" i="1"/>
  <c r="J61" i="1"/>
  <c r="I61" i="1"/>
  <c r="H61" i="1"/>
  <c r="G61" i="1"/>
  <c r="F61" i="1"/>
  <c r="D61" i="1"/>
  <c r="N60" i="1"/>
  <c r="M60" i="1"/>
  <c r="J60" i="1"/>
  <c r="I60" i="1"/>
  <c r="H60" i="1"/>
  <c r="N59" i="1"/>
  <c r="M59" i="1"/>
  <c r="J59" i="1"/>
  <c r="I59" i="1"/>
  <c r="H59" i="1"/>
  <c r="N58" i="1"/>
  <c r="M58" i="1"/>
  <c r="L58" i="1"/>
  <c r="J58" i="1"/>
  <c r="I58" i="1"/>
  <c r="H58" i="1"/>
  <c r="G58" i="1"/>
  <c r="F58" i="1"/>
  <c r="D58" i="1"/>
  <c r="N57" i="1"/>
  <c r="M57" i="1"/>
  <c r="L57" i="1"/>
  <c r="K57" i="1"/>
  <c r="J57" i="1"/>
  <c r="I57" i="1"/>
  <c r="H57" i="1"/>
  <c r="N56" i="1"/>
  <c r="M56" i="1"/>
  <c r="L56" i="1"/>
  <c r="J56" i="1"/>
  <c r="I56" i="1"/>
  <c r="H56" i="1"/>
  <c r="F56" i="1"/>
  <c r="N55" i="1"/>
  <c r="M55" i="1"/>
  <c r="L55" i="1"/>
  <c r="K55" i="1"/>
  <c r="J55" i="1"/>
  <c r="I55" i="1"/>
  <c r="H55" i="1"/>
  <c r="G55" i="1"/>
  <c r="N54" i="1"/>
  <c r="M54" i="1"/>
  <c r="K54" i="1"/>
  <c r="J54" i="1"/>
  <c r="I54" i="1"/>
  <c r="H54" i="1"/>
  <c r="G54" i="1"/>
  <c r="F54" i="1"/>
  <c r="N53" i="1"/>
  <c r="M53" i="1"/>
  <c r="L53" i="1"/>
  <c r="K53" i="1"/>
  <c r="J53" i="1"/>
  <c r="I53" i="1"/>
  <c r="H53" i="1"/>
  <c r="G53" i="1"/>
  <c r="F53" i="1"/>
  <c r="D53" i="1"/>
  <c r="N52" i="1"/>
  <c r="M52" i="1"/>
  <c r="L52" i="1"/>
  <c r="J52" i="1"/>
  <c r="I52" i="1"/>
  <c r="H52" i="1"/>
  <c r="G52" i="1"/>
  <c r="F52" i="1"/>
  <c r="D52" i="1"/>
  <c r="N51" i="1"/>
  <c r="M51" i="1"/>
  <c r="L51" i="1"/>
  <c r="J51" i="1"/>
  <c r="I51" i="1"/>
  <c r="H51" i="1"/>
  <c r="G51" i="1"/>
  <c r="N50" i="1"/>
  <c r="M50" i="1"/>
  <c r="J50" i="1"/>
  <c r="I50" i="1"/>
  <c r="H50" i="1"/>
  <c r="N49" i="1"/>
  <c r="M49" i="1"/>
  <c r="J49" i="1"/>
  <c r="I49" i="1"/>
  <c r="H49" i="1"/>
  <c r="N48" i="1"/>
  <c r="M48" i="1"/>
  <c r="J48" i="1"/>
  <c r="H48" i="1"/>
  <c r="G48" i="1"/>
  <c r="D48" i="1"/>
  <c r="N47" i="1"/>
  <c r="M47" i="1"/>
  <c r="L47" i="1"/>
  <c r="J47" i="1"/>
  <c r="H47" i="1"/>
  <c r="F47" i="1"/>
  <c r="N46" i="1"/>
  <c r="M46" i="1"/>
  <c r="L46" i="1"/>
  <c r="K46" i="1"/>
  <c r="H46" i="1"/>
  <c r="N45" i="1"/>
  <c r="M45" i="1"/>
  <c r="L45" i="1"/>
  <c r="J45" i="1"/>
  <c r="I45" i="1"/>
  <c r="H45" i="1"/>
  <c r="G45" i="1"/>
  <c r="F45" i="1"/>
  <c r="N44" i="1"/>
  <c r="M44" i="1"/>
  <c r="L44" i="1"/>
  <c r="K44" i="1"/>
  <c r="J44" i="1"/>
  <c r="I44" i="1"/>
  <c r="H44" i="1"/>
  <c r="N43" i="1"/>
  <c r="M43" i="1"/>
  <c r="K43" i="1"/>
  <c r="J43" i="1"/>
  <c r="I43" i="1"/>
  <c r="H43" i="1"/>
  <c r="G43" i="1"/>
  <c r="F43" i="1"/>
  <c r="N42" i="1"/>
  <c r="M42" i="1"/>
  <c r="L42" i="1"/>
  <c r="K42" i="1"/>
  <c r="J42" i="1"/>
  <c r="I42" i="1"/>
  <c r="H42" i="1"/>
  <c r="G42" i="1"/>
  <c r="F42" i="1"/>
  <c r="D42" i="1"/>
  <c r="N41" i="1"/>
  <c r="M41" i="1"/>
  <c r="L41" i="1"/>
  <c r="J41" i="1"/>
  <c r="I41" i="1"/>
  <c r="H41" i="1"/>
  <c r="G41" i="1"/>
  <c r="F41" i="1"/>
  <c r="D41" i="1"/>
  <c r="N40" i="1"/>
  <c r="M40" i="1"/>
  <c r="K40" i="1"/>
  <c r="J40" i="1"/>
  <c r="I40" i="1"/>
  <c r="H40" i="1"/>
  <c r="G40" i="1"/>
  <c r="F40" i="1"/>
  <c r="D40" i="1"/>
  <c r="N39" i="1"/>
  <c r="M39" i="1"/>
  <c r="K39" i="1"/>
  <c r="J39" i="1"/>
  <c r="H39" i="1"/>
  <c r="N38" i="1"/>
  <c r="M38" i="1"/>
  <c r="J38" i="1"/>
  <c r="H38" i="1"/>
  <c r="N37" i="1"/>
  <c r="M37" i="1"/>
  <c r="J37" i="1"/>
  <c r="H37" i="1"/>
  <c r="G37" i="1"/>
  <c r="F37" i="1"/>
  <c r="N36" i="1"/>
  <c r="M36" i="1"/>
  <c r="J36" i="1"/>
  <c r="I36" i="1"/>
  <c r="H36" i="1"/>
  <c r="G36" i="1"/>
  <c r="F36" i="1"/>
  <c r="D36" i="1"/>
  <c r="N35" i="1"/>
  <c r="M35" i="1"/>
  <c r="J35" i="1"/>
  <c r="I35" i="1"/>
  <c r="H35" i="1"/>
  <c r="G35" i="1"/>
  <c r="F35" i="1"/>
  <c r="D35" i="1"/>
  <c r="N34" i="1"/>
  <c r="M34" i="1"/>
  <c r="L34" i="1"/>
  <c r="K34" i="1"/>
  <c r="J34" i="1"/>
  <c r="I34" i="1"/>
  <c r="H34" i="1"/>
  <c r="G34" i="1"/>
  <c r="F34" i="1"/>
  <c r="D34" i="1"/>
  <c r="N33" i="1"/>
  <c r="M33" i="1"/>
  <c r="J33" i="1"/>
  <c r="I33" i="1"/>
  <c r="H33" i="1"/>
  <c r="G33" i="1"/>
  <c r="F33" i="1"/>
  <c r="N32" i="1"/>
  <c r="M32" i="1"/>
  <c r="L32" i="1"/>
  <c r="K32" i="1"/>
  <c r="J32" i="1"/>
  <c r="I32" i="1"/>
  <c r="H32" i="1"/>
  <c r="G32" i="1"/>
  <c r="F32" i="1"/>
  <c r="D32" i="1"/>
  <c r="N31" i="1"/>
  <c r="M31" i="1"/>
  <c r="K31" i="1"/>
  <c r="J31" i="1"/>
  <c r="I31" i="1"/>
  <c r="H31" i="1"/>
  <c r="G31" i="1"/>
  <c r="F31" i="1"/>
  <c r="N30" i="1"/>
  <c r="M30" i="1"/>
  <c r="L30" i="1"/>
  <c r="K30" i="1"/>
  <c r="J30" i="1"/>
  <c r="I30" i="1"/>
  <c r="H30" i="1"/>
  <c r="G30" i="1"/>
  <c r="F30" i="1"/>
  <c r="D30" i="1"/>
  <c r="N29" i="1"/>
  <c r="M29" i="1"/>
  <c r="L29" i="1"/>
  <c r="I29" i="1"/>
  <c r="H29" i="1"/>
  <c r="N28" i="1"/>
  <c r="M28" i="1"/>
  <c r="K28" i="1"/>
  <c r="J28" i="1"/>
  <c r="I28" i="1"/>
  <c r="H28" i="1"/>
  <c r="G28" i="1"/>
  <c r="F28" i="1"/>
  <c r="D28" i="1"/>
  <c r="N27" i="1"/>
  <c r="M27" i="1"/>
  <c r="J27" i="1"/>
  <c r="I27" i="1"/>
  <c r="H27" i="1"/>
  <c r="G27" i="1"/>
  <c r="F27" i="1"/>
  <c r="N26" i="1"/>
  <c r="M26" i="1"/>
  <c r="K26" i="1"/>
  <c r="J26" i="1"/>
  <c r="I26" i="1"/>
  <c r="H26" i="1"/>
  <c r="G26" i="1"/>
  <c r="F26" i="1"/>
  <c r="D26" i="1"/>
  <c r="N25" i="1"/>
  <c r="M25" i="1"/>
  <c r="J25" i="1"/>
  <c r="I25" i="1"/>
  <c r="H25" i="1"/>
  <c r="G25" i="1"/>
  <c r="F25" i="1"/>
  <c r="D25" i="1"/>
  <c r="N24" i="1"/>
  <c r="M24" i="1"/>
  <c r="J24" i="1"/>
  <c r="I24" i="1"/>
  <c r="H24" i="1"/>
  <c r="N23" i="1"/>
  <c r="M23" i="1"/>
  <c r="L23" i="1"/>
  <c r="J23" i="1"/>
  <c r="I23" i="1"/>
  <c r="H23" i="1"/>
  <c r="G23" i="1"/>
  <c r="F23" i="1"/>
  <c r="D23" i="1"/>
  <c r="N22" i="1"/>
  <c r="M22" i="1"/>
  <c r="L22" i="1"/>
  <c r="K22" i="1"/>
  <c r="J22" i="1"/>
  <c r="I22" i="1"/>
  <c r="H22" i="1"/>
  <c r="G22" i="1"/>
  <c r="F22" i="1"/>
  <c r="D22" i="1"/>
  <c r="N21" i="1"/>
  <c r="M21" i="1"/>
  <c r="L21" i="1"/>
  <c r="J21" i="1"/>
  <c r="I21" i="1"/>
  <c r="H21" i="1"/>
  <c r="G21" i="1"/>
  <c r="F21" i="1"/>
  <c r="N20" i="1"/>
  <c r="M20" i="1"/>
  <c r="L20" i="1"/>
  <c r="K20" i="1"/>
  <c r="J20" i="1"/>
  <c r="I20" i="1"/>
  <c r="H20" i="1"/>
  <c r="G20" i="1"/>
  <c r="F20" i="1"/>
  <c r="D20" i="1"/>
  <c r="N19" i="1"/>
  <c r="M19" i="1"/>
  <c r="K19" i="1"/>
  <c r="J19" i="1"/>
  <c r="I19" i="1"/>
  <c r="H19" i="1"/>
  <c r="G19" i="1"/>
  <c r="F19" i="1"/>
  <c r="N18" i="1"/>
  <c r="M18" i="1"/>
  <c r="L18" i="1"/>
  <c r="K18" i="1"/>
  <c r="J18" i="1"/>
  <c r="I18" i="1"/>
  <c r="H18" i="1"/>
  <c r="G18" i="1"/>
  <c r="F18" i="1"/>
  <c r="D18" i="1"/>
  <c r="N17" i="1"/>
  <c r="M17" i="1"/>
  <c r="L17" i="1"/>
  <c r="J17" i="1"/>
  <c r="I17" i="1"/>
  <c r="H17" i="1"/>
  <c r="G17" i="1"/>
  <c r="F17" i="1"/>
  <c r="N16" i="1"/>
  <c r="M16" i="1"/>
  <c r="J16" i="1"/>
  <c r="I16" i="1"/>
  <c r="H16" i="1"/>
  <c r="G16" i="1"/>
  <c r="F16" i="1"/>
  <c r="D16" i="1"/>
  <c r="N15" i="1"/>
  <c r="M15" i="1"/>
  <c r="L15" i="1"/>
  <c r="J15" i="1"/>
  <c r="I15" i="1"/>
  <c r="H15" i="1"/>
  <c r="G15" i="1"/>
  <c r="F15" i="1"/>
  <c r="N14" i="1"/>
  <c r="M14" i="1"/>
  <c r="J14" i="1"/>
  <c r="I14" i="1"/>
  <c r="H14" i="1"/>
  <c r="G14" i="1"/>
  <c r="F14" i="1"/>
  <c r="D14" i="1"/>
  <c r="N13" i="1"/>
  <c r="M13" i="1"/>
  <c r="J13" i="1"/>
  <c r="I13" i="1"/>
  <c r="H13" i="1"/>
  <c r="G13" i="1"/>
  <c r="F13" i="1"/>
  <c r="D13" i="1"/>
  <c r="N12" i="1"/>
  <c r="M12" i="1"/>
  <c r="J12" i="1"/>
  <c r="I12" i="1"/>
  <c r="H12" i="1"/>
  <c r="G12" i="1"/>
  <c r="F12" i="1"/>
  <c r="D12" i="1"/>
  <c r="N11" i="1"/>
  <c r="M11" i="1"/>
  <c r="L11" i="1"/>
  <c r="J11" i="1"/>
  <c r="I11" i="1"/>
  <c r="H11" i="1"/>
  <c r="G11" i="1"/>
  <c r="F11" i="1"/>
  <c r="D11" i="1"/>
  <c r="N10" i="1"/>
  <c r="M10" i="1"/>
  <c r="L10" i="1"/>
  <c r="K10" i="1"/>
  <c r="J10" i="1"/>
  <c r="I10" i="1"/>
  <c r="H10" i="1"/>
  <c r="G10" i="1"/>
  <c r="F10" i="1"/>
  <c r="D10" i="1"/>
  <c r="N9" i="1"/>
  <c r="M9" i="1"/>
  <c r="L9" i="1"/>
  <c r="H9" i="1"/>
  <c r="F9" i="1"/>
  <c r="J8" i="1"/>
  <c r="I8" i="1"/>
  <c r="AL46" i="2" l="1"/>
  <c r="AL35" i="2"/>
  <c r="BE46" i="2"/>
  <c r="BE35" i="2"/>
  <c r="N46" i="2"/>
  <c r="N35" i="2"/>
  <c r="Z46" i="2"/>
  <c r="Z35" i="2"/>
  <c r="BC46" i="2"/>
  <c r="BC35" i="2"/>
  <c r="M46" i="2"/>
  <c r="M35" i="2"/>
  <c r="Y35" i="2"/>
  <c r="Y46" i="2"/>
  <c r="AK35" i="2"/>
  <c r="AK46" i="2"/>
  <c r="AX46" i="2"/>
  <c r="AX35" i="2"/>
  <c r="AU35" i="2"/>
  <c r="AU46" i="2"/>
  <c r="X35" i="2"/>
  <c r="X46" i="2"/>
  <c r="BA46" i="2"/>
  <c r="BA35" i="2"/>
  <c r="AN34" i="2"/>
  <c r="BD46" i="2"/>
  <c r="BD35" i="2"/>
  <c r="AH35" i="2"/>
  <c r="AH46" i="2"/>
  <c r="V35" i="2"/>
  <c r="V46" i="2"/>
  <c r="L46" i="2"/>
  <c r="L35" i="2"/>
  <c r="AI35" i="2"/>
  <c r="AI46" i="2"/>
  <c r="D46" i="2"/>
  <c r="D35" i="2"/>
  <c r="P46" i="2"/>
  <c r="P35" i="2"/>
  <c r="AB46" i="2"/>
  <c r="AB35" i="2"/>
  <c r="I46" i="2"/>
  <c r="I35" i="2"/>
  <c r="K46" i="2"/>
  <c r="K35" i="2"/>
  <c r="AQ35" i="2"/>
  <c r="J46" i="2"/>
  <c r="J35" i="2"/>
  <c r="AJ35" i="2"/>
  <c r="AJ46" i="2"/>
  <c r="AG35" i="2"/>
  <c r="AG46" i="2"/>
  <c r="F46" i="2"/>
  <c r="F35" i="2"/>
  <c r="R35" i="2"/>
  <c r="AD46" i="2"/>
  <c r="AD35" i="2"/>
  <c r="E46" i="2"/>
  <c r="E35" i="2"/>
  <c r="Q35" i="2"/>
  <c r="AC46" i="2"/>
  <c r="AC35" i="2"/>
  <c r="AQ37" i="2"/>
  <c r="AQ38" i="2" s="1"/>
  <c r="U35" i="2"/>
  <c r="U46" i="2"/>
  <c r="AZ46" i="2"/>
  <c r="AZ35" i="2"/>
  <c r="G46" i="2"/>
  <c r="G35" i="2"/>
  <c r="S35" i="2"/>
  <c r="S46" i="2"/>
  <c r="AE35" i="2"/>
  <c r="AE46" i="2"/>
  <c r="AS35" i="2"/>
  <c r="AS46" i="2"/>
  <c r="AW35" i="2"/>
  <c r="AW46" i="2"/>
  <c r="AN11" i="2"/>
  <c r="AV35" i="2"/>
  <c r="AV46" i="2"/>
  <c r="W35" i="2"/>
  <c r="W46" i="2"/>
  <c r="H46" i="2"/>
  <c r="H35" i="2"/>
  <c r="T35" i="2"/>
  <c r="T46" i="2"/>
  <c r="AF35" i="2"/>
  <c r="AF46" i="2"/>
  <c r="Q37" i="2"/>
  <c r="Q38" i="2" s="1"/>
  <c r="O46" i="2"/>
  <c r="W6" i="2"/>
  <c r="AN60" i="2"/>
  <c r="I46" i="1" s="1"/>
  <c r="AN61" i="2"/>
  <c r="J46" i="1" s="1"/>
  <c r="BB32" i="2"/>
  <c r="D59" i="1" s="1"/>
  <c r="F34" i="3"/>
  <c r="G51" i="2"/>
  <c r="R34" i="3"/>
  <c r="S51" i="2"/>
  <c r="AD34" i="3"/>
  <c r="AE51" i="2"/>
  <c r="AE52" i="2"/>
  <c r="AS52" i="2"/>
  <c r="BB55" i="2"/>
  <c r="G59" i="1" s="1"/>
  <c r="AG58" i="2"/>
  <c r="L39" i="1" s="1"/>
  <c r="T34" i="3"/>
  <c r="AE32" i="2"/>
  <c r="D37" i="1" s="1"/>
  <c r="BC32" i="2"/>
  <c r="D60" i="1" s="1"/>
  <c r="G34" i="3"/>
  <c r="H58" i="2"/>
  <c r="L14" i="1" s="1"/>
  <c r="S34" i="3"/>
  <c r="T58" i="2"/>
  <c r="L26" i="1" s="1"/>
  <c r="AE34" i="3"/>
  <c r="AF58" i="2"/>
  <c r="L38" i="1" s="1"/>
  <c r="AQ34" i="3"/>
  <c r="AR58" i="2"/>
  <c r="L50" i="1" s="1"/>
  <c r="BC34" i="3"/>
  <c r="BD58" i="2"/>
  <c r="L61" i="1" s="1"/>
  <c r="AS51" i="2"/>
  <c r="AF52" i="2"/>
  <c r="AU52" i="2"/>
  <c r="AS54" i="2"/>
  <c r="F51" i="1" s="1"/>
  <c r="C55" i="2"/>
  <c r="G9" i="1" s="1"/>
  <c r="AN55" i="2"/>
  <c r="G46" i="1" s="1"/>
  <c r="BC55" i="2"/>
  <c r="G60" i="1" s="1"/>
  <c r="S57" i="2"/>
  <c r="K25" i="1" s="1"/>
  <c r="AI57" i="2"/>
  <c r="K41" i="1" s="1"/>
  <c r="BC57" i="2"/>
  <c r="K60" i="1" s="1"/>
  <c r="AF54" i="2"/>
  <c r="F38" i="1" s="1"/>
  <c r="AF55" i="2"/>
  <c r="G38" i="1" s="1"/>
  <c r="AF32" i="2"/>
  <c r="D38" i="1" s="1"/>
  <c r="AG52" i="2"/>
  <c r="AW52" i="2"/>
  <c r="AO55" i="2"/>
  <c r="G47" i="1" s="1"/>
  <c r="BD57" i="2"/>
  <c r="K61" i="1" s="1"/>
  <c r="AK58" i="2"/>
  <c r="L43" i="1" s="1"/>
  <c r="V34" i="3"/>
  <c r="AR34" i="3"/>
  <c r="AG6" i="2"/>
  <c r="I32" i="2"/>
  <c r="D15" i="1" s="1"/>
  <c r="U32" i="2"/>
  <c r="D27" i="1" s="1"/>
  <c r="AS32" i="2"/>
  <c r="D51" i="1" s="1"/>
  <c r="BE32" i="2"/>
  <c r="D63" i="1" s="1"/>
  <c r="J58" i="2"/>
  <c r="L16" i="1" s="1"/>
  <c r="J52" i="2"/>
  <c r="V58" i="2"/>
  <c r="L28" i="1" s="1"/>
  <c r="V52" i="2"/>
  <c r="AH58" i="2"/>
  <c r="L40" i="1" s="1"/>
  <c r="AH52" i="2"/>
  <c r="AT58" i="2"/>
  <c r="L62" i="1" s="1"/>
  <c r="AT52" i="2"/>
  <c r="AG51" i="2"/>
  <c r="AU51" i="2"/>
  <c r="T52" i="2"/>
  <c r="AI52" i="2"/>
  <c r="U57" i="2"/>
  <c r="K27" i="1" s="1"/>
  <c r="BE57" i="2"/>
  <c r="K63" i="1" s="1"/>
  <c r="S58" i="2"/>
  <c r="L25" i="1" s="1"/>
  <c r="BC58" i="2"/>
  <c r="L60" i="1" s="1"/>
  <c r="AM9" i="3"/>
  <c r="AP16" i="3"/>
  <c r="AT34" i="3"/>
  <c r="P83" i="3"/>
  <c r="P16" i="3" s="1"/>
  <c r="Q15" i="2" s="1"/>
  <c r="U52" i="2"/>
  <c r="AK52" i="2"/>
  <c r="U58" i="2"/>
  <c r="L27" i="1" s="1"/>
  <c r="BE58" i="2"/>
  <c r="L63" i="1" s="1"/>
  <c r="AO60" i="2"/>
  <c r="I47" i="1" s="1"/>
  <c r="W61" i="2"/>
  <c r="J29" i="1" s="1"/>
  <c r="AQ6" i="3"/>
  <c r="AR11" i="2" s="1"/>
  <c r="AR34" i="2" s="1"/>
  <c r="AS16" i="3"/>
  <c r="X34" i="3"/>
  <c r="K32" i="2"/>
  <c r="D17" i="1" s="1"/>
  <c r="AY46" i="2"/>
  <c r="AI51" i="2"/>
  <c r="AW51" i="2"/>
  <c r="W52" i="2"/>
  <c r="G57" i="2"/>
  <c r="K13" i="1" s="1"/>
  <c r="W57" i="2"/>
  <c r="K29" i="1" s="1"/>
  <c r="AQ57" i="2"/>
  <c r="K49" i="1" s="1"/>
  <c r="AP60" i="2"/>
  <c r="I48" i="1" s="1"/>
  <c r="AN17" i="3"/>
  <c r="H34" i="3"/>
  <c r="AV34" i="3"/>
  <c r="AO7" i="3"/>
  <c r="C60" i="2"/>
  <c r="I9" i="1" s="1"/>
  <c r="C61" i="2"/>
  <c r="J9" i="1" s="1"/>
  <c r="I52" i="2"/>
  <c r="Y52" i="2"/>
  <c r="AX54" i="2"/>
  <c r="F55" i="1" s="1"/>
  <c r="H57" i="2"/>
  <c r="K14" i="1" s="1"/>
  <c r="AR57" i="2"/>
  <c r="K50" i="1" s="1"/>
  <c r="Y58" i="2"/>
  <c r="L31" i="1" s="1"/>
  <c r="AP17" i="3"/>
  <c r="I34" i="3"/>
  <c r="AP15" i="3"/>
  <c r="AP33" i="3"/>
  <c r="AP34" i="3" s="1"/>
  <c r="AP14" i="3"/>
  <c r="M32" i="2"/>
  <c r="D19" i="1" s="1"/>
  <c r="Y32" i="2"/>
  <c r="D31" i="1" s="1"/>
  <c r="AK32" i="2"/>
  <c r="D43" i="1" s="1"/>
  <c r="AW32" i="2"/>
  <c r="D54" i="1" s="1"/>
  <c r="AM46" i="2"/>
  <c r="I51" i="2"/>
  <c r="W51" i="2"/>
  <c r="AK51" i="2"/>
  <c r="K52" i="2"/>
  <c r="AZ54" i="2"/>
  <c r="F57" i="1" s="1"/>
  <c r="I57" i="2"/>
  <c r="K15" i="1" s="1"/>
  <c r="AS57" i="2"/>
  <c r="K51" i="1" s="1"/>
  <c r="G58" i="2"/>
  <c r="L13" i="1" s="1"/>
  <c r="AQ58" i="2"/>
  <c r="L49" i="1" s="1"/>
  <c r="AS17" i="3"/>
  <c r="J34" i="3"/>
  <c r="AF34" i="3"/>
  <c r="AQ6" i="2"/>
  <c r="AL32" i="2"/>
  <c r="D44" i="1" s="1"/>
  <c r="AX32" i="2"/>
  <c r="D55" i="1" s="1"/>
  <c r="B23" i="3"/>
  <c r="C57" i="2"/>
  <c r="K9" i="1" s="1"/>
  <c r="B34" i="3"/>
  <c r="B20" i="3"/>
  <c r="O57" i="2"/>
  <c r="K21" i="1" s="1"/>
  <c r="N34" i="3"/>
  <c r="AA57" i="2"/>
  <c r="K33" i="1" s="1"/>
  <c r="Z34" i="3"/>
  <c r="AM57" i="2"/>
  <c r="K45" i="1" s="1"/>
  <c r="AL34" i="3"/>
  <c r="AY57" i="2"/>
  <c r="K56" i="1" s="1"/>
  <c r="AX34" i="3"/>
  <c r="J51" i="2"/>
  <c r="M52" i="2"/>
  <c r="AA52" i="2"/>
  <c r="BC52" i="2"/>
  <c r="AL54" i="2"/>
  <c r="F44" i="1" s="1"/>
  <c r="J57" i="2"/>
  <c r="K16" i="1" s="1"/>
  <c r="AT57" i="2"/>
  <c r="K62" i="1" s="1"/>
  <c r="AA58" i="2"/>
  <c r="L33" i="1" s="1"/>
  <c r="AF60" i="2"/>
  <c r="I38" i="1" s="1"/>
  <c r="AN7" i="3"/>
  <c r="B21" i="3"/>
  <c r="AG34" i="3"/>
  <c r="BB34" i="3"/>
  <c r="AR6" i="2"/>
  <c r="C32" i="2"/>
  <c r="D9" i="1" s="1"/>
  <c r="O32" i="2"/>
  <c r="D21" i="1" s="1"/>
  <c r="AA32" i="2"/>
  <c r="D33" i="1" s="1"/>
  <c r="AM32" i="2"/>
  <c r="D45" i="1" s="1"/>
  <c r="AY32" i="2"/>
  <c r="D56" i="1" s="1"/>
  <c r="AA46" i="2"/>
  <c r="K51" i="2"/>
  <c r="Y51" i="2"/>
  <c r="AM51" i="2"/>
  <c r="AB52" i="2"/>
  <c r="BD52" i="2"/>
  <c r="AY55" i="2"/>
  <c r="G56" i="1" s="1"/>
  <c r="K57" i="2"/>
  <c r="K17" i="1" s="1"/>
  <c r="AE57" i="2"/>
  <c r="K37" i="1" s="1"/>
  <c r="AU57" i="2"/>
  <c r="K52" i="1" s="1"/>
  <c r="AG60" i="2"/>
  <c r="I39" i="1" s="1"/>
  <c r="AN13" i="3"/>
  <c r="AO15" i="2" s="1"/>
  <c r="AO37" i="2" s="1"/>
  <c r="AO38" i="2" s="1"/>
  <c r="B22" i="3"/>
  <c r="L34" i="3"/>
  <c r="AH34" i="3"/>
  <c r="AS14" i="3"/>
  <c r="AS9" i="3"/>
  <c r="AT11" i="2" s="1"/>
  <c r="AT34" i="2" s="1"/>
  <c r="AN32" i="2"/>
  <c r="D46" i="1" s="1"/>
  <c r="AZ32" i="2"/>
  <c r="D57" i="1" s="1"/>
  <c r="E57" i="2"/>
  <c r="K11" i="1" s="1"/>
  <c r="E51" i="2"/>
  <c r="Q57" i="2"/>
  <c r="K23" i="1" s="1"/>
  <c r="P34" i="3"/>
  <c r="Q51" i="2"/>
  <c r="AC57" i="2"/>
  <c r="K35" i="1" s="1"/>
  <c r="AB34" i="3"/>
  <c r="AC51" i="2"/>
  <c r="AN8" i="3"/>
  <c r="AO57" i="2"/>
  <c r="K47" i="1" s="1"/>
  <c r="AN34" i="3"/>
  <c r="AO58" i="3"/>
  <c r="AO61" i="3" s="1"/>
  <c r="AO51" i="2"/>
  <c r="BA57" i="2"/>
  <c r="K58" i="1" s="1"/>
  <c r="BA51" i="2"/>
  <c r="BD51" i="2"/>
  <c r="O52" i="2"/>
  <c r="AC52" i="2"/>
  <c r="AQ52" i="2"/>
  <c r="BE52" i="2"/>
  <c r="AF57" i="2"/>
  <c r="K38" i="1" s="1"/>
  <c r="M58" i="2"/>
  <c r="L19" i="1" s="1"/>
  <c r="AC58" i="2"/>
  <c r="L35" i="1" s="1"/>
  <c r="AW58" i="2"/>
  <c r="L54" i="1" s="1"/>
  <c r="AP13" i="3"/>
  <c r="AQ15" i="2" s="1"/>
  <c r="AT6" i="2"/>
  <c r="AO32" i="2"/>
  <c r="D47" i="1" s="1"/>
  <c r="O35" i="2"/>
  <c r="F57" i="2"/>
  <c r="K12" i="1" s="1"/>
  <c r="F58" i="2"/>
  <c r="L12" i="1" s="1"/>
  <c r="R57" i="2"/>
  <c r="K24" i="1" s="1"/>
  <c r="R58" i="2"/>
  <c r="L24" i="1" s="1"/>
  <c r="AD57" i="2"/>
  <c r="K36" i="1" s="1"/>
  <c r="AD58" i="2"/>
  <c r="L36" i="1" s="1"/>
  <c r="AO8" i="3"/>
  <c r="AO6" i="3"/>
  <c r="AP57" i="2"/>
  <c r="K48" i="1" s="1"/>
  <c r="AO10" i="3"/>
  <c r="AP58" i="2"/>
  <c r="L48" i="1" s="1"/>
  <c r="BA10" i="3"/>
  <c r="BB57" i="2"/>
  <c r="K59" i="1" s="1"/>
  <c r="BA34" i="3"/>
  <c r="BA7" i="3"/>
  <c r="BB58" i="2"/>
  <c r="L59" i="1" s="1"/>
  <c r="M51" i="2"/>
  <c r="AA51" i="2"/>
  <c r="AP51" i="2"/>
  <c r="AD52" i="2"/>
  <c r="AR52" i="2"/>
  <c r="AE58" i="2"/>
  <c r="L37" i="1" s="1"/>
  <c r="AS13" i="3"/>
  <c r="B24" i="3"/>
  <c r="Q34" i="3"/>
  <c r="AJ34" i="3"/>
  <c r="AT35" i="2" l="1"/>
  <c r="AR46" i="2"/>
  <c r="AR35" i="2"/>
  <c r="W63" i="2"/>
  <c r="W47" i="2"/>
  <c r="Y63" i="2"/>
  <c r="Y47" i="2"/>
  <c r="AG47" i="2"/>
  <c r="AG63" i="2"/>
  <c r="W55" i="2"/>
  <c r="G29" i="1" s="1"/>
  <c r="W54" i="2"/>
  <c r="F29" i="1" s="1"/>
  <c r="W32" i="2"/>
  <c r="D29" i="1" s="1"/>
  <c r="AZ63" i="2"/>
  <c r="AZ47" i="2"/>
  <c r="Q46" i="2"/>
  <c r="AQ46" i="2"/>
  <c r="AI63" i="2"/>
  <c r="AI47" i="2"/>
  <c r="AU63" i="2"/>
  <c r="AU47" i="2"/>
  <c r="M63" i="2"/>
  <c r="M47" i="2"/>
  <c r="AV63" i="2"/>
  <c r="AV47" i="2"/>
  <c r="O47" i="2"/>
  <c r="O63" i="2"/>
  <c r="T63" i="2"/>
  <c r="T47" i="2"/>
  <c r="AS47" i="2"/>
  <c r="AS63" i="2"/>
  <c r="AB47" i="2"/>
  <c r="AB63" i="2"/>
  <c r="U47" i="2"/>
  <c r="U63" i="2"/>
  <c r="F63" i="2"/>
  <c r="F47" i="2"/>
  <c r="AW63" i="2"/>
  <c r="AW47" i="2"/>
  <c r="BC47" i="2"/>
  <c r="BC63" i="2"/>
  <c r="V63" i="2"/>
  <c r="V47" i="2"/>
  <c r="I47" i="2"/>
  <c r="I63" i="2"/>
  <c r="AT55" i="2"/>
  <c r="G62" i="1" s="1"/>
  <c r="AT32" i="2"/>
  <c r="D62" i="1" s="1"/>
  <c r="AT54" i="2"/>
  <c r="F62" i="1" s="1"/>
  <c r="C19" i="2"/>
  <c r="C40" i="2" s="1"/>
  <c r="AF63" i="2"/>
  <c r="AF47" i="2"/>
  <c r="AC47" i="2"/>
  <c r="AC63" i="2"/>
  <c r="AL63" i="2"/>
  <c r="AL47" i="2"/>
  <c r="AE47" i="2"/>
  <c r="AE63" i="2"/>
  <c r="E63" i="2"/>
  <c r="E47" i="2"/>
  <c r="K63" i="2"/>
  <c r="K47" i="2"/>
  <c r="P47" i="2"/>
  <c r="P63" i="2"/>
  <c r="L47" i="2"/>
  <c r="L63" i="2"/>
  <c r="AK63" i="2"/>
  <c r="AK47" i="2"/>
  <c r="G47" i="2"/>
  <c r="G63" i="2"/>
  <c r="BE47" i="2"/>
  <c r="BE63" i="2"/>
  <c r="AP11" i="2"/>
  <c r="AP34" i="2" s="1"/>
  <c r="AY63" i="2"/>
  <c r="AY47" i="2"/>
  <c r="J63" i="2"/>
  <c r="J47" i="2"/>
  <c r="AH63" i="2"/>
  <c r="AH47" i="2"/>
  <c r="BB11" i="2"/>
  <c r="BB34" i="2" s="1"/>
  <c r="AO11" i="2"/>
  <c r="AO34" i="2" s="1"/>
  <c r="AQ55" i="2"/>
  <c r="G49" i="1" s="1"/>
  <c r="AQ32" i="2"/>
  <c r="D49" i="1" s="1"/>
  <c r="AQ54" i="2"/>
  <c r="F49" i="1" s="1"/>
  <c r="H63" i="2"/>
  <c r="H47" i="2"/>
  <c r="Z63" i="2"/>
  <c r="Z47" i="2"/>
  <c r="AT15" i="2"/>
  <c r="AT37" i="2" s="1"/>
  <c r="AT38" i="2" s="1"/>
  <c r="BD63" i="2"/>
  <c r="BD47" i="2"/>
  <c r="AN46" i="2"/>
  <c r="AN35" i="2"/>
  <c r="AM63" i="2"/>
  <c r="AM47" i="2"/>
  <c r="S47" i="2"/>
  <c r="S63" i="2"/>
  <c r="AJ63" i="2"/>
  <c r="AJ47" i="2"/>
  <c r="D63" i="2"/>
  <c r="D47" i="2"/>
  <c r="BA63" i="2"/>
  <c r="BA47" i="2"/>
  <c r="AX63" i="2"/>
  <c r="AX47" i="2"/>
  <c r="X47" i="2"/>
  <c r="X63" i="2"/>
  <c r="AG55" i="2"/>
  <c r="G39" i="1" s="1"/>
  <c r="AG54" i="2"/>
  <c r="F39" i="1" s="1"/>
  <c r="AG32" i="2"/>
  <c r="D39" i="1" s="1"/>
  <c r="AR54" i="2"/>
  <c r="F50" i="1" s="1"/>
  <c r="AR55" i="2"/>
  <c r="G50" i="1" s="1"/>
  <c r="AR32" i="2"/>
  <c r="D50" i="1" s="1"/>
  <c r="AA47" i="2"/>
  <c r="AA63" i="2"/>
  <c r="AD47" i="2"/>
  <c r="AD63" i="2"/>
  <c r="N63" i="2"/>
  <c r="N47" i="2"/>
  <c r="AE68" i="2" l="1"/>
  <c r="E37" i="1"/>
  <c r="T68" i="2"/>
  <c r="E26" i="1"/>
  <c r="AY68" i="2"/>
  <c r="E56" i="1"/>
  <c r="AA68" i="2"/>
  <c r="E33" i="1"/>
  <c r="U68" i="2"/>
  <c r="E27" i="1"/>
  <c r="AI68" i="2"/>
  <c r="E41" i="1"/>
  <c r="AL68" i="2"/>
  <c r="E44" i="1"/>
  <c r="O68" i="2"/>
  <c r="E21" i="1"/>
  <c r="AG68" i="2"/>
  <c r="E39" i="1"/>
  <c r="AT46" i="2"/>
  <c r="AS68" i="2"/>
  <c r="E51" i="1"/>
  <c r="S68" i="2"/>
  <c r="E25" i="1"/>
  <c r="L68" i="2"/>
  <c r="E18" i="1"/>
  <c r="V68" i="2"/>
  <c r="E28" i="1"/>
  <c r="AD68" i="2"/>
  <c r="E36" i="1"/>
  <c r="AU68" i="2"/>
  <c r="E52" i="1"/>
  <c r="AV68" i="2"/>
  <c r="E53" i="1"/>
  <c r="AQ47" i="2"/>
  <c r="AQ63" i="2"/>
  <c r="AM68" i="2"/>
  <c r="E45" i="1"/>
  <c r="H68" i="2"/>
  <c r="E14" i="1"/>
  <c r="AR63" i="2"/>
  <c r="AR47" i="2"/>
  <c r="AN63" i="2"/>
  <c r="AN47" i="2"/>
  <c r="P68" i="2"/>
  <c r="E22" i="1"/>
  <c r="AC68" i="2"/>
  <c r="E35" i="1"/>
  <c r="Y68" i="2"/>
  <c r="E31" i="1"/>
  <c r="X68" i="2"/>
  <c r="E30" i="1"/>
  <c r="BD68" i="2"/>
  <c r="E61" i="1"/>
  <c r="AO46" i="2"/>
  <c r="AO35" i="2"/>
  <c r="BE68" i="2"/>
  <c r="E63" i="1"/>
  <c r="K68" i="2"/>
  <c r="E17" i="1"/>
  <c r="AF68" i="2"/>
  <c r="E38" i="1"/>
  <c r="BC68" i="2"/>
  <c r="E60" i="1"/>
  <c r="F68" i="2"/>
  <c r="E12" i="1"/>
  <c r="Q47" i="2"/>
  <c r="Q63" i="2"/>
  <c r="R19" i="2"/>
  <c r="R40" i="2" s="1"/>
  <c r="J68" i="2"/>
  <c r="E16" i="1"/>
  <c r="W68" i="2"/>
  <c r="E29" i="1"/>
  <c r="D68" i="2"/>
  <c r="E10" i="1"/>
  <c r="N68" i="2"/>
  <c r="E20" i="1"/>
  <c r="BB46" i="2"/>
  <c r="BB35" i="2"/>
  <c r="AB68" i="2"/>
  <c r="E34" i="1"/>
  <c r="AZ68" i="2"/>
  <c r="E57" i="1"/>
  <c r="I68" i="2"/>
  <c r="E15" i="1"/>
  <c r="AP46" i="2"/>
  <c r="AP35" i="2"/>
  <c r="BA68" i="2"/>
  <c r="E58" i="1"/>
  <c r="Z68" i="2"/>
  <c r="E32" i="1"/>
  <c r="AH68" i="2"/>
  <c r="E40" i="1"/>
  <c r="G68" i="2"/>
  <c r="E13" i="1"/>
  <c r="E68" i="2"/>
  <c r="E11" i="1"/>
  <c r="C41" i="2"/>
  <c r="C46" i="2"/>
  <c r="M68" i="2"/>
  <c r="E19" i="1"/>
  <c r="AW68" i="2"/>
  <c r="E54" i="1"/>
  <c r="AX68" i="2"/>
  <c r="E55" i="1"/>
  <c r="AJ68" i="2"/>
  <c r="E42" i="1"/>
  <c r="AK68" i="2"/>
  <c r="E43" i="1"/>
  <c r="R41" i="2" l="1"/>
  <c r="R46" i="2"/>
  <c r="BE67" i="2"/>
  <c r="BE66" i="2"/>
  <c r="BE65" i="2"/>
  <c r="P66" i="2"/>
  <c r="P67" i="2"/>
  <c r="P65" i="2"/>
  <c r="AV67" i="2"/>
  <c r="AV66" i="2"/>
  <c r="AV65" i="2"/>
  <c r="AW67" i="2"/>
  <c r="AW66" i="2"/>
  <c r="AW65" i="2"/>
  <c r="AN68" i="2"/>
  <c r="E46" i="1"/>
  <c r="AS66" i="2"/>
  <c r="AS67" i="2"/>
  <c r="AS65" i="2"/>
  <c r="U67" i="2"/>
  <c r="U66" i="2"/>
  <c r="U65" i="2"/>
  <c r="AQ68" i="2"/>
  <c r="E49" i="1"/>
  <c r="AX67" i="2"/>
  <c r="AX66" i="2"/>
  <c r="AX65" i="2"/>
  <c r="AB66" i="2"/>
  <c r="AB67" i="2"/>
  <c r="AB65" i="2"/>
  <c r="AI66" i="2"/>
  <c r="AI67" i="2"/>
  <c r="AI65" i="2"/>
  <c r="AU66" i="2"/>
  <c r="AU67" i="2"/>
  <c r="AU65" i="2"/>
  <c r="AT47" i="2"/>
  <c r="AT63" i="2"/>
  <c r="AA66" i="2"/>
  <c r="AA65" i="2"/>
  <c r="AA67" i="2"/>
  <c r="J67" i="2"/>
  <c r="J66" i="2"/>
  <c r="J65" i="2"/>
  <c r="R55" i="2"/>
  <c r="G24" i="1" s="1"/>
  <c r="R54" i="2"/>
  <c r="F24" i="1" s="1"/>
  <c r="R32" i="2"/>
  <c r="D24" i="1" s="1"/>
  <c r="S66" i="2"/>
  <c r="S67" i="2"/>
  <c r="S65" i="2"/>
  <c r="AD67" i="2"/>
  <c r="AD66" i="2"/>
  <c r="AD65" i="2"/>
  <c r="AG67" i="2"/>
  <c r="AG66" i="2"/>
  <c r="AG65" i="2"/>
  <c r="AC66" i="2"/>
  <c r="AC67" i="2"/>
  <c r="AC65" i="2"/>
  <c r="AH66" i="2"/>
  <c r="AH67" i="2"/>
  <c r="AH65" i="2"/>
  <c r="C63" i="2"/>
  <c r="C47" i="2"/>
  <c r="AY66" i="2"/>
  <c r="AY67" i="2"/>
  <c r="AY65" i="2"/>
  <c r="Q68" i="2"/>
  <c r="E23" i="1"/>
  <c r="BA67" i="2"/>
  <c r="BA66" i="2"/>
  <c r="BA65" i="2"/>
  <c r="BD66" i="2"/>
  <c r="BD67" i="2"/>
  <c r="BD65" i="2"/>
  <c r="AK67" i="2"/>
  <c r="AK66" i="2"/>
  <c r="AK65" i="2"/>
  <c r="BC66" i="2"/>
  <c r="BC67" i="2"/>
  <c r="BC65" i="2"/>
  <c r="X66" i="2"/>
  <c r="X67" i="2"/>
  <c r="X65" i="2"/>
  <c r="H66" i="2"/>
  <c r="H67" i="2"/>
  <c r="H65" i="2"/>
  <c r="O67" i="2"/>
  <c r="O66" i="2"/>
  <c r="O65" i="2"/>
  <c r="V67" i="2"/>
  <c r="V66" i="2"/>
  <c r="V65" i="2"/>
  <c r="T66" i="2"/>
  <c r="T67" i="2"/>
  <c r="T65" i="2"/>
  <c r="Z67" i="2"/>
  <c r="Z66" i="2"/>
  <c r="Z65" i="2"/>
  <c r="BB63" i="2"/>
  <c r="BB47" i="2"/>
  <c r="AO63" i="2"/>
  <c r="AO47" i="2"/>
  <c r="M66" i="2"/>
  <c r="M67" i="2"/>
  <c r="M65" i="2"/>
  <c r="N67" i="2"/>
  <c r="N66" i="2"/>
  <c r="N65" i="2"/>
  <c r="D66" i="2"/>
  <c r="D67" i="2"/>
  <c r="D65" i="2"/>
  <c r="AM66" i="2"/>
  <c r="AM67" i="2"/>
  <c r="AM65" i="2"/>
  <c r="K67" i="2"/>
  <c r="K66" i="2"/>
  <c r="K65" i="2"/>
  <c r="AR68" i="2"/>
  <c r="E50" i="1"/>
  <c r="F66" i="2"/>
  <c r="F67" i="2"/>
  <c r="F65" i="2"/>
  <c r="AP63" i="2"/>
  <c r="AP47" i="2"/>
  <c r="E67" i="2"/>
  <c r="E66" i="2"/>
  <c r="E65" i="2"/>
  <c r="I67" i="2"/>
  <c r="I66" i="2"/>
  <c r="I65" i="2"/>
  <c r="AJ67" i="2"/>
  <c r="AJ66" i="2"/>
  <c r="AJ65" i="2"/>
  <c r="W67" i="2"/>
  <c r="W66" i="2"/>
  <c r="W65" i="2"/>
  <c r="AF67" i="2"/>
  <c r="AF66" i="2"/>
  <c r="AF65" i="2"/>
  <c r="Y66" i="2"/>
  <c r="Y67" i="2"/>
  <c r="Y65" i="2"/>
  <c r="AL66" i="2"/>
  <c r="AL67" i="2"/>
  <c r="AL65" i="2"/>
  <c r="G66" i="2"/>
  <c r="G67" i="2"/>
  <c r="G65" i="2"/>
  <c r="AZ66" i="2"/>
  <c r="AZ67" i="2"/>
  <c r="AZ65" i="2"/>
  <c r="L66" i="2"/>
  <c r="L67" i="2"/>
  <c r="L65" i="2"/>
  <c r="AE67" i="2"/>
  <c r="AE66" i="2"/>
  <c r="AE65" i="2"/>
  <c r="Q67" i="2" l="1"/>
  <c r="Q65" i="2"/>
  <c r="Q66" i="2"/>
  <c r="E59" i="1"/>
  <c r="BB68" i="2"/>
  <c r="AO68" i="2"/>
  <c r="E47" i="1"/>
  <c r="AP68" i="2"/>
  <c r="E48" i="1"/>
  <c r="AN66" i="2"/>
  <c r="AN67" i="2"/>
  <c r="AN65" i="2"/>
  <c r="C68" i="2"/>
  <c r="E9" i="1"/>
  <c r="AQ67" i="2"/>
  <c r="AQ66" i="2"/>
  <c r="AQ65" i="2"/>
  <c r="AT68" i="2"/>
  <c r="E62" i="1"/>
  <c r="R63" i="2"/>
  <c r="R47" i="2"/>
  <c r="AR66" i="2"/>
  <c r="AR67" i="2"/>
  <c r="AR65" i="2"/>
  <c r="AP66" i="2" l="1"/>
  <c r="AP67" i="2"/>
  <c r="AP65" i="2"/>
  <c r="AT67" i="2"/>
  <c r="AT66" i="2"/>
  <c r="AT65" i="2"/>
  <c r="AO67" i="2"/>
  <c r="AO66" i="2"/>
  <c r="AO65" i="2"/>
  <c r="BB67" i="2"/>
  <c r="BB66" i="2"/>
  <c r="BB65" i="2"/>
  <c r="R68" i="2"/>
  <c r="E24" i="1"/>
  <c r="C65" i="2"/>
  <c r="C67" i="2"/>
  <c r="C66" i="2"/>
  <c r="R66" i="2" l="1"/>
  <c r="R67" i="2"/>
  <c r="R65" i="2"/>
</calcChain>
</file>

<file path=xl/sharedStrings.xml><?xml version="1.0" encoding="utf-8"?>
<sst xmlns="http://schemas.openxmlformats.org/spreadsheetml/2006/main" count="1817" uniqueCount="398">
  <si>
    <t>LIQUID AND GRIT'S ECONOMY SPREADSHEET</t>
  </si>
  <si>
    <t>Data collection</t>
  </si>
  <si>
    <t>This spreadsheet includes the economy analysis for many of the top apps</t>
  </si>
  <si>
    <t>The data below is the data used to determine the output of each feature. Notes included</t>
  </si>
  <si>
    <t>Input numbers that come from the data tab</t>
  </si>
  <si>
    <t>Feature</t>
  </si>
  <si>
    <t>Huuuge Casino</t>
  </si>
  <si>
    <t>DoubleDown</t>
  </si>
  <si>
    <t>Big Fish Casino</t>
  </si>
  <si>
    <t>GSN Casino</t>
  </si>
  <si>
    <t>Heart of Vegas</t>
  </si>
  <si>
    <t>House of Fun</t>
  </si>
  <si>
    <t>Jackpot Party</t>
  </si>
  <si>
    <t>DoubleU Casino</t>
  </si>
  <si>
    <t>Wizard of Oz</t>
  </si>
  <si>
    <t>Hit It Rich</t>
  </si>
  <si>
    <t>Slotomania HD</t>
  </si>
  <si>
    <t>Gold Fish HD</t>
  </si>
  <si>
    <t>Quick Hit Slots</t>
  </si>
  <si>
    <t>Caesars Slots</t>
  </si>
  <si>
    <t>Wonka Slots</t>
  </si>
  <si>
    <t>my KONAMI</t>
  </si>
  <si>
    <t>Black Diamond Slots</t>
  </si>
  <si>
    <t>Ellen’s Road to Riches</t>
  </si>
  <si>
    <t>Jackpot Magic Slots</t>
  </si>
  <si>
    <t>myVEGAS</t>
  </si>
  <si>
    <t>Scatter Slots</t>
  </si>
  <si>
    <t>Viva Slots Las Vegas</t>
  </si>
  <si>
    <t>Infinity Slots</t>
  </si>
  <si>
    <t>POP! Slots</t>
  </si>
  <si>
    <t>High 5 Casino</t>
  </si>
  <si>
    <t>Hot Shot Casino</t>
  </si>
  <si>
    <t>Jackpotjoy Slots</t>
  </si>
  <si>
    <t>Pharaoh's Way</t>
  </si>
  <si>
    <t>Slot Bonanza HD</t>
  </si>
  <si>
    <t>Slots Era</t>
  </si>
  <si>
    <t>Xtreme Slots</t>
  </si>
  <si>
    <t>Old Vegas</t>
  </si>
  <si>
    <t>88 Fortune Slots</t>
  </si>
  <si>
    <t>Cashman Casino</t>
  </si>
  <si>
    <t>Royal House Slots</t>
  </si>
  <si>
    <t>Royal Charm Slots</t>
  </si>
  <si>
    <t>Spin to Win Slots</t>
  </si>
  <si>
    <t>Bingo Bash</t>
  </si>
  <si>
    <t>Bingo Blitz</t>
  </si>
  <si>
    <t>Bingo Party</t>
  </si>
  <si>
    <t>Monopoly Bingo</t>
  </si>
  <si>
    <t>Bingo Showdown</t>
  </si>
  <si>
    <t>Bingo Pop</t>
  </si>
  <si>
    <t>Bingo Drive</t>
  </si>
  <si>
    <t>WSOP</t>
  </si>
  <si>
    <t>Zynga - Texas Holdem</t>
  </si>
  <si>
    <t>Poker Heat</t>
  </si>
  <si>
    <t>Scatter HoldEm Poker</t>
  </si>
  <si>
    <t>Fresh Deck</t>
  </si>
  <si>
    <t>Pokerist</t>
  </si>
  <si>
    <t>Texas Holdem</t>
  </si>
  <si>
    <t>Slots on Tour</t>
  </si>
  <si>
    <t>Reel Valley</t>
  </si>
  <si>
    <t>Monopoly Slots</t>
  </si>
  <si>
    <t>Lightning Link Casino</t>
  </si>
  <si>
    <t>Category</t>
  </si>
  <si>
    <t>Number</t>
  </si>
  <si>
    <t>Notes</t>
  </si>
  <si>
    <t>Primary bonus amount</t>
  </si>
  <si>
    <t>Hours players can play and collect per day</t>
  </si>
  <si>
    <t>Starting Balance (Explained)</t>
  </si>
  <si>
    <t>10000000 Coins, 1 Bronze Ticket</t>
  </si>
  <si>
    <t>Adjust this number based on the engagement of the player group</t>
  </si>
  <si>
    <t>1000000 Chips</t>
  </si>
  <si>
    <t>Daily Spin</t>
  </si>
  <si>
    <t>100000 Chips</t>
  </si>
  <si>
    <t>12500 Coins</t>
  </si>
  <si>
    <t>2000000 Coins</t>
  </si>
  <si>
    <t>1000 Coins</t>
  </si>
  <si>
    <t>6000000 Coins</t>
  </si>
  <si>
    <t>1000000 Coins</t>
  </si>
  <si>
    <t>4500000 Coins</t>
  </si>
  <si>
    <t>1520000 Coins</t>
  </si>
  <si>
    <t>10000 Coins</t>
  </si>
  <si>
    <t>1250000 Coins</t>
  </si>
  <si>
    <t>40000 Coins</t>
  </si>
  <si>
    <t>1800000 Coins</t>
  </si>
  <si>
    <t>100000 Chips, 6 Tickets</t>
  </si>
  <si>
    <t>5000000 Coins</t>
  </si>
  <si>
    <t>50000 Chips, 100 Loyalty Points</t>
  </si>
  <si>
    <t>12,000,000 Coins, 50 Gems</t>
  </si>
  <si>
    <t>2000 Coins</t>
  </si>
  <si>
    <t>3000000 Coins</t>
  </si>
  <si>
    <t>30000 Chips, 100 Loyalty Points</t>
  </si>
  <si>
    <t>1400000 Coins</t>
  </si>
  <si>
    <t>323250 Coins</t>
  </si>
  <si>
    <t>150 Coins, 10 Gems, 1,000 Black Diamonds</t>
  </si>
  <si>
    <t>10,000 Coins, 3 Diamonds</t>
  </si>
  <si>
    <t>15000 Coins</t>
  </si>
  <si>
    <t>100000 Coins</t>
  </si>
  <si>
    <t>200000 Coins</t>
  </si>
  <si>
    <t>2,500 Coins, 24 Bingo Chips, 25 Boosts</t>
  </si>
  <si>
    <t>5,000 coins, 50 Bingo Chips, 30 Boosts</t>
  </si>
  <si>
    <t>500 BingoTickets, 30Boosts</t>
  </si>
  <si>
    <t>2,000 Money, 20 Gems, 30 Dice</t>
  </si>
  <si>
    <t>12 Tickets, 16 Boosts</t>
  </si>
  <si>
    <t>68 Cherries, 17,500 Coins</t>
  </si>
  <si>
    <t>50 credits, 5000 coins, and 23 power ups</t>
  </si>
  <si>
    <t>250,000 Chips</t>
  </si>
  <si>
    <t>80,000 Chips, 5 gold coins</t>
  </si>
  <si>
    <t>15,000 Chips</t>
  </si>
  <si>
    <t>1,000,000 Coins, 20 Gems</t>
  </si>
  <si>
    <t>95000 Chips</t>
  </si>
  <si>
    <t>5,000 Chips, 10 Gold Coins</t>
  </si>
  <si>
    <t>800 Chips</t>
  </si>
  <si>
    <t>4,000,000 Coins, 200 Gems</t>
  </si>
  <si>
    <t>Inbox Free Coins</t>
  </si>
  <si>
    <t>100,000 Chips, 100 Bucks</t>
  </si>
  <si>
    <t xml:space="preserve">400,000 Coins, 10 Bucks </t>
  </si>
  <si>
    <t>Daily Stamp</t>
  </si>
  <si>
    <t>Daily Streak Amount</t>
  </si>
  <si>
    <t>Daily Streak Award</t>
  </si>
  <si>
    <t>Lotto Bonus</t>
  </si>
  <si>
    <t>Daily Catch w/FB</t>
  </si>
  <si>
    <t>Daily Lotto</t>
  </si>
  <si>
    <t>Coin Store</t>
  </si>
  <si>
    <t>Daily Bonus Streak</t>
  </si>
  <si>
    <t>Super Bonus</t>
  </si>
  <si>
    <t>Lobby Coin Bonus</t>
  </si>
  <si>
    <t>Read Bonus</t>
  </si>
  <si>
    <t>Daily Bonus</t>
  </si>
  <si>
    <t>Daily Spin Bonus</t>
  </si>
  <si>
    <t>Lucky Spin</t>
  </si>
  <si>
    <t>Coin Store Bonus</t>
  </si>
  <si>
    <t>Bonus Wheel</t>
  </si>
  <si>
    <t>Daily Bonus Spin</t>
  </si>
  <si>
    <t>Daily w/return bonus</t>
  </si>
  <si>
    <t>Daily Jackpot Wheel</t>
  </si>
  <si>
    <t>Daily Gift</t>
  </si>
  <si>
    <t>Daily Reward</t>
  </si>
  <si>
    <t>Vlookup number</t>
  </si>
  <si>
    <t>Mega Bonus</t>
  </si>
  <si>
    <t>Lucky Bonus</t>
  </si>
  <si>
    <t>Daily Reveiw</t>
  </si>
  <si>
    <t>Free Daily Spin</t>
  </si>
  <si>
    <t>Hold &amp; Spin Bonus</t>
  </si>
  <si>
    <t>10,000,000 Chips</t>
  </si>
  <si>
    <t>New User Value</t>
  </si>
  <si>
    <t>ID</t>
  </si>
  <si>
    <t>42000 Coins, 20 Shields</t>
  </si>
  <si>
    <t>Game</t>
  </si>
  <si>
    <t>Type</t>
  </si>
  <si>
    <t>New User Balance</t>
  </si>
  <si>
    <t>Daily Free Value</t>
  </si>
  <si>
    <t>Default Tuning</t>
  </si>
  <si>
    <t>Minimum Tuning</t>
  </si>
  <si>
    <t>Currency Conversion</t>
  </si>
  <si>
    <t>$1 Props (Default Bet)</t>
  </si>
  <si>
    <t>$1 Props (Min Bet)</t>
  </si>
  <si>
    <t>Default Bet</t>
  </si>
  <si>
    <t>Minimum Bet</t>
  </si>
  <si>
    <t>496000 Coins, 15 Shields</t>
  </si>
  <si>
    <t>Slots</t>
  </si>
  <si>
    <t>73500 Coins, 20 Shields</t>
  </si>
  <si>
    <t>New User Currency Balance</t>
  </si>
  <si>
    <t>85800 Coins, 25 Sheilds</t>
  </si>
  <si>
    <t>105600 Coins, 30 Sheilds</t>
  </si>
  <si>
    <t>Primary bonuses awarded / day</t>
  </si>
  <si>
    <t>Secondary coin bonus</t>
  </si>
  <si>
    <t>Coin Shop</t>
  </si>
  <si>
    <t>N/A</t>
  </si>
  <si>
    <t>Gold Vault - L15/T1</t>
  </si>
  <si>
    <t>Instant Deal</t>
  </si>
  <si>
    <t>Coin Bonus</t>
  </si>
  <si>
    <t>Wheel of Fun</t>
  </si>
  <si>
    <t>Bonus</t>
  </si>
  <si>
    <t>Mystery Box</t>
  </si>
  <si>
    <t>Monthly Magic Bonus</t>
  </si>
  <si>
    <t>Amount collected time set time period</t>
  </si>
  <si>
    <t>Bonus Spin w/o Streak</t>
  </si>
  <si>
    <t>Store Bonus</t>
  </si>
  <si>
    <t>Bonus Spin</t>
  </si>
  <si>
    <t>Legacy Bonus</t>
  </si>
  <si>
    <t>Monthly Morsels</t>
  </si>
  <si>
    <t>Daily Inbox Gift</t>
  </si>
  <si>
    <t>Daily Streak Bonus</t>
  </si>
  <si>
    <t>XP Boost</t>
  </si>
  <si>
    <t>Mitzy Gift</t>
  </si>
  <si>
    <t>Hourly Bonus</t>
  </si>
  <si>
    <t>Mega Bonus - Skill Game</t>
  </si>
  <si>
    <t>Collect Bonus</t>
  </si>
  <si>
    <t>Bonus Coins</t>
  </si>
  <si>
    <t>CoinBonus</t>
  </si>
  <si>
    <t>Inbox Retention Gifts</t>
  </si>
  <si>
    <t>Xtreme Bonus</t>
  </si>
  <si>
    <t>Turbo Reward</t>
  </si>
  <si>
    <t>Lobby Bonus</t>
  </si>
  <si>
    <t>Daily Bonus Wheel</t>
  </si>
  <si>
    <t>Daily Collect</t>
  </si>
  <si>
    <t>Sctatcher - level 10</t>
  </si>
  <si>
    <t>Return Bonus</t>
  </si>
  <si>
    <t>Welcome Back</t>
  </si>
  <si>
    <t>Mega Bonus Wheel</t>
  </si>
  <si>
    <t>Hourly Spin &amp; Win</t>
  </si>
  <si>
    <t>Earnings</t>
  </si>
  <si>
    <t>Income</t>
  </si>
  <si>
    <t>-</t>
  </si>
  <si>
    <t>Tertiary coin bonus</t>
  </si>
  <si>
    <t>Lottery</t>
  </si>
  <si>
    <t>Sliver Vault</t>
  </si>
  <si>
    <t>Lucky Wheel</t>
  </si>
  <si>
    <t>Bonus w/o Streak</t>
  </si>
  <si>
    <t>Bonus Tickets</t>
  </si>
  <si>
    <t>Bonus Gems</t>
  </si>
  <si>
    <t>Silver Vault</t>
  </si>
  <si>
    <t>Chip Bonus</t>
  </si>
  <si>
    <t>Bonanza Wheel</t>
  </si>
  <si>
    <t>Instant Reward</t>
  </si>
  <si>
    <t>Lobby Coins</t>
  </si>
  <si>
    <t>Special Bonus</t>
  </si>
  <si>
    <t>Lobby Chips</t>
  </si>
  <si>
    <t>Other bonus</t>
  </si>
  <si>
    <t>Bronze Vault</t>
  </si>
  <si>
    <t>Average primary bonus awarded / day</t>
  </si>
  <si>
    <t>Watch for Coins</t>
  </si>
  <si>
    <t>$ value of free coins</t>
  </si>
  <si>
    <t>Secondary bonus awarded / day</t>
  </si>
  <si>
    <t>Players receive 30 diamonds @L10 and added to new user value ~10min to level up to L10</t>
  </si>
  <si>
    <t>watch to earn now speeds up the bronze vault x1 - Increase to return bonus was 1k each consecutive day max 25K</t>
  </si>
  <si>
    <t>Higher Lucky Wheel amounts</t>
  </si>
  <si>
    <t>Monthly Magic unlocks L15</t>
  </si>
  <si>
    <t>daily bonus multiplier now upto x5 for 5days in a row</t>
  </si>
  <si>
    <t>Legacy Bonus timer resets at 5pm PST server clock</t>
  </si>
  <si>
    <t>Monthly Morsels unlocks L20</t>
  </si>
  <si>
    <t>Ticket value based on weighted average</t>
  </si>
  <si>
    <t>collect lobby bonus 6x to activate party XP - in place of a mega bonus retention feature - additional rewards are not at level 1 or VIP level 1</t>
  </si>
  <si>
    <t>watch to earn now for speed up of the bronze vault - value of coins set at average of 5 BV awards</t>
  </si>
  <si>
    <t>4/8 Collect bonus coins 100 on ipad, 120 on iphone - both level 1</t>
  </si>
  <si>
    <t>Watch to Earn lobby icon- increasing rewards for watching videos consecutive videos by 100 - starts @10K</t>
  </si>
  <si>
    <t>Jackpot added to the dailly bonus - noted 7/31 - daily streak added as return bonus to daily bonus - VIP daily bonus multiplier added</t>
  </si>
  <si>
    <t>200k facebook connect not included in beginning balance - gems in game currency not converted</t>
  </si>
  <si>
    <t>500K facebook connect bonus not included - Gems -&gt;charms in game currency not valued in this economy - daily gifts collectable @midnight</t>
  </si>
  <si>
    <t>total bet = sweepstakes entry *accumulates on fs - daily reward bonus increases by 10K daily, daily wheel bonus multiplier = xdays streak</t>
  </si>
  <si>
    <t>Primary bingo play currency (dice) is bought with gems -33 dice for 120 gems -&gt; 120 gems for 4.99 - new users awarded 30 dice as daily bonus then all daily collections are 20 for D1-D5 - W2E = 5 gems</t>
  </si>
  <si>
    <t>Boosts may be purchsed each game for coins</t>
  </si>
  <si>
    <t>Lucky Streak' return bonus included it in the bonus - other bonus is not for currency rather a XP 200% boost</t>
  </si>
  <si>
    <t>Bonuses based on league advancment and current league -data collected with min advancement in leagues or standings (mega bonus requries play and may affect level) - Lobby special bonus changed from 4hr to hrs</t>
  </si>
  <si>
    <t>VIP daily reward is 6,000,000 + 10 Gems this is used for the VIP Day = Coins - some reason VIP was awarded for new player (no game play) just one day (collected as day 2 bonus)</t>
  </si>
  <si>
    <t>second currency can be purchased or earn through achievements to be used to purchase some avatars and extra spins of the stepper mini game for more chips</t>
  </si>
  <si>
    <t>add secondary currency to feature matrix</t>
  </si>
  <si>
    <t>1 Sliver chest awarded as part of daily bonus. Used average of rewards (7 chest collections) 530,286 coins and 35 gems for conversion</t>
  </si>
  <si>
    <t>Earnings taken at L3 when unlocked, Daily Spin unlocked L3 2 tasks</t>
  </si>
  <si>
    <t>Income collected @L3 - no $value of bucks - D1 daily bonus bonus assumption no notification</t>
  </si>
  <si>
    <t>Starting Balance</t>
  </si>
  <si>
    <t>10000000 Coins, 1 Bronze Ticket, 30 Diamonds</t>
  </si>
  <si>
    <t>100,000 Coins, 8 Pink Gems, 3 Blue Gems, 1 Rainbow gems</t>
  </si>
  <si>
    <t>2,000 Money, 20 Gems</t>
  </si>
  <si>
    <t>250,000 chips</t>
  </si>
  <si>
    <t>35,000 Chips, 1 Gold</t>
  </si>
  <si>
    <t>4,000,000 coins, 200 Gems</t>
  </si>
  <si>
    <t>100,000 chips, 100 bucks</t>
  </si>
  <si>
    <t xml:space="preserve">400,000 coins, 10 bucks </t>
  </si>
  <si>
    <t>Currency Conversions</t>
  </si>
  <si>
    <t>Other currencies</t>
  </si>
  <si>
    <t>Bronze Tickets</t>
  </si>
  <si>
    <t>Magic Spin Gem</t>
  </si>
  <si>
    <t>Gems</t>
  </si>
  <si>
    <t>Diamonds</t>
  </si>
  <si>
    <t>Pink Gems</t>
  </si>
  <si>
    <t>Coins</t>
  </si>
  <si>
    <t>Boosts</t>
  </si>
  <si>
    <t>Gold Coins</t>
  </si>
  <si>
    <t>Gold</t>
  </si>
  <si>
    <t>Bucks</t>
  </si>
  <si>
    <t>Amount of currency</t>
  </si>
  <si>
    <t>Cost of currency</t>
  </si>
  <si>
    <t>Cost each</t>
  </si>
  <si>
    <t>Black Diamonds</t>
  </si>
  <si>
    <t>Blue Gems</t>
  </si>
  <si>
    <t>Money</t>
  </si>
  <si>
    <t>Mini Games</t>
  </si>
  <si>
    <t>Power Ups</t>
  </si>
  <si>
    <t>Rainbow Gems</t>
  </si>
  <si>
    <t>Pull Tabs/Scratchers</t>
  </si>
  <si>
    <t>Scratchers</t>
  </si>
  <si>
    <t>Average secondary bonus awarded / day</t>
  </si>
  <si>
    <t>Locked</t>
  </si>
  <si>
    <t>Streak mulitplier</t>
  </si>
  <si>
    <t>Wonka Bars</t>
  </si>
  <si>
    <t>D1 = 4K</t>
  </si>
  <si>
    <t>D1 = 1x</t>
  </si>
  <si>
    <t>Value</t>
  </si>
  <si>
    <t>Streak information</t>
  </si>
  <si>
    <t>D1 = 1000</t>
  </si>
  <si>
    <t>D1 = 6000</t>
  </si>
  <si>
    <t>D2 = 8k</t>
  </si>
  <si>
    <t>D2 = 2x</t>
  </si>
  <si>
    <t xml:space="preserve">D1 = </t>
  </si>
  <si>
    <t>D1 = 1 Tap</t>
  </si>
  <si>
    <t>D1 = 40</t>
  </si>
  <si>
    <t>D1 = 5k</t>
  </si>
  <si>
    <t>D1 = 500000 Coins, 2 Spins</t>
  </si>
  <si>
    <t>D1 = 500</t>
  </si>
  <si>
    <t>D1 = 30000</t>
  </si>
  <si>
    <t>bingo credits</t>
  </si>
  <si>
    <t>Daily Streak</t>
  </si>
  <si>
    <t>D2 = 2000</t>
  </si>
  <si>
    <t>D5 = 10000</t>
  </si>
  <si>
    <t>D3 = 12k</t>
  </si>
  <si>
    <t>D3 = 3x</t>
  </si>
  <si>
    <t xml:space="preserve">D2 = </t>
  </si>
  <si>
    <t>D2 = 1.5x</t>
  </si>
  <si>
    <t>D2 = 2 Taps</t>
  </si>
  <si>
    <t>D2 = 80</t>
  </si>
  <si>
    <t>D2 = 5k</t>
  </si>
  <si>
    <t>D2 = 1000000 Coins, 4 Spins</t>
  </si>
  <si>
    <t>D2 = 1000</t>
  </si>
  <si>
    <t>D2 = 40000</t>
  </si>
  <si>
    <t>coins</t>
  </si>
  <si>
    <t>D3 = 3000</t>
  </si>
  <si>
    <t>D10 = 15000</t>
  </si>
  <si>
    <t>D4 = 16k</t>
  </si>
  <si>
    <t>D4 = 4x</t>
  </si>
  <si>
    <t xml:space="preserve">D3 = </t>
  </si>
  <si>
    <t>D3 = 2x</t>
  </si>
  <si>
    <t>D3 = 3 Taps</t>
  </si>
  <si>
    <t>D3 = 120</t>
  </si>
  <si>
    <t>D3 = 5k</t>
  </si>
  <si>
    <t>D3 = 2000000 Coins, 6 Spins</t>
  </si>
  <si>
    <t>D3 = 1500</t>
  </si>
  <si>
    <t>D3 = 50000</t>
  </si>
  <si>
    <t>power ups</t>
  </si>
  <si>
    <t>D4 = 4000</t>
  </si>
  <si>
    <t>D15 = 20000</t>
  </si>
  <si>
    <t>D5 = 20k</t>
  </si>
  <si>
    <t>D5 = 5x</t>
  </si>
  <si>
    <t xml:space="preserve">D4 = </t>
  </si>
  <si>
    <t>D4 = 4 Taps</t>
  </si>
  <si>
    <t>D4 = 160</t>
  </si>
  <si>
    <t>D4 = 5k</t>
  </si>
  <si>
    <t>D4 = 5000000 Coins, 8 Spins</t>
  </si>
  <si>
    <t>D4 = 2000</t>
  </si>
  <si>
    <t>D4 = 65000</t>
  </si>
  <si>
    <t>Energy</t>
  </si>
  <si>
    <t>D5= 5000</t>
  </si>
  <si>
    <t>D25 = 30000</t>
  </si>
  <si>
    <t xml:space="preserve">D5 = </t>
  </si>
  <si>
    <t>D5 = 5 Taps</t>
  </si>
  <si>
    <t>D5 = 200</t>
  </si>
  <si>
    <t>D5 = 7500</t>
  </si>
  <si>
    <t>D5 = 10000000 Coins, 10 Spins</t>
  </si>
  <si>
    <t>D5 = 2500</t>
  </si>
  <si>
    <t>D5= 85000</t>
  </si>
  <si>
    <t>D5= 5x</t>
  </si>
  <si>
    <t>Tertiary bonus awarded / day</t>
  </si>
  <si>
    <t>Average tertiary bonus awarded / day</t>
  </si>
  <si>
    <t>Bingo</t>
  </si>
  <si>
    <t>Other bonus awarded / day</t>
  </si>
  <si>
    <t>Poker</t>
  </si>
  <si>
    <t>Average other bonus awarded / day</t>
  </si>
  <si>
    <t>~$5 worth of primary currency (non-sale)</t>
  </si>
  <si>
    <t>Cost of currency (~$5)</t>
  </si>
  <si>
    <t xml:space="preserve">Default bet value </t>
  </si>
  <si>
    <t>Choose Bet</t>
  </si>
  <si>
    <t xml:space="preserve">Minimum bet value </t>
  </si>
  <si>
    <t>Results</t>
  </si>
  <si>
    <t>Value of new user coin balance</t>
  </si>
  <si>
    <t>Total primary bonus awarded daily</t>
  </si>
  <si>
    <t>Primary coin bonus daily coin value</t>
  </si>
  <si>
    <t>Total secondary bonus amount daily</t>
  </si>
  <si>
    <t>Secondary coin bonus daily coin value</t>
  </si>
  <si>
    <t>Total tertiary bonus amount daily</t>
  </si>
  <si>
    <t>Tertiary coin bonus daily coin value</t>
  </si>
  <si>
    <t>Total Other bonus amount daily</t>
  </si>
  <si>
    <t>Other coin bonus daily coin value</t>
  </si>
  <si>
    <t xml:space="preserve"> Total daily coin balance </t>
  </si>
  <si>
    <t>Total daily coin balance value</t>
  </si>
  <si>
    <t>$1 worth of chips (at $5 package)</t>
  </si>
  <si>
    <t>Default bet value</t>
  </si>
  <si>
    <t>Minimum bet value</t>
  </si>
  <si>
    <t>Default tuning</t>
  </si>
  <si>
    <t>Minimum bet tuning</t>
  </si>
  <si>
    <t>Currency value in propositions (default bet)</t>
  </si>
  <si>
    <t>Currency value in propositions (minimum bet)</t>
  </si>
  <si>
    <t>Bet/Chips (Default bet)</t>
  </si>
  <si>
    <t>Bet/Chips (Minimum Bet)</t>
  </si>
  <si>
    <t>Faucet Props (Default bet)</t>
  </si>
  <si>
    <t>% of value in primary</t>
  </si>
  <si>
    <t>% of value in secondary</t>
  </si>
  <si>
    <t>% of value in other</t>
  </si>
  <si>
    <t>Total</t>
  </si>
  <si>
    <t>All the raw data is on the "Raw Data" tab. This is where you can see how we got the average payout of a Faucet</t>
  </si>
  <si>
    <t>All the calculations are on the "Inputs" tab (including the equations)</t>
  </si>
  <si>
    <r>
      <t>Currency Conversion:</t>
    </r>
    <r>
      <rPr>
        <sz val="12"/>
        <color rgb="FF222222"/>
        <rFont val="TT Norms Regular"/>
      </rPr>
      <t> Simply the amount of in-game currency a player receives for $1 spent on the buy page</t>
    </r>
  </si>
  <si>
    <r>
      <t>Minimum Bet Tuning:</t>
    </r>
    <r>
      <rPr>
        <sz val="12"/>
        <color rgb="FF222222"/>
        <rFont val="TT Norms Regular"/>
      </rPr>
      <t> The same as the Default Bet Tuning only with the (Cost of the Minimum Bet) replacing the (Cost of the Default Bet)</t>
    </r>
  </si>
  <si>
    <r>
      <t>Default Bet Tuning:</t>
    </r>
    <r>
      <rPr>
        <sz val="12"/>
        <color rgb="FF222222"/>
        <rFont val="TT Norms Regular"/>
      </rPr>
      <t> Is the average number of spins a new player receives if they only bet at the default bet with the free value given upon download. The equation is: (New User Balance) / (Cost of the Default Bet) / (90% RTP) </t>
    </r>
  </si>
  <si>
    <r>
      <t>New User Balance:</t>
    </r>
    <r>
      <rPr>
        <sz val="12"/>
        <color rgb="FF222222"/>
        <rFont val="TT Norms Regular"/>
      </rPr>
      <t> The amount of value a new player receives to play the game after the tutorial. You can find this number and their inputs on the "Inputs" tab Row 5 </t>
    </r>
    <r>
      <rPr>
        <i/>
        <sz val="12"/>
        <color rgb="FF222222"/>
        <rFont val="TT Norms Regular"/>
      </rPr>
      <t>Starting Balance Explained</t>
    </r>
  </si>
  <si>
    <r>
      <t>Value</t>
    </r>
    <r>
      <rPr>
        <sz val="12"/>
        <color rgb="FF222222"/>
        <rFont val="TT Norms Regular"/>
      </rPr>
      <t> is determined by taking the currency given to players and converting it to a dollar amount using the $5 non-sale package on the buy page (or closest package to $5)</t>
    </r>
  </si>
  <si>
    <r>
      <t>Faucets</t>
    </r>
    <r>
      <rPr>
        <sz val="12"/>
        <color rgb="FF222222"/>
        <rFont val="TT Norms Regular"/>
      </rPr>
      <t> are features like the COLLECT free bonus in House of Fun that give free currency to players</t>
    </r>
  </si>
  <si>
    <r>
      <t>Daily Free Value:</t>
    </r>
    <r>
      <rPr>
        <sz val="12"/>
        <color rgb="FF222222"/>
        <rFont val="TT Norms Regular"/>
      </rPr>
      <t> The amount of value a </t>
    </r>
    <r>
      <rPr>
        <i/>
        <sz val="12"/>
        <color rgb="FF222222"/>
        <rFont val="TT Norms Regular"/>
      </rPr>
      <t>new </t>
    </r>
    <r>
      <rPr>
        <sz val="12"/>
        <color rgb="FF222222"/>
        <rFont val="TT Norms Regular"/>
      </rPr>
      <t>player receives daily from all the free faucet features assuming x amount of hours played/collected. X is adjustable in the "Outputs" tab cell C5</t>
    </r>
  </si>
  <si>
    <t>Explanations of the outputs and the inputs to the economy teardowns</t>
  </si>
  <si>
    <t>Input Data Definitions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</si>
</sst>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&quot;$&quot;#,##0.00"/>
    <numFmt numFmtId="165" formatCode="&quot;$&quot;#,##0.00;"/>
    <numFmt numFmtId="166" formatCode="0.0"/>
    <numFmt numFmtId="167" formatCode="&quot;$&quot;#,##0.000_);[Red]\(&quot;$&quot;#,##0.000\)"/>
    <numFmt numFmtId="168" formatCode="_(* #,##0_);_(* \(#,##0\);_(* &quot;-&quot;??_);_(@_)"/>
  </numFmts>
  <fonts count="38">
    <font>
      <sz val="12"/>
      <color rgb="FF000000"/>
      <name val="Calibri"/>
    </font>
    <font>
      <sz val="12"/>
      <name val="Montserrat"/>
    </font>
    <font>
      <sz val="24"/>
      <color rgb="FF20304F"/>
      <name val="Montserrat"/>
    </font>
    <font>
      <b/>
      <i/>
      <sz val="30"/>
      <color rgb="FF62C3FF"/>
      <name val="Montserrat"/>
    </font>
    <font>
      <b/>
      <sz val="12"/>
      <color rgb="FF62C3FF"/>
      <name val="Montserrat"/>
    </font>
    <font>
      <b/>
      <i/>
      <sz val="24"/>
      <color rgb="FFFFFFFF"/>
      <name val="Montserrat"/>
    </font>
    <font>
      <b/>
      <i/>
      <sz val="12"/>
      <color rgb="FF2281E0"/>
      <name val="Montserrat"/>
    </font>
    <font>
      <b/>
      <sz val="12"/>
      <color rgb="FF2281E0"/>
      <name val="Montserrat"/>
    </font>
    <font>
      <b/>
      <sz val="24"/>
      <color rgb="FFFFFFFF"/>
      <name val="Montserrat"/>
    </font>
    <font>
      <sz val="12"/>
      <color rgb="FF20304F"/>
      <name val="Montserrat"/>
    </font>
    <font>
      <sz val="24"/>
      <color rgb="FFFFFFFF"/>
      <name val="Montserrat"/>
    </font>
    <font>
      <sz val="12"/>
      <color rgb="FF20304F"/>
      <name val="Montserrat"/>
    </font>
    <font>
      <i/>
      <sz val="12"/>
      <color rgb="FF20304F"/>
      <name val="Montserrat"/>
    </font>
    <font>
      <sz val="11"/>
      <color rgb="FF62C3FF"/>
      <name val="Montserrat"/>
    </font>
    <font>
      <b/>
      <sz val="12"/>
      <color rgb="FF20304F"/>
      <name val="Montserrat"/>
    </font>
    <font>
      <b/>
      <sz val="11"/>
      <color rgb="FF62C3FF"/>
      <name val="Montserrat"/>
    </font>
    <font>
      <b/>
      <sz val="12"/>
      <color rgb="FFFFFFFF"/>
      <name val="Montserrat"/>
    </font>
    <font>
      <b/>
      <sz val="12"/>
      <color rgb="FFFFFFFF"/>
      <name val="Montserrat"/>
    </font>
    <font>
      <b/>
      <i/>
      <sz val="12"/>
      <color rgb="FFFFFFFF"/>
      <name val="Montserrat"/>
    </font>
    <font>
      <sz val="12"/>
      <color rgb="FF62C3FF"/>
      <name val="Montserrat"/>
    </font>
    <font>
      <sz val="11"/>
      <color rgb="FF20304F"/>
      <name val="Montserrat"/>
    </font>
    <font>
      <b/>
      <sz val="11"/>
      <color rgb="FF20304F"/>
      <name val="Montserrat"/>
    </font>
    <font>
      <sz val="12"/>
      <name val="Montserrat"/>
    </font>
    <font>
      <sz val="12"/>
      <color rgb="FFFFFFFF"/>
      <name val="Montserrat"/>
    </font>
    <font>
      <i/>
      <sz val="12"/>
      <name val="Montserrat"/>
    </font>
    <font>
      <b/>
      <sz val="12"/>
      <name val="Montserrat"/>
    </font>
    <font>
      <b/>
      <i/>
      <sz val="12"/>
      <name val="Montserrat"/>
    </font>
    <font>
      <sz val="12"/>
      <color rgb="FF000000"/>
      <name val="Montserrat"/>
    </font>
    <font>
      <sz val="10"/>
      <color rgb="FF000000"/>
      <name val="Arial"/>
    </font>
    <font>
      <sz val="12"/>
      <color rgb="FF000000"/>
      <name val="Calibri"/>
    </font>
    <font>
      <sz val="12"/>
      <color rgb="FF222222"/>
      <name val="TT Norms Regular"/>
    </font>
    <font>
      <sz val="12"/>
      <color rgb="FF000000"/>
      <name val="TT Norms Regular"/>
    </font>
    <font>
      <b/>
      <sz val="12"/>
      <color rgb="FF222222"/>
      <name val="TT Norms Regular"/>
    </font>
    <font>
      <i/>
      <sz val="12"/>
      <color rgb="FF222222"/>
      <name val="TT Norms Regular"/>
    </font>
    <font>
      <sz val="10"/>
      <color rgb="FF000000"/>
      <name val="TT Norms Regular"/>
    </font>
    <font>
      <b/>
      <sz val="12"/>
      <color rgb="FFFFFFFF"/>
      <name val="TT Norms Regular"/>
    </font>
    <font>
      <b/>
      <i/>
      <sz val="12"/>
      <color rgb="FFFFFFFF"/>
      <name val="TT Norms Regular"/>
    </font>
    <font>
      <b/>
      <i/>
      <sz val="36"/>
      <color rgb="FF20304F"/>
      <name val="TT Norms Regular"/>
    </font>
  </fonts>
  <fills count="6">
    <fill>
      <patternFill patternType="none"/>
    </fill>
    <fill>
      <patternFill patternType="gray125"/>
    </fill>
    <fill>
      <patternFill patternType="solid">
        <fgColor rgb="FF62C3FF"/>
        <bgColor rgb="FF62C3FF"/>
      </patternFill>
    </fill>
    <fill>
      <patternFill patternType="solid">
        <fgColor rgb="FF20304F"/>
        <bgColor rgb="FF20304F"/>
      </patternFill>
    </fill>
    <fill>
      <patternFill patternType="solid">
        <fgColor rgb="FF2281E0"/>
        <bgColor rgb="FF2281E0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dotted">
        <color rgb="FF62C3FF"/>
      </left>
      <right/>
      <top style="dotted">
        <color rgb="FF62C3FF"/>
      </top>
      <bottom style="dotted">
        <color rgb="FF62C3FF"/>
      </bottom>
      <diagonal/>
    </border>
    <border>
      <left/>
      <right/>
      <top style="dotted">
        <color rgb="FF62C3FF"/>
      </top>
      <bottom style="dotted">
        <color rgb="FF62C3FF"/>
      </bottom>
      <diagonal/>
    </border>
    <border>
      <left/>
      <right style="dotted">
        <color rgb="FF62C3FF"/>
      </right>
      <top style="dotted">
        <color rgb="FF62C3FF"/>
      </top>
      <bottom style="dotted">
        <color rgb="FF62C3FF"/>
      </bottom>
      <diagonal/>
    </border>
    <border>
      <left/>
      <right/>
      <top/>
      <bottom style="dotted">
        <color rgb="FF20304F"/>
      </bottom>
      <diagonal/>
    </border>
    <border>
      <left/>
      <right/>
      <top/>
      <bottom style="dotted">
        <color rgb="FF20304F"/>
      </bottom>
      <diagonal/>
    </border>
    <border>
      <left/>
      <right/>
      <top/>
      <bottom style="dotted">
        <color rgb="FF20304F"/>
      </bottom>
      <diagonal/>
    </border>
    <border>
      <left/>
      <right/>
      <top/>
      <bottom style="dotted">
        <color rgb="FF20304F"/>
      </bottom>
      <diagonal/>
    </border>
    <border>
      <left/>
      <right/>
      <top/>
      <bottom/>
      <diagonal/>
    </border>
    <border>
      <left/>
      <right/>
      <top/>
      <bottom style="medium">
        <color rgb="FF9CC2E5"/>
      </bottom>
      <diagonal/>
    </border>
    <border>
      <left style="thin">
        <color rgb="FF20304F"/>
      </left>
      <right/>
      <top style="thin">
        <color rgb="FF20304F"/>
      </top>
      <bottom style="dotted">
        <color rgb="FF20304F"/>
      </bottom>
      <diagonal/>
    </border>
    <border>
      <left/>
      <right/>
      <top style="thin">
        <color rgb="FF20304F"/>
      </top>
      <bottom style="dotted">
        <color rgb="FF20304F"/>
      </bottom>
      <diagonal/>
    </border>
    <border>
      <left/>
      <right style="thin">
        <color rgb="FF20304F"/>
      </right>
      <top style="thin">
        <color rgb="FF20304F"/>
      </top>
      <bottom style="dotted">
        <color rgb="FF20304F"/>
      </bottom>
      <diagonal/>
    </border>
    <border>
      <left style="thin">
        <color rgb="FF20304F"/>
      </left>
      <right/>
      <top/>
      <bottom style="thin">
        <color rgb="FF20304F"/>
      </bottom>
      <diagonal/>
    </border>
    <border>
      <left style="thin">
        <color rgb="FF20304F"/>
      </left>
      <right style="double">
        <color rgb="FF20304F"/>
      </right>
      <top style="thin">
        <color rgb="FF20304F"/>
      </top>
      <bottom style="dotted">
        <color rgb="FF62C3FF"/>
      </bottom>
      <diagonal/>
    </border>
    <border>
      <left style="dotted">
        <color rgb="FF20304F"/>
      </left>
      <right style="dotted">
        <color rgb="FF20304F"/>
      </right>
      <top/>
      <bottom style="thin">
        <color rgb="FF20304F"/>
      </bottom>
      <diagonal/>
    </border>
    <border>
      <left/>
      <right style="dotted">
        <color rgb="FF62C3FF"/>
      </right>
      <top/>
      <bottom style="dotted">
        <color rgb="FF62C3FF"/>
      </bottom>
      <diagonal/>
    </border>
    <border>
      <left style="dotted">
        <color rgb="FF62C3FF"/>
      </left>
      <right style="dotted">
        <color rgb="FF62C3FF"/>
      </right>
      <top/>
      <bottom style="dotted">
        <color rgb="FF62C3FF"/>
      </bottom>
      <diagonal/>
    </border>
    <border>
      <left/>
      <right/>
      <top/>
      <bottom style="thin">
        <color rgb="FF20304F"/>
      </bottom>
      <diagonal/>
    </border>
    <border>
      <left style="dotted">
        <color rgb="FF62C3FF"/>
      </left>
      <right style="dotted">
        <color rgb="FF62C3FF"/>
      </right>
      <top style="dotted">
        <color rgb="FF62C3FF"/>
      </top>
      <bottom style="dotted">
        <color rgb="FF62C3FF"/>
      </bottom>
      <diagonal/>
    </border>
    <border>
      <left/>
      <right style="thin">
        <color rgb="FF20304F"/>
      </right>
      <top/>
      <bottom style="thin">
        <color rgb="FF20304F"/>
      </bottom>
      <diagonal/>
    </border>
    <border>
      <left style="dotted">
        <color rgb="FF62C3FF"/>
      </left>
      <right/>
      <top/>
      <bottom style="dotted">
        <color rgb="FF62C3FF"/>
      </bottom>
      <diagonal/>
    </border>
    <border>
      <left style="thin">
        <color rgb="FF7F7F7F"/>
      </left>
      <right style="dotted">
        <color rgb="FFFFFFFF"/>
      </right>
      <top style="thin">
        <color rgb="FF7F7F7F"/>
      </top>
      <bottom/>
      <diagonal/>
    </border>
    <border>
      <left style="dotted">
        <color rgb="FFFFFFFF"/>
      </left>
      <right style="dotted">
        <color rgb="FFFFFFFF"/>
      </right>
      <top style="thin">
        <color rgb="FF7F7F7F"/>
      </top>
      <bottom/>
      <diagonal/>
    </border>
    <border>
      <left style="thin">
        <color rgb="FF20304F"/>
      </left>
      <right style="double">
        <color rgb="FF20304F"/>
      </right>
      <top style="dotted">
        <color rgb="FF62C3FF"/>
      </top>
      <bottom style="dotted">
        <color rgb="FF62C3FF"/>
      </bottom>
      <diagonal/>
    </border>
    <border>
      <left style="dotted">
        <color rgb="FFFFFFFF"/>
      </left>
      <right style="thin">
        <color rgb="FF7F7F7F"/>
      </right>
      <top style="thin">
        <color rgb="FF7F7F7F"/>
      </top>
      <bottom/>
      <diagonal/>
    </border>
    <border>
      <left style="thin">
        <color rgb="FF20304F"/>
      </left>
      <right/>
      <top style="thin">
        <color rgb="FF20304F"/>
      </top>
      <bottom/>
      <diagonal/>
    </border>
    <border>
      <left/>
      <right/>
      <top style="thin">
        <color rgb="FF20304F"/>
      </top>
      <bottom/>
      <diagonal/>
    </border>
    <border>
      <left/>
      <right style="thin">
        <color rgb="FF20304F"/>
      </right>
      <top style="thin">
        <color rgb="FF20304F"/>
      </top>
      <bottom/>
      <diagonal/>
    </border>
    <border>
      <left style="thin">
        <color rgb="FF20304F"/>
      </left>
      <right/>
      <top style="thin">
        <color rgb="FF20304F"/>
      </top>
      <bottom style="dotted">
        <color rgb="FF62C3FF"/>
      </bottom>
      <diagonal/>
    </border>
    <border>
      <left style="medium">
        <color rgb="FF20304F"/>
      </left>
      <right style="medium">
        <color rgb="FF20304F"/>
      </right>
      <top style="thin">
        <color rgb="FF20304F"/>
      </top>
      <bottom style="dotted">
        <color rgb="FF62C3FF"/>
      </bottom>
      <diagonal/>
    </border>
    <border>
      <left/>
      <right style="dotted">
        <color rgb="FF62C3FF"/>
      </right>
      <top style="thin">
        <color rgb="FF20304F"/>
      </top>
      <bottom style="dotted">
        <color rgb="FF62C3FF"/>
      </bottom>
      <diagonal/>
    </border>
    <border>
      <left style="dotted">
        <color rgb="FF62C3FF"/>
      </left>
      <right style="dotted">
        <color rgb="FF2281E0"/>
      </right>
      <top style="thin">
        <color rgb="FF20304F"/>
      </top>
      <bottom style="dotted">
        <color rgb="FF2281E0"/>
      </bottom>
      <diagonal/>
    </border>
    <border>
      <left style="dotted">
        <color rgb="FF2281E0"/>
      </left>
      <right style="dotted">
        <color rgb="FF2281E0"/>
      </right>
      <top style="thin">
        <color rgb="FF20304F"/>
      </top>
      <bottom style="dotted">
        <color rgb="FF2281E0"/>
      </bottom>
      <diagonal/>
    </border>
    <border>
      <left style="dotted">
        <color rgb="FF2281E0"/>
      </left>
      <right style="thin">
        <color rgb="FF20304F"/>
      </right>
      <top style="thin">
        <color rgb="FF20304F"/>
      </top>
      <bottom style="dotted">
        <color rgb="FF2281E0"/>
      </bottom>
      <diagonal/>
    </border>
    <border>
      <left style="thin">
        <color rgb="FF20304F"/>
      </left>
      <right/>
      <top style="dotted">
        <color rgb="FF62C3FF"/>
      </top>
      <bottom style="dotted">
        <color rgb="FF62C3FF"/>
      </bottom>
      <diagonal/>
    </border>
    <border>
      <left style="medium">
        <color rgb="FF20304F"/>
      </left>
      <right style="medium">
        <color rgb="FF20304F"/>
      </right>
      <top style="dotted">
        <color rgb="FF62C3FF"/>
      </top>
      <bottom style="dotted">
        <color rgb="FF62C3FF"/>
      </bottom>
      <diagonal/>
    </border>
    <border>
      <left style="dotted">
        <color rgb="FF62C3FF"/>
      </left>
      <right style="dotted">
        <color rgb="FF2281E0"/>
      </right>
      <top style="dotted">
        <color rgb="FF2281E0"/>
      </top>
      <bottom style="dotted">
        <color rgb="FF2281E0"/>
      </bottom>
      <diagonal/>
    </border>
    <border>
      <left style="dotted">
        <color rgb="FF2281E0"/>
      </left>
      <right style="dotted">
        <color rgb="FF2281E0"/>
      </right>
      <top style="dotted">
        <color rgb="FF2281E0"/>
      </top>
      <bottom style="dotted">
        <color rgb="FF2281E0"/>
      </bottom>
      <diagonal/>
    </border>
    <border>
      <left style="dotted">
        <color rgb="FF2281E0"/>
      </left>
      <right style="thin">
        <color rgb="FF20304F"/>
      </right>
      <top style="dotted">
        <color rgb="FF2281E0"/>
      </top>
      <bottom style="dotted">
        <color rgb="FF2281E0"/>
      </bottom>
      <diagonal/>
    </border>
    <border>
      <left style="dotted">
        <color rgb="FF62C3FF"/>
      </left>
      <right style="thin">
        <color rgb="FF7F7F7F"/>
      </right>
      <top style="dotted">
        <color rgb="FF62C3FF"/>
      </top>
      <bottom style="dotted">
        <color rgb="FF62C3FF"/>
      </bottom>
      <diagonal/>
    </border>
    <border>
      <left/>
      <right style="dotted">
        <color rgb="FF62C3FF"/>
      </right>
      <top style="dotted">
        <color rgb="FF62C3FF"/>
      </top>
      <bottom/>
      <diagonal/>
    </border>
    <border>
      <left style="dotted">
        <color rgb="FF62C3FF"/>
      </left>
      <right style="dotted">
        <color rgb="FF62C3FF"/>
      </right>
      <top style="dotted">
        <color rgb="FF62C3FF"/>
      </top>
      <bottom/>
      <diagonal/>
    </border>
    <border>
      <left style="dotted">
        <color rgb="FF62C3FF"/>
      </left>
      <right/>
      <top style="dotted">
        <color rgb="FF62C3FF"/>
      </top>
      <bottom/>
      <diagonal/>
    </border>
    <border>
      <left style="thin">
        <color rgb="FF20304F"/>
      </left>
      <right style="double">
        <color rgb="FF20304F"/>
      </right>
      <top style="dotted">
        <color rgb="FF62C3FF"/>
      </top>
      <bottom style="thin">
        <color rgb="FF20304F"/>
      </bottom>
      <diagonal/>
    </border>
    <border>
      <left/>
      <right/>
      <top style="thin">
        <color rgb="FF20304F"/>
      </top>
      <bottom style="medium">
        <color rgb="FF20304F"/>
      </bottom>
      <diagonal/>
    </border>
  </borders>
  <cellStyleXfs count="3">
    <xf numFmtId="0" fontId="0" fillId="0" borderId="0"/>
    <xf numFmtId="0" fontId="28" fillId="0" borderId="8"/>
    <xf numFmtId="0" fontId="29" fillId="0" borderId="8"/>
  </cellStyleXfs>
  <cellXfs count="256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4" fillId="4" borderId="0" xfId="0" applyFont="1" applyFill="1" applyAlignment="1"/>
    <xf numFmtId="0" fontId="1" fillId="3" borderId="3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6" fillId="0" borderId="4" xfId="0" applyFont="1" applyBorder="1" applyAlignment="1"/>
    <xf numFmtId="0" fontId="6" fillId="0" borderId="4" xfId="0" applyFont="1" applyBorder="1" applyAlignment="1"/>
    <xf numFmtId="0" fontId="7" fillId="0" borderId="5" xfId="0" applyFont="1" applyBorder="1" applyAlignment="1"/>
    <xf numFmtId="0" fontId="7" fillId="0" borderId="4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0" fontId="8" fillId="4" borderId="8" xfId="0" applyFont="1" applyFill="1" applyBorder="1" applyAlignment="1">
      <alignment vertical="center"/>
    </xf>
    <xf numFmtId="0" fontId="9" fillId="0" borderId="0" xfId="0" applyFont="1" applyAlignment="1"/>
    <xf numFmtId="0" fontId="5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/>
    </xf>
    <xf numFmtId="0" fontId="1" fillId="0" borderId="4" xfId="0" applyFont="1" applyBorder="1"/>
    <xf numFmtId="0" fontId="10" fillId="4" borderId="3" xfId="0" applyFont="1" applyFill="1" applyBorder="1" applyAlignment="1">
      <alignment vertical="center"/>
    </xf>
    <xf numFmtId="0" fontId="1" fillId="0" borderId="7" xfId="0" applyFont="1" applyBorder="1"/>
    <xf numFmtId="0" fontId="4" fillId="3" borderId="9" xfId="0" applyFont="1" applyFill="1" applyBorder="1" applyAlignment="1">
      <alignment horizontal="center" vertical="center" wrapText="1"/>
    </xf>
    <xf numFmtId="0" fontId="11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2" fillId="0" borderId="4" xfId="0" applyFont="1" applyBorder="1" applyAlignment="1"/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/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4" fillId="2" borderId="10" xfId="0" applyFont="1" applyFill="1" applyBorder="1"/>
    <xf numFmtId="0" fontId="15" fillId="3" borderId="9" xfId="0" applyFont="1" applyFill="1" applyBorder="1" applyAlignment="1">
      <alignment horizontal="center" vertical="center" wrapText="1"/>
    </xf>
    <xf numFmtId="0" fontId="14" fillId="2" borderId="11" xfId="0" applyFont="1" applyFill="1" applyBorder="1"/>
    <xf numFmtId="0" fontId="15" fillId="3" borderId="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/>
    <xf numFmtId="0" fontId="12" fillId="2" borderId="12" xfId="0" applyFont="1" applyFill="1" applyBorder="1"/>
    <xf numFmtId="0" fontId="12" fillId="0" borderId="0" xfId="0" applyFont="1"/>
    <xf numFmtId="0" fontId="15" fillId="3" borderId="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12" fillId="2" borderId="14" xfId="0" applyFont="1" applyFill="1" applyBorder="1"/>
    <xf numFmtId="0" fontId="16" fillId="3" borderId="15" xfId="0" applyFont="1" applyFill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3" fontId="12" fillId="0" borderId="17" xfId="0" applyNumberFormat="1" applyFont="1" applyBorder="1" applyAlignment="1">
      <alignment horizontal="center" wrapText="1"/>
    </xf>
    <xf numFmtId="0" fontId="12" fillId="0" borderId="18" xfId="0" applyFont="1" applyBorder="1"/>
    <xf numFmtId="3" fontId="12" fillId="0" borderId="17" xfId="0" applyNumberFormat="1" applyFont="1" applyBorder="1" applyAlignment="1">
      <alignment horizontal="center" wrapText="1"/>
    </xf>
    <xf numFmtId="0" fontId="9" fillId="2" borderId="17" xfId="0" applyFont="1" applyFill="1" applyBorder="1" applyAlignment="1">
      <alignment horizontal="center"/>
    </xf>
    <xf numFmtId="3" fontId="12" fillId="0" borderId="17" xfId="0" applyNumberFormat="1" applyFont="1" applyBorder="1" applyAlignment="1">
      <alignment horizontal="center" wrapText="1"/>
    </xf>
    <xf numFmtId="0" fontId="9" fillId="2" borderId="19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/>
    <xf numFmtId="0" fontId="9" fillId="2" borderId="17" xfId="0" applyFont="1" applyFill="1" applyBorder="1" applyAlignment="1">
      <alignment horizontal="center"/>
    </xf>
    <xf numFmtId="0" fontId="17" fillId="5" borderId="0" xfId="0" applyFont="1" applyFill="1"/>
    <xf numFmtId="0" fontId="9" fillId="2" borderId="17" xfId="0" applyFont="1" applyFill="1" applyBorder="1" applyAlignment="1">
      <alignment horizontal="center"/>
    </xf>
    <xf numFmtId="3" fontId="12" fillId="5" borderId="21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/>
    </xf>
    <xf numFmtId="0" fontId="18" fillId="2" borderId="22" xfId="0" applyFont="1" applyFill="1" applyBorder="1"/>
    <xf numFmtId="0" fontId="18" fillId="2" borderId="2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4" fillId="0" borderId="24" xfId="0" applyFont="1" applyBorder="1" applyAlignment="1"/>
    <xf numFmtId="3" fontId="9" fillId="0" borderId="19" xfId="0" applyNumberFormat="1" applyFont="1" applyBorder="1" applyAlignment="1">
      <alignment horizontal="center"/>
    </xf>
    <xf numFmtId="0" fontId="18" fillId="2" borderId="23" xfId="0" applyFont="1" applyFill="1" applyBorder="1"/>
    <xf numFmtId="3" fontId="9" fillId="5" borderId="19" xfId="0" applyNumberFormat="1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18" fillId="2" borderId="23" xfId="0" applyFont="1" applyFill="1" applyBorder="1" applyAlignment="1">
      <alignment horizontal="right"/>
    </xf>
    <xf numFmtId="3" fontId="9" fillId="0" borderId="19" xfId="0" applyNumberFormat="1" applyFont="1" applyBorder="1" applyAlignment="1">
      <alignment horizontal="center"/>
    </xf>
    <xf numFmtId="0" fontId="18" fillId="2" borderId="25" xfId="0" applyFont="1" applyFill="1" applyBorder="1" applyAlignment="1">
      <alignment horizontal="right"/>
    </xf>
    <xf numFmtId="3" fontId="9" fillId="5" borderId="19" xfId="0" applyNumberFormat="1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 vertical="center" wrapText="1"/>
    </xf>
    <xf numFmtId="3" fontId="9" fillId="5" borderId="19" xfId="0" applyNumberFormat="1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5" fillId="3" borderId="27" xfId="0" applyFont="1" applyFill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/>
    </xf>
    <xf numFmtId="0" fontId="15" fillId="3" borderId="2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1" fillId="0" borderId="30" xfId="0" applyFont="1" applyBorder="1"/>
    <xf numFmtId="0" fontId="9" fillId="0" borderId="31" xfId="0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5" fontId="9" fillId="0" borderId="33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0" fontId="21" fillId="0" borderId="36" xfId="0" applyFont="1" applyBorder="1"/>
    <xf numFmtId="0" fontId="9" fillId="0" borderId="24" xfId="0" applyFont="1" applyBorder="1" applyAlignment="1"/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9" fillId="0" borderId="19" xfId="0" applyFont="1" applyBorder="1" applyAlignment="1"/>
    <xf numFmtId="164" fontId="9" fillId="0" borderId="37" xfId="0" applyNumberFormat="1" applyFont="1" applyBorder="1" applyAlignment="1">
      <alignment horizontal="center"/>
    </xf>
    <xf numFmtId="0" fontId="9" fillId="0" borderId="1" xfId="0" applyFont="1" applyBorder="1" applyAlignment="1"/>
    <xf numFmtId="165" fontId="9" fillId="0" borderId="38" xfId="0" applyNumberFormat="1" applyFont="1" applyBorder="1" applyAlignment="1">
      <alignment horizontal="center"/>
    </xf>
    <xf numFmtId="1" fontId="14" fillId="2" borderId="24" xfId="0" applyNumberFormat="1" applyFont="1" applyFill="1" applyBorder="1" applyAlignment="1"/>
    <xf numFmtId="3" fontId="9" fillId="0" borderId="38" xfId="0" applyNumberFormat="1" applyFont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3" fontId="9" fillId="0" borderId="39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2" borderId="19" xfId="0" applyFont="1" applyFill="1" applyBorder="1" applyAlignment="1"/>
    <xf numFmtId="0" fontId="9" fillId="2" borderId="19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21" fillId="0" borderId="36" xfId="0" applyFont="1" applyBorder="1" applyAlignment="1"/>
    <xf numFmtId="166" fontId="9" fillId="0" borderId="1" xfId="0" applyNumberFormat="1" applyFont="1" applyBorder="1" applyAlignment="1">
      <alignment horizontal="center"/>
    </xf>
    <xf numFmtId="3" fontId="9" fillId="2" borderId="19" xfId="0" applyNumberFormat="1" applyFont="1" applyFill="1" applyBorder="1" applyAlignment="1">
      <alignment horizontal="center"/>
    </xf>
    <xf numFmtId="3" fontId="9" fillId="2" borderId="19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8" fontId="23" fillId="4" borderId="19" xfId="0" applyNumberFormat="1" applyFont="1" applyFill="1" applyBorder="1" applyAlignment="1">
      <alignment horizontal="center"/>
    </xf>
    <xf numFmtId="166" fontId="9" fillId="0" borderId="19" xfId="0" applyNumberFormat="1" applyFont="1" applyBorder="1" applyAlignment="1"/>
    <xf numFmtId="1" fontId="9" fillId="0" borderId="0" xfId="0" applyNumberFormat="1" applyFont="1" applyAlignment="1"/>
    <xf numFmtId="1" fontId="9" fillId="0" borderId="3" xfId="0" applyNumberFormat="1" applyFont="1" applyBorder="1" applyAlignment="1">
      <alignment horizontal="center"/>
    </xf>
    <xf numFmtId="8" fontId="23" fillId="4" borderId="19" xfId="0" applyNumberFormat="1" applyFont="1" applyFill="1" applyBorder="1" applyAlignment="1">
      <alignment horizontal="center"/>
    </xf>
    <xf numFmtId="8" fontId="23" fillId="4" borderId="1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166" fontId="9" fillId="0" borderId="3" xfId="0" applyNumberFormat="1" applyFont="1" applyBorder="1" applyAlignment="1">
      <alignment horizontal="center"/>
    </xf>
    <xf numFmtId="3" fontId="9" fillId="0" borderId="19" xfId="0" applyNumberFormat="1" applyFont="1" applyBorder="1" applyAlignment="1"/>
    <xf numFmtId="3" fontId="12" fillId="0" borderId="19" xfId="0" applyNumberFormat="1" applyFont="1" applyBorder="1" applyAlignment="1">
      <alignment horizontal="center" wrapText="1"/>
    </xf>
    <xf numFmtId="3" fontId="9" fillId="5" borderId="19" xfId="0" applyNumberFormat="1" applyFont="1" applyFill="1" applyBorder="1" applyAlignment="1">
      <alignment horizontal="center" wrapText="1"/>
    </xf>
    <xf numFmtId="3" fontId="9" fillId="5" borderId="19" xfId="0" applyNumberFormat="1" applyFont="1" applyFill="1" applyBorder="1" applyAlignment="1"/>
    <xf numFmtId="0" fontId="12" fillId="0" borderId="19" xfId="0" applyFont="1" applyBorder="1" applyAlignment="1">
      <alignment horizontal="center" wrapText="1"/>
    </xf>
    <xf numFmtId="0" fontId="9" fillId="5" borderId="19" xfId="0" applyFont="1" applyFill="1" applyBorder="1" applyAlignment="1"/>
    <xf numFmtId="0" fontId="9" fillId="5" borderId="19" xfId="0" applyFont="1" applyFill="1" applyBorder="1" applyAlignment="1">
      <alignment horizontal="center" wrapText="1"/>
    </xf>
    <xf numFmtId="0" fontId="12" fillId="5" borderId="19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3" fontId="12" fillId="0" borderId="19" xfId="0" applyNumberFormat="1" applyFont="1" applyBorder="1" applyAlignment="1">
      <alignment horizontal="center" wrapText="1"/>
    </xf>
    <xf numFmtId="3" fontId="12" fillId="0" borderId="19" xfId="0" applyNumberFormat="1" applyFont="1" applyBorder="1" applyAlignment="1">
      <alignment horizontal="center" wrapText="1"/>
    </xf>
    <xf numFmtId="3" fontId="12" fillId="5" borderId="19" xfId="0" applyNumberFormat="1" applyFont="1" applyFill="1" applyBorder="1" applyAlignment="1">
      <alignment horizontal="center" wrapText="1"/>
    </xf>
    <xf numFmtId="3" fontId="12" fillId="5" borderId="19" xfId="0" applyNumberFormat="1" applyFont="1" applyFill="1" applyBorder="1" applyAlignment="1">
      <alignment horizontal="center" wrapText="1"/>
    </xf>
    <xf numFmtId="3" fontId="24" fillId="0" borderId="19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0" fontId="23" fillId="4" borderId="19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8" fontId="9" fillId="0" borderId="19" xfId="0" applyNumberFormat="1" applyFont="1" applyBorder="1" applyAlignment="1">
      <alignment horizontal="center"/>
    </xf>
    <xf numFmtId="8" fontId="9" fillId="0" borderId="19" xfId="0" applyNumberFormat="1" applyFont="1" applyBorder="1" applyAlignment="1">
      <alignment horizontal="center"/>
    </xf>
    <xf numFmtId="167" fontId="9" fillId="0" borderId="19" xfId="0" applyNumberFormat="1" applyFont="1" applyBorder="1" applyAlignment="1">
      <alignment horizontal="center"/>
    </xf>
    <xf numFmtId="8" fontId="9" fillId="0" borderId="1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/>
    <xf numFmtId="0" fontId="9" fillId="0" borderId="3" xfId="0" applyFont="1" applyBorder="1" applyAlignment="1"/>
    <xf numFmtId="0" fontId="9" fillId="0" borderId="19" xfId="0" applyFont="1" applyBorder="1" applyAlignment="1">
      <alignment wrapText="1"/>
    </xf>
    <xf numFmtId="0" fontId="9" fillId="0" borderId="19" xfId="0" applyFont="1" applyBorder="1" applyAlignment="1"/>
    <xf numFmtId="0" fontId="9" fillId="5" borderId="19" xfId="0" applyFont="1" applyFill="1" applyBorder="1" applyAlignment="1"/>
    <xf numFmtId="164" fontId="9" fillId="0" borderId="19" xfId="0" applyNumberFormat="1" applyFont="1" applyBorder="1" applyAlignment="1"/>
    <xf numFmtId="0" fontId="9" fillId="0" borderId="19" xfId="0" applyFont="1" applyBorder="1" applyAlignment="1">
      <alignment horizontal="right"/>
    </xf>
    <xf numFmtId="9" fontId="9" fillId="5" borderId="19" xfId="0" applyNumberFormat="1" applyFont="1" applyFill="1" applyBorder="1" applyAlignment="1">
      <alignment horizontal="center"/>
    </xf>
    <xf numFmtId="0" fontId="11" fillId="0" borderId="19" xfId="0" applyFont="1" applyBorder="1"/>
    <xf numFmtId="1" fontId="9" fillId="0" borderId="19" xfId="0" applyNumberFormat="1" applyFont="1" applyBorder="1" applyAlignment="1"/>
    <xf numFmtId="0" fontId="9" fillId="0" borderId="3" xfId="0" applyFont="1" applyBorder="1" applyAlignment="1">
      <alignment horizontal="center"/>
    </xf>
    <xf numFmtId="2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left"/>
    </xf>
    <xf numFmtId="0" fontId="9" fillId="2" borderId="24" xfId="0" applyFont="1" applyFill="1" applyBorder="1" applyAlignment="1"/>
    <xf numFmtId="0" fontId="21" fillId="0" borderId="36" xfId="0" applyFont="1" applyBorder="1" applyAlignment="1">
      <alignment horizontal="left"/>
    </xf>
    <xf numFmtId="164" fontId="9" fillId="0" borderId="3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4" fillId="0" borderId="24" xfId="0" applyFont="1" applyBorder="1" applyAlignment="1"/>
    <xf numFmtId="3" fontId="9" fillId="5" borderId="19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right" vertical="center" wrapText="1"/>
    </xf>
    <xf numFmtId="0" fontId="15" fillId="3" borderId="24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1" fillId="0" borderId="24" xfId="0" applyFont="1" applyBorder="1" applyAlignment="1"/>
    <xf numFmtId="0" fontId="25" fillId="0" borderId="19" xfId="0" applyFont="1" applyBorder="1" applyAlignment="1">
      <alignment horizontal="center"/>
    </xf>
    <xf numFmtId="168" fontId="9" fillId="0" borderId="0" xfId="0" applyNumberFormat="1" applyFont="1" applyAlignment="1"/>
    <xf numFmtId="0" fontId="25" fillId="0" borderId="1" xfId="0" applyFont="1" applyBorder="1" applyAlignment="1">
      <alignment horizontal="center"/>
    </xf>
    <xf numFmtId="0" fontId="22" fillId="0" borderId="0" xfId="0" applyFont="1"/>
    <xf numFmtId="0" fontId="25" fillId="0" borderId="3" xfId="0" applyFont="1" applyBorder="1" applyAlignment="1">
      <alignment horizontal="right"/>
    </xf>
    <xf numFmtId="0" fontId="25" fillId="0" borderId="19" xfId="0" applyFont="1" applyBorder="1" applyAlignment="1"/>
    <xf numFmtId="0" fontId="22" fillId="0" borderId="19" xfId="0" applyFont="1" applyBorder="1" applyAlignment="1">
      <alignment horizontal="center"/>
    </xf>
    <xf numFmtId="165" fontId="22" fillId="0" borderId="19" xfId="0" applyNumberFormat="1" applyFont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center"/>
    </xf>
    <xf numFmtId="9" fontId="22" fillId="0" borderId="19" xfId="0" applyNumberFormat="1" applyFont="1" applyBorder="1" applyAlignment="1">
      <alignment horizontal="center"/>
    </xf>
    <xf numFmtId="9" fontId="22" fillId="0" borderId="1" xfId="0" applyNumberFormat="1" applyFont="1" applyBorder="1" applyAlignment="1">
      <alignment horizontal="center"/>
    </xf>
    <xf numFmtId="0" fontId="22" fillId="0" borderId="19" xfId="0" applyFont="1" applyBorder="1" applyAlignment="1"/>
    <xf numFmtId="0" fontId="22" fillId="0" borderId="19" xfId="0" applyFont="1" applyBorder="1" applyAlignment="1">
      <alignment horizontal="right"/>
    </xf>
    <xf numFmtId="0" fontId="22" fillId="0" borderId="1" xfId="0" applyFont="1" applyBorder="1" applyAlignment="1"/>
    <xf numFmtId="0" fontId="25" fillId="0" borderId="3" xfId="0" applyFont="1" applyBorder="1" applyAlignment="1"/>
    <xf numFmtId="0" fontId="26" fillId="0" borderId="19" xfId="0" applyFont="1" applyBorder="1" applyAlignment="1"/>
    <xf numFmtId="0" fontId="26" fillId="0" borderId="19" xfId="0" applyFont="1" applyBorder="1" applyAlignment="1">
      <alignment horizontal="right"/>
    </xf>
    <xf numFmtId="0" fontId="26" fillId="0" borderId="40" xfId="0" applyFont="1" applyBorder="1" applyAlignment="1">
      <alignment horizontal="right"/>
    </xf>
    <xf numFmtId="0" fontId="14" fillId="0" borderId="0" xfId="0" applyFont="1"/>
    <xf numFmtId="0" fontId="25" fillId="0" borderId="0" xfId="0" applyFont="1"/>
    <xf numFmtId="0" fontId="25" fillId="0" borderId="41" xfId="0" applyFont="1" applyBorder="1" applyAlignment="1"/>
    <xf numFmtId="0" fontId="25" fillId="0" borderId="42" xfId="0" applyFont="1" applyBorder="1" applyAlignment="1"/>
    <xf numFmtId="0" fontId="22" fillId="0" borderId="42" xfId="0" applyFont="1" applyBorder="1" applyAlignment="1">
      <alignment horizontal="center"/>
    </xf>
    <xf numFmtId="165" fontId="22" fillId="0" borderId="42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4" fontId="22" fillId="0" borderId="42" xfId="0" applyNumberFormat="1" applyFont="1" applyBorder="1" applyAlignment="1">
      <alignment horizontal="center"/>
    </xf>
    <xf numFmtId="9" fontId="22" fillId="0" borderId="42" xfId="0" applyNumberFormat="1" applyFont="1" applyBorder="1" applyAlignment="1">
      <alignment horizontal="center"/>
    </xf>
    <xf numFmtId="9" fontId="22" fillId="0" borderId="43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1" fillId="0" borderId="24" xfId="0" applyFont="1" applyBorder="1" applyAlignment="1"/>
    <xf numFmtId="166" fontId="21" fillId="0" borderId="24" xfId="0" applyNumberFormat="1" applyFont="1" applyBorder="1" applyAlignment="1"/>
    <xf numFmtId="3" fontId="9" fillId="0" borderId="3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9" fontId="9" fillId="0" borderId="3" xfId="0" applyNumberFormat="1" applyFont="1" applyBorder="1" applyAlignment="1">
      <alignment horizontal="center"/>
    </xf>
    <xf numFmtId="9" fontId="9" fillId="0" borderId="19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21" fillId="0" borderId="44" xfId="0" applyFont="1" applyBorder="1" applyAlignment="1"/>
    <xf numFmtId="164" fontId="9" fillId="0" borderId="41" xfId="0" applyNumberFormat="1" applyFont="1" applyBorder="1" applyAlignment="1">
      <alignment horizontal="center"/>
    </xf>
    <xf numFmtId="164" fontId="9" fillId="0" borderId="42" xfId="0" applyNumberFormat="1" applyFont="1" applyBorder="1" applyAlignment="1">
      <alignment horizontal="center"/>
    </xf>
    <xf numFmtId="164" fontId="9" fillId="0" borderId="43" xfId="0" applyNumberFormat="1" applyFont="1" applyBorder="1" applyAlignment="1">
      <alignment horizontal="center"/>
    </xf>
    <xf numFmtId="0" fontId="9" fillId="0" borderId="0" xfId="0" applyFont="1" applyAlignment="1"/>
    <xf numFmtId="0" fontId="21" fillId="0" borderId="0" xfId="0" applyFont="1" applyAlignment="1"/>
    <xf numFmtId="164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164" fontId="9" fillId="0" borderId="0" xfId="0" applyNumberFormat="1" applyFont="1" applyAlignment="1"/>
    <xf numFmtId="0" fontId="9" fillId="0" borderId="41" xfId="0" applyFont="1" applyBorder="1" applyAlignment="1"/>
    <xf numFmtId="0" fontId="9" fillId="0" borderId="42" xfId="0" applyFont="1" applyBorder="1" applyAlignment="1"/>
    <xf numFmtId="0" fontId="9" fillId="0" borderId="43" xfId="0" applyFont="1" applyBorder="1" applyAlignment="1"/>
    <xf numFmtId="0" fontId="28" fillId="0" borderId="8" xfId="1" applyFont="1" applyAlignment="1"/>
    <xf numFmtId="0" fontId="30" fillId="0" borderId="8" xfId="1" applyFont="1" applyAlignment="1"/>
    <xf numFmtId="0" fontId="31" fillId="0" borderId="8" xfId="1" applyFont="1" applyAlignment="1"/>
    <xf numFmtId="0" fontId="32" fillId="0" borderId="8" xfId="1" applyFont="1" applyAlignment="1"/>
    <xf numFmtId="0" fontId="32" fillId="0" borderId="8" xfId="1" applyFont="1" applyAlignment="1">
      <alignment horizontal="left" indent="2"/>
    </xf>
    <xf numFmtId="0" fontId="34" fillId="0" borderId="8" xfId="1" applyFont="1" applyAlignment="1"/>
    <xf numFmtId="0" fontId="35" fillId="4" borderId="45" xfId="1" applyFont="1" applyFill="1" applyBorder="1" applyAlignment="1">
      <alignment vertical="center"/>
    </xf>
    <xf numFmtId="0" fontId="5" fillId="4" borderId="8" xfId="2" applyFont="1" applyFill="1" applyBorder="1" applyAlignment="1">
      <alignment vertical="center"/>
    </xf>
    <xf numFmtId="0" fontId="36" fillId="4" borderId="45" xfId="1" applyFont="1" applyFill="1" applyBorder="1" applyAlignment="1">
      <alignment vertical="center"/>
    </xf>
    <xf numFmtId="0" fontId="37" fillId="4" borderId="8" xfId="1" applyFont="1" applyFill="1" applyBorder="1" applyAlignment="1">
      <alignment vertical="center"/>
    </xf>
    <xf numFmtId="0" fontId="19" fillId="5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20" fillId="0" borderId="29" xfId="0" applyFont="1" applyBorder="1" applyAlignment="1">
      <alignment horizontal="center"/>
    </xf>
    <xf numFmtId="0" fontId="20" fillId="0" borderId="35" xfId="0" applyFont="1" applyBorder="1" applyAlignment="1">
      <alignment horizontal="center"/>
    </xf>
  </cellXfs>
  <cellStyles count="3">
    <cellStyle name="Normal" xfId="0" builtinId="0"/>
    <cellStyle name="Normal 2" xfId="1" xr:uid="{AF78D6E0-1F3C-CA47-97BB-AAE4BDD78885}"/>
    <cellStyle name="Normal 3" xfId="2" xr:uid="{05CD3446-056C-7C40-B5C8-3C09352D08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174625</xdr:colOff>
      <xdr:row>0</xdr:row>
      <xdr:rowOff>12700</xdr:rowOff>
    </xdr:from>
    <xdr:ext cx="647700" cy="39052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146B6CA8-0801-E748-9F31-304AF8AA359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625" y="12700"/>
          <a:ext cx="647700" cy="390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Z1008"/>
  <sheetViews>
    <sheetView tabSelected="1" workbookViewId="0">
      <pane ySplit="8" topLeftCell="A20" activePane="bottomLeft" state="frozen"/>
      <selection pane="bottomLeft" activeCell="A8" sqref="A8:A63"/>
    </sheetView>
  </sheetViews>
  <sheetFormatPr baseColWidth="10" defaultColWidth="11.1640625" defaultRowHeight="15" customHeight="1"/>
  <cols>
    <col min="1" max="1" width="7.1640625" customWidth="1"/>
    <col min="2" max="2" width="22.6640625" customWidth="1"/>
    <col min="3" max="14" width="19.6640625" customWidth="1"/>
    <col min="15" max="26" width="11" customWidth="1"/>
  </cols>
  <sheetData>
    <row r="1" spans="1:26" ht="44" customHeight="1">
      <c r="A1" s="1"/>
      <c r="B1" s="3" t="s">
        <v>0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7"/>
    </row>
    <row r="2" spans="1:26" ht="15.75" customHeight="1">
      <c r="A2" s="9" t="s">
        <v>2</v>
      </c>
      <c r="B2" s="21"/>
      <c r="C2" s="21"/>
      <c r="D2" s="21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.75" customHeight="1">
      <c r="A3" s="25"/>
      <c r="B3" s="29"/>
      <c r="C3" s="31"/>
      <c r="D3" s="29"/>
      <c r="E3" s="29"/>
      <c r="F3" s="29"/>
      <c r="G3" s="29"/>
      <c r="H3" s="29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33"/>
    </row>
    <row r="4" spans="1:26" ht="15.75" customHeight="1">
      <c r="A4" s="25"/>
      <c r="B4" s="36" t="s">
        <v>61</v>
      </c>
      <c r="C4" s="38" t="s">
        <v>62</v>
      </c>
      <c r="D4" s="38" t="s">
        <v>63</v>
      </c>
      <c r="E4" s="41"/>
      <c r="F4" s="42"/>
      <c r="G4" s="43"/>
      <c r="H4" s="4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33"/>
    </row>
    <row r="5" spans="1:26" ht="15.75" customHeight="1">
      <c r="A5" s="25"/>
      <c r="B5" s="46" t="s">
        <v>65</v>
      </c>
      <c r="C5" s="48">
        <v>4</v>
      </c>
      <c r="D5" s="52" t="s">
        <v>68</v>
      </c>
      <c r="E5" s="57"/>
      <c r="F5" s="52"/>
      <c r="G5" s="58"/>
      <c r="H5" s="4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33"/>
    </row>
    <row r="6" spans="1:26" ht="15.75" customHeight="1">
      <c r="A6" s="25"/>
      <c r="B6" s="25"/>
      <c r="C6" s="3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33"/>
    </row>
    <row r="7" spans="1:26" ht="15.75" hidden="1" customHeight="1">
      <c r="A7" s="60"/>
      <c r="B7" s="64" t="s">
        <v>136</v>
      </c>
      <c r="C7" s="65"/>
      <c r="D7" s="65">
        <v>2</v>
      </c>
      <c r="E7" s="65">
        <v>17</v>
      </c>
      <c r="F7" s="69">
        <v>24</v>
      </c>
      <c r="G7" s="69">
        <v>25</v>
      </c>
      <c r="H7" s="69">
        <v>19</v>
      </c>
      <c r="I7" s="72">
        <v>30</v>
      </c>
      <c r="J7" s="72">
        <v>31</v>
      </c>
      <c r="K7" s="72">
        <v>27</v>
      </c>
      <c r="L7" s="72">
        <v>28</v>
      </c>
      <c r="M7" s="72">
        <v>25</v>
      </c>
      <c r="N7" s="74">
        <v>26</v>
      </c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s="253" customFormat="1" ht="28">
      <c r="A8" s="76" t="s">
        <v>144</v>
      </c>
      <c r="B8" s="79" t="s">
        <v>146</v>
      </c>
      <c r="C8" s="79" t="s">
        <v>147</v>
      </c>
      <c r="D8" s="79" t="s">
        <v>148</v>
      </c>
      <c r="E8" s="79" t="s">
        <v>149</v>
      </c>
      <c r="F8" s="79" t="s">
        <v>150</v>
      </c>
      <c r="G8" s="79" t="s">
        <v>151</v>
      </c>
      <c r="H8" s="79" t="s">
        <v>152</v>
      </c>
      <c r="I8" s="79" t="str">
        <f>Inputs!B60</f>
        <v>Bet/Chips (Default bet)</v>
      </c>
      <c r="J8" s="79" t="str">
        <f>Inputs!B61</f>
        <v>Bet/Chips (Minimum Bet)</v>
      </c>
      <c r="K8" s="79" t="s">
        <v>153</v>
      </c>
      <c r="L8" s="79" t="s">
        <v>154</v>
      </c>
      <c r="M8" s="79" t="s">
        <v>155</v>
      </c>
      <c r="N8" s="81" t="s">
        <v>156</v>
      </c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</row>
    <row r="9" spans="1:26" ht="15.75" customHeight="1">
      <c r="A9" s="254">
        <v>1</v>
      </c>
      <c r="B9" s="84" t="s">
        <v>6</v>
      </c>
      <c r="C9" s="85" t="s">
        <v>158</v>
      </c>
      <c r="D9" s="86">
        <f>HLOOKUP($B9,Inputs!$B$31:$BZ$68,D$7,FALSE)</f>
        <v>5.7055555555555557</v>
      </c>
      <c r="E9" s="87">
        <f>HLOOKUP($B9,Inputs!$B$31:$BZ$68,E$7,FALSE)</f>
        <v>1.5433333333333332</v>
      </c>
      <c r="F9" s="89">
        <f>HLOOKUP($B9,Inputs!$B$31:$BZ$68,F$7,FALSE)</f>
        <v>1026.0000000000002</v>
      </c>
      <c r="G9" s="89">
        <f>HLOOKUP($B9,Inputs!$B$31:$BZ$68,G$7,FALSE)</f>
        <v>102699.00000000003</v>
      </c>
      <c r="H9" s="89">
        <f>HLOOKUP($B9,Inputs!$B$31:$BZ$68,H$7,FALSE)</f>
        <v>1800000</v>
      </c>
      <c r="I9" s="89">
        <f>HLOOKUP($B9,Inputs!$B$31:$BZ$68,I$7,FALSE)</f>
        <v>100</v>
      </c>
      <c r="J9" s="89">
        <f>HLOOKUP($B9,Inputs!$B$31:$BZ$68,J$7,FALSE)</f>
        <v>10000</v>
      </c>
      <c r="K9" s="89">
        <f>HLOOKUP($B9,Inputs!$B$31:$BZ$68,K$7,FALSE)</f>
        <v>359.99999999999966</v>
      </c>
      <c r="L9" s="89">
        <f>HLOOKUP($B9,Inputs!$B$31:$BZ$68,L$7,FALSE)</f>
        <v>35999.999999999971</v>
      </c>
      <c r="M9" s="89">
        <f>HLOOKUP($B9,Inputs!$B$4:$BZ$29,M$7,FALSE)</f>
        <v>100000</v>
      </c>
      <c r="N9" s="92">
        <f>HLOOKUP($B9,Inputs!$B$4:$BZ$29,N$7,FALSE)</f>
        <v>1000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33"/>
    </row>
    <row r="10" spans="1:26" ht="15.75" customHeight="1">
      <c r="A10" s="255">
        <v>2</v>
      </c>
      <c r="B10" s="93" t="s">
        <v>7</v>
      </c>
      <c r="C10" s="96" t="s">
        <v>158</v>
      </c>
      <c r="D10" s="98">
        <f>HLOOKUP($B10,Inputs!$B$31:$BZ$68,D$7,FALSE)</f>
        <v>8</v>
      </c>
      <c r="E10" s="100">
        <f>HLOOKUP($B10,Inputs!$B$31:$BZ$68,E$7,FALSE)</f>
        <v>1.4239999999999999</v>
      </c>
      <c r="F10" s="102">
        <f>HLOOKUP($B10,Inputs!$B$31:$BZ$68,F$7,FALSE)</f>
        <v>999.00000000000023</v>
      </c>
      <c r="G10" s="102">
        <f>HLOOKUP($B10,Inputs!$B$31:$BZ$68,G$7,FALSE)</f>
        <v>999.00000000000023</v>
      </c>
      <c r="H10" s="102">
        <f>HLOOKUP($B10,Inputs!$B$31:$BZ$68,H$7,FALSE)</f>
        <v>125000</v>
      </c>
      <c r="I10" s="102">
        <f>HLOOKUP($B10,Inputs!$B$31:$BZ$68,I$7,FALSE)</f>
        <v>100</v>
      </c>
      <c r="J10" s="102">
        <f>HLOOKUP($B10,Inputs!$B$31:$BZ$68,J$7,FALSE)</f>
        <v>100</v>
      </c>
      <c r="K10" s="102">
        <f>HLOOKUP($B10,Inputs!$B$31:$BZ$68,K$7,FALSE)</f>
        <v>249.99999999999977</v>
      </c>
      <c r="L10" s="102">
        <f>HLOOKUP($B10,Inputs!$B$31:$BZ$68,L$7,FALSE)</f>
        <v>249.99999999999977</v>
      </c>
      <c r="M10" s="102">
        <f>HLOOKUP($B10,Inputs!$B$4:$BZ$29,M$7,FALSE)</f>
        <v>10000</v>
      </c>
      <c r="N10" s="106">
        <f>HLOOKUP($B10,Inputs!$B$4:$BZ$29,N$7,FALSE)</f>
        <v>10000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3"/>
    </row>
    <row r="11" spans="1:26" ht="15.75" customHeight="1">
      <c r="A11" s="255">
        <v>3</v>
      </c>
      <c r="B11" s="93" t="s">
        <v>8</v>
      </c>
      <c r="C11" s="96" t="s">
        <v>158</v>
      </c>
      <c r="D11" s="98">
        <f>HLOOKUP($B11,Inputs!$B$31:$BZ$68,D$7,FALSE)</f>
        <v>9.0909090909090917</v>
      </c>
      <c r="E11" s="100">
        <f>HLOOKUP($B11,Inputs!$B$31:$BZ$68,E$7,FALSE)</f>
        <v>6.2736363636363635</v>
      </c>
      <c r="F11" s="102">
        <f>HLOOKUP($B11,Inputs!$B$31:$BZ$68,F$7,FALSE)</f>
        <v>1599.0000000000005</v>
      </c>
      <c r="G11" s="102">
        <f>HLOOKUP($B11,Inputs!$B$31:$BZ$68,G$7,FALSE)</f>
        <v>1599.0000000000005</v>
      </c>
      <c r="H11" s="102">
        <f>HLOOKUP($B11,Inputs!$B$31:$BZ$68,H$7,FALSE)</f>
        <v>11000</v>
      </c>
      <c r="I11" s="102">
        <f>HLOOKUP($B11,Inputs!$B$31:$BZ$68,I$7,FALSE)</f>
        <v>160</v>
      </c>
      <c r="J11" s="102">
        <f>HLOOKUP($B11,Inputs!$B$31:$BZ$68,J$7,FALSE)</f>
        <v>160</v>
      </c>
      <c r="K11" s="102">
        <f>HLOOKUP($B11,Inputs!$B$31:$BZ$68,K$7,FALSE)</f>
        <v>351.99999999999972</v>
      </c>
      <c r="L11" s="102">
        <f>HLOOKUP($B11,Inputs!$B$31:$BZ$68,L$7,FALSE)</f>
        <v>351.99999999999972</v>
      </c>
      <c r="M11" s="102">
        <f>HLOOKUP($B11,Inputs!$B$4:$BZ$29,M$7,FALSE)</f>
        <v>625</v>
      </c>
      <c r="N11" s="106">
        <f>HLOOKUP($B11,Inputs!$B$4:$BZ$29,N$7,FALSE)</f>
        <v>625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33"/>
    </row>
    <row r="12" spans="1:26" ht="15.75" customHeight="1">
      <c r="A12" s="255">
        <v>4</v>
      </c>
      <c r="B12" s="93" t="s">
        <v>9</v>
      </c>
      <c r="C12" s="96" t="s">
        <v>158</v>
      </c>
      <c r="D12" s="98">
        <f>HLOOKUP($B12,Inputs!$B$31:$BZ$68,D$7,FALSE)</f>
        <v>1.0964912280701755</v>
      </c>
      <c r="E12" s="100">
        <f>HLOOKUP($B12,Inputs!$B$31:$BZ$68,E$7,FALSE)</f>
        <v>2.9973684210526317</v>
      </c>
      <c r="F12" s="102">
        <f>HLOOKUP($B12,Inputs!$B$31:$BZ$68,F$7,FALSE)</f>
        <v>311.50000000000006</v>
      </c>
      <c r="G12" s="102">
        <f>HLOOKUP($B12,Inputs!$B$31:$BZ$68,G$7,FALSE)</f>
        <v>3124.0000000000009</v>
      </c>
      <c r="H12" s="102">
        <f>HLOOKUP($B12,Inputs!$B$31:$BZ$68,H$7,FALSE)</f>
        <v>11400</v>
      </c>
      <c r="I12" s="102">
        <f>HLOOKUP($B12,Inputs!$B$31:$BZ$68,I$7,FALSE)</f>
        <v>31.25</v>
      </c>
      <c r="J12" s="102">
        <f>HLOOKUP($B12,Inputs!$B$31:$BZ$68,J$7,FALSE)</f>
        <v>312.5</v>
      </c>
      <c r="K12" s="102">
        <f>HLOOKUP($B12,Inputs!$B$31:$BZ$68,K$7,FALSE)</f>
        <v>569.99999999999955</v>
      </c>
      <c r="L12" s="102">
        <f>HLOOKUP($B12,Inputs!$B$31:$BZ$68,L$7,FALSE)</f>
        <v>5699.9999999999945</v>
      </c>
      <c r="M12" s="102">
        <f>HLOOKUP($B12,Inputs!$B$4:$BZ$29,M$7,FALSE)</f>
        <v>400</v>
      </c>
      <c r="N12" s="106">
        <f>HLOOKUP($B12,Inputs!$B$4:$BZ$29,N$7,FALSE)</f>
        <v>40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33"/>
    </row>
    <row r="13" spans="1:26" ht="15.75" customHeight="1">
      <c r="A13" s="255">
        <v>6</v>
      </c>
      <c r="B13" s="93" t="s">
        <v>10</v>
      </c>
      <c r="C13" s="96" t="s">
        <v>158</v>
      </c>
      <c r="D13" s="98">
        <f>HLOOKUP($B13,Inputs!$B$31:$BZ$68,D$7,FALSE)</f>
        <v>20</v>
      </c>
      <c r="E13" s="100">
        <f>HLOOKUP($B13,Inputs!$B$31:$BZ$68,E$7,FALSE)</f>
        <v>0.81799999999999995</v>
      </c>
      <c r="F13" s="102" t="str">
        <f>HLOOKUP($B13,Inputs!$B$31:$BZ$68,F$7,FALSE)</f>
        <v>Choose Bet</v>
      </c>
      <c r="G13" s="102">
        <f>HLOOKUP($B13,Inputs!$B$31:$BZ$68,G$7,FALSE)</f>
        <v>3999.0000000000009</v>
      </c>
      <c r="H13" s="102">
        <f>HLOOKUP($B13,Inputs!$B$31:$BZ$68,H$7,FALSE)</f>
        <v>100000</v>
      </c>
      <c r="I13" s="102" t="str">
        <f>HLOOKUP($B13,Inputs!$B$31:$BZ$68,I$7,FALSE)</f>
        <v>Choose Bet</v>
      </c>
      <c r="J13" s="102">
        <f>HLOOKUP($B13,Inputs!$B$31:$BZ$68,J$7,FALSE)</f>
        <v>400</v>
      </c>
      <c r="K13" s="102" t="str">
        <f>HLOOKUP($B13,Inputs!$B$31:$BZ$68,K$7,FALSE)</f>
        <v>Choose Bet</v>
      </c>
      <c r="L13" s="102">
        <f>HLOOKUP($B13,Inputs!$B$31:$BZ$68,L$7,FALSE)</f>
        <v>399.99999999999966</v>
      </c>
      <c r="M13" s="102" t="str">
        <f>HLOOKUP($B13,Inputs!$B$4:$BZ$29,M$7,FALSE)</f>
        <v>Choose Bet</v>
      </c>
      <c r="N13" s="106">
        <f>HLOOKUP($B13,Inputs!$B$4:$BZ$29,N$7,FALSE)</f>
        <v>5000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33"/>
    </row>
    <row r="14" spans="1:26" ht="15.75" customHeight="1">
      <c r="A14" s="255">
        <v>7</v>
      </c>
      <c r="B14" s="93" t="s">
        <v>11</v>
      </c>
      <c r="C14" s="96" t="s">
        <v>158</v>
      </c>
      <c r="D14" s="98">
        <f>HLOOKUP($B14,Inputs!$B$31:$BZ$68,D$7,FALSE)</f>
        <v>0.25</v>
      </c>
      <c r="E14" s="100">
        <f>HLOOKUP($B14,Inputs!$B$31:$BZ$68,E$7,FALSE)</f>
        <v>0.27666666666666667</v>
      </c>
      <c r="F14" s="102">
        <f>HLOOKUP($B14,Inputs!$B$31:$BZ$68,F$7,FALSE)</f>
        <v>1110.1111111111113</v>
      </c>
      <c r="G14" s="102">
        <f>HLOOKUP($B14,Inputs!$B$31:$BZ$68,G$7,FALSE)</f>
        <v>1110.1111111111113</v>
      </c>
      <c r="H14" s="102">
        <f>HLOOKUP($B14,Inputs!$B$31:$BZ$68,H$7,FALSE)</f>
        <v>4000</v>
      </c>
      <c r="I14" s="102">
        <f>HLOOKUP($B14,Inputs!$B$31:$BZ$68,I$7,FALSE)</f>
        <v>111.11111111111111</v>
      </c>
      <c r="J14" s="102">
        <f>HLOOKUP($B14,Inputs!$B$31:$BZ$68,J$7,FALSE)</f>
        <v>111.11111111111111</v>
      </c>
      <c r="K14" s="102">
        <f>HLOOKUP($B14,Inputs!$B$31:$BZ$68,K$7,FALSE)</f>
        <v>8888.8888888888814</v>
      </c>
      <c r="L14" s="102">
        <f>HLOOKUP($B14,Inputs!$B$31:$BZ$68,L$7,FALSE)</f>
        <v>8888.8888888888814</v>
      </c>
      <c r="M14" s="102">
        <f>HLOOKUP($B14,Inputs!$B$4:$BZ$29,M$7,FALSE)</f>
        <v>9</v>
      </c>
      <c r="N14" s="106">
        <f>HLOOKUP($B14,Inputs!$B$4:$BZ$29,N$7,FALSE)</f>
        <v>9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33"/>
    </row>
    <row r="15" spans="1:26" ht="15.75" customHeight="1">
      <c r="A15" s="255">
        <v>8</v>
      </c>
      <c r="B15" s="120" t="s">
        <v>12</v>
      </c>
      <c r="C15" s="96" t="s">
        <v>158</v>
      </c>
      <c r="D15" s="98">
        <f>HLOOKUP($B15,Inputs!$B$31:$BZ$68,D$7,FALSE)</f>
        <v>3</v>
      </c>
      <c r="E15" s="100">
        <f>HLOOKUP($B15,Inputs!$B$31:$BZ$68,E$7,FALSE)</f>
        <v>0.60119999999999996</v>
      </c>
      <c r="F15" s="102">
        <f>HLOOKUP($B15,Inputs!$B$31:$BZ$68,F$7,FALSE)</f>
        <v>415.66666666666674</v>
      </c>
      <c r="G15" s="102">
        <f>HLOOKUP($B15,Inputs!$B$31:$BZ$68,G$7,FALSE)</f>
        <v>1249.0000000000002</v>
      </c>
      <c r="H15" s="102">
        <f>HLOOKUP($B15,Inputs!$B$31:$BZ$68,H$7,FALSE)</f>
        <v>2000000</v>
      </c>
      <c r="I15" s="102">
        <f>HLOOKUP($B15,Inputs!$B$31:$BZ$68,I$7,FALSE)</f>
        <v>41.666666666666664</v>
      </c>
      <c r="J15" s="102">
        <f>HLOOKUP($B15,Inputs!$B$31:$BZ$68,J$7,FALSE)</f>
        <v>125</v>
      </c>
      <c r="K15" s="102">
        <f>HLOOKUP($B15,Inputs!$B$31:$BZ$68,K$7,FALSE)</f>
        <v>277.77777777777754</v>
      </c>
      <c r="L15" s="102">
        <f>HLOOKUP($B15,Inputs!$B$31:$BZ$68,L$7,FALSE)</f>
        <v>833.33333333333258</v>
      </c>
      <c r="M15" s="102">
        <f>HLOOKUP($B15,Inputs!$B$4:$BZ$29,M$7,FALSE)</f>
        <v>144000</v>
      </c>
      <c r="N15" s="106">
        <f>HLOOKUP($B15,Inputs!$B$4:$BZ$29,N$7,FALSE)</f>
        <v>48000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33"/>
    </row>
    <row r="16" spans="1:26" ht="15.75" customHeight="1">
      <c r="A16" s="255">
        <v>9</v>
      </c>
      <c r="B16" s="93" t="s">
        <v>13</v>
      </c>
      <c r="C16" s="96" t="s">
        <v>158</v>
      </c>
      <c r="D16" s="98">
        <f>HLOOKUP($B16,Inputs!$B$31:$BZ$68,D$7,FALSE)</f>
        <v>3.3333333333333335</v>
      </c>
      <c r="E16" s="100">
        <f>HLOOKUP($B16,Inputs!$B$31:$BZ$68,E$7,FALSE)</f>
        <v>2.4613333333333332</v>
      </c>
      <c r="F16" s="102" t="str">
        <f>HLOOKUP($B16,Inputs!$B$31:$BZ$68,F$7,FALSE)</f>
        <v>Choose Bet</v>
      </c>
      <c r="G16" s="102">
        <f>HLOOKUP($B16,Inputs!$B$31:$BZ$68,G$7,FALSE)</f>
        <v>1665.666666666667</v>
      </c>
      <c r="H16" s="102">
        <f>HLOOKUP($B16,Inputs!$B$31:$BZ$68,H$7,FALSE)</f>
        <v>300000</v>
      </c>
      <c r="I16" s="102" t="str">
        <f>HLOOKUP($B16,Inputs!$B$31:$BZ$68,I$7,FALSE)</f>
        <v>Choose Bet</v>
      </c>
      <c r="J16" s="102">
        <f>HLOOKUP($B16,Inputs!$B$31:$BZ$68,J$7,FALSE)</f>
        <v>166.66666666666666</v>
      </c>
      <c r="K16" s="102" t="str">
        <f>HLOOKUP($B16,Inputs!$B$31:$BZ$68,K$7,FALSE)</f>
        <v>Choose Bet</v>
      </c>
      <c r="L16" s="102">
        <f>HLOOKUP($B16,Inputs!$B$31:$BZ$68,L$7,FALSE)</f>
        <v>999.99999999999909</v>
      </c>
      <c r="M16" s="102" t="str">
        <f>HLOOKUP($B16,Inputs!$B$4:$BZ$29,M$7,FALSE)</f>
        <v>Choose Bet</v>
      </c>
      <c r="N16" s="106">
        <f>HLOOKUP($B16,Inputs!$B$4:$BZ$29,N$7,FALSE)</f>
        <v>6000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33"/>
    </row>
    <row r="17" spans="1:26" ht="15.75" customHeight="1">
      <c r="A17" s="255">
        <v>10</v>
      </c>
      <c r="B17" s="93" t="s">
        <v>14</v>
      </c>
      <c r="C17" s="96" t="s">
        <v>158</v>
      </c>
      <c r="D17" s="98">
        <f>HLOOKUP($B17,Inputs!$B$31:$BZ$68,D$7,FALSE)</f>
        <v>0.40909090909090912</v>
      </c>
      <c r="E17" s="100">
        <f>HLOOKUP($B17,Inputs!$B$31:$BZ$68,E$7,FALSE)</f>
        <v>0.52372727272727271</v>
      </c>
      <c r="F17" s="102">
        <f>HLOOKUP($B17,Inputs!$B$31:$BZ$68,F$7,FALSE)</f>
        <v>899.00000000000023</v>
      </c>
      <c r="G17" s="102">
        <f>HLOOKUP($B17,Inputs!$B$31:$BZ$68,G$7,FALSE)</f>
        <v>4499.0000000000009</v>
      </c>
      <c r="H17" s="102">
        <f>HLOOKUP($B17,Inputs!$B$31:$BZ$68,H$7,FALSE)</f>
        <v>11000000</v>
      </c>
      <c r="I17" s="102">
        <f>HLOOKUP($B17,Inputs!$B$31:$BZ$68,I$7,FALSE)</f>
        <v>90</v>
      </c>
      <c r="J17" s="102">
        <f>HLOOKUP($B17,Inputs!$B$31:$BZ$68,J$7,FALSE)</f>
        <v>450</v>
      </c>
      <c r="K17" s="102">
        <f>HLOOKUP($B17,Inputs!$B$31:$BZ$68,K$7,FALSE)</f>
        <v>4399.9999999999964</v>
      </c>
      <c r="L17" s="102">
        <f>HLOOKUP($B17,Inputs!$B$31:$BZ$68,L$7,FALSE)</f>
        <v>21999.999999999982</v>
      </c>
      <c r="M17" s="102">
        <f>HLOOKUP($B17,Inputs!$B$4:$BZ$29,M$7,FALSE)</f>
        <v>50000</v>
      </c>
      <c r="N17" s="106">
        <f>HLOOKUP($B17,Inputs!$B$4:$BZ$29,N$7,FALSE)</f>
        <v>10000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33"/>
    </row>
    <row r="18" spans="1:26" ht="15.75" customHeight="1">
      <c r="A18" s="255">
        <v>11</v>
      </c>
      <c r="B18" s="93" t="s">
        <v>15</v>
      </c>
      <c r="C18" s="96" t="s">
        <v>158</v>
      </c>
      <c r="D18" s="98">
        <f>HLOOKUP($B18,Inputs!$B$31:$BZ$68,D$7,FALSE)</f>
        <v>16</v>
      </c>
      <c r="E18" s="100">
        <f>HLOOKUP($B18,Inputs!$B$31:$BZ$68,E$7,FALSE)</f>
        <v>11.6</v>
      </c>
      <c r="F18" s="102">
        <f>HLOOKUP($B18,Inputs!$B$31:$BZ$68,F$7,FALSE)</f>
        <v>443.44444444444451</v>
      </c>
      <c r="G18" s="102">
        <f>HLOOKUP($B18,Inputs!$B$31:$BZ$68,G$7,FALSE)</f>
        <v>443.44444444444451</v>
      </c>
      <c r="H18" s="102">
        <f>HLOOKUP($B18,Inputs!$B$31:$BZ$68,H$7,FALSE)</f>
        <v>95000</v>
      </c>
      <c r="I18" s="102">
        <f>HLOOKUP($B18,Inputs!$B$31:$BZ$68,I$7,FALSE)</f>
        <v>44.444444444444443</v>
      </c>
      <c r="J18" s="102">
        <f>HLOOKUP($B18,Inputs!$B$31:$BZ$68,J$7,FALSE)</f>
        <v>44.444444444444443</v>
      </c>
      <c r="K18" s="102">
        <f>HLOOKUP($B18,Inputs!$B$31:$BZ$68,K$7,FALSE)</f>
        <v>55.555555555555507</v>
      </c>
      <c r="L18" s="102">
        <f>HLOOKUP($B18,Inputs!$B$31:$BZ$68,L$7,FALSE)</f>
        <v>55.555555555555507</v>
      </c>
      <c r="M18" s="102">
        <f>HLOOKUP($B18,Inputs!$B$4:$BZ$29,M$7,FALSE)</f>
        <v>34200</v>
      </c>
      <c r="N18" s="106">
        <f>HLOOKUP($B18,Inputs!$B$4:$BZ$29,N$7,FALSE)</f>
        <v>34200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33"/>
    </row>
    <row r="19" spans="1:26" ht="15.75" customHeight="1">
      <c r="A19" s="255">
        <v>12</v>
      </c>
      <c r="B19" s="93" t="s">
        <v>16</v>
      </c>
      <c r="C19" s="96" t="s">
        <v>158</v>
      </c>
      <c r="D19" s="98">
        <f>HLOOKUP($B19,Inputs!$B$31:$BZ$68,D$7,FALSE)</f>
        <v>3.3333333333333335</v>
      </c>
      <c r="E19" s="100">
        <f>HLOOKUP($B19,Inputs!$B$31:$BZ$68,E$7,FALSE)</f>
        <v>0.83933333333333338</v>
      </c>
      <c r="F19" s="102">
        <f>HLOOKUP($B19,Inputs!$B$31:$BZ$68,F$7,FALSE)</f>
        <v>11110.111111111113</v>
      </c>
      <c r="G19" s="102">
        <f>HLOOKUP($B19,Inputs!$B$31:$BZ$68,G$7,FALSE)</f>
        <v>111110.11111111114</v>
      </c>
      <c r="H19" s="102">
        <f>HLOOKUP($B19,Inputs!$B$31:$BZ$68,H$7,FALSE)</f>
        <v>3000</v>
      </c>
      <c r="I19" s="102">
        <f>HLOOKUP($B19,Inputs!$B$31:$BZ$68,I$7,FALSE)</f>
        <v>1111.1111111111111</v>
      </c>
      <c r="J19" s="102">
        <f>HLOOKUP($B19,Inputs!$B$31:$BZ$68,J$7,FALSE)</f>
        <v>11111.111111111111</v>
      </c>
      <c r="K19" s="102">
        <f>HLOOKUP($B19,Inputs!$B$31:$BZ$68,K$7,FALSE)</f>
        <v>6666.6666666666606</v>
      </c>
      <c r="L19" s="102">
        <f>HLOOKUP($B19,Inputs!$B$31:$BZ$68,L$7,FALSE)</f>
        <v>66666.666666666599</v>
      </c>
      <c r="M19" s="102">
        <f>HLOOKUP($B19,Inputs!$B$4:$BZ$29,M$7,FALSE)</f>
        <v>9</v>
      </c>
      <c r="N19" s="106">
        <f>HLOOKUP($B19,Inputs!$B$4:$BZ$29,N$7,FALSE)</f>
        <v>0.9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33"/>
    </row>
    <row r="20" spans="1:26" ht="15.75" customHeight="1">
      <c r="A20" s="255">
        <v>13</v>
      </c>
      <c r="B20" s="93" t="s">
        <v>17</v>
      </c>
      <c r="C20" s="96" t="s">
        <v>158</v>
      </c>
      <c r="D20" s="98">
        <f>HLOOKUP($B20,Inputs!$B$31:$BZ$68,D$7,FALSE)</f>
        <v>1.6666666666666667</v>
      </c>
      <c r="E20" s="100">
        <f>HLOOKUP($B20,Inputs!$B$31:$BZ$68,E$7,FALSE)</f>
        <v>3.8374999999999999</v>
      </c>
      <c r="F20" s="102">
        <f>HLOOKUP($B20,Inputs!$B$31:$BZ$68,F$7,FALSE)</f>
        <v>379.95238095238102</v>
      </c>
      <c r="G20" s="102">
        <f>HLOOKUP($B20,Inputs!$B$31:$BZ$68,G$7,FALSE)</f>
        <v>713.28571428571445</v>
      </c>
      <c r="H20" s="102">
        <f>HLOOKUP($B20,Inputs!$B$31:$BZ$68,H$7,FALSE)</f>
        <v>600000</v>
      </c>
      <c r="I20" s="102">
        <f>HLOOKUP($B20,Inputs!$B$31:$BZ$68,I$7,FALSE)</f>
        <v>38.095238095238095</v>
      </c>
      <c r="J20" s="102">
        <f>HLOOKUP($B20,Inputs!$B$31:$BZ$68,J$7,FALSE)</f>
        <v>71.428571428571431</v>
      </c>
      <c r="K20" s="102">
        <f>HLOOKUP($B20,Inputs!$B$31:$BZ$68,K$7,FALSE)</f>
        <v>457.14285714285677</v>
      </c>
      <c r="L20" s="102">
        <f>HLOOKUP($B20,Inputs!$B$31:$BZ$68,L$7,FALSE)</f>
        <v>857.14285714285631</v>
      </c>
      <c r="M20" s="102">
        <f>HLOOKUP($B20,Inputs!$B$4:$BZ$29,M$7,FALSE)</f>
        <v>26250</v>
      </c>
      <c r="N20" s="106">
        <f>HLOOKUP($B20,Inputs!$B$4:$BZ$29,N$7,FALSE)</f>
        <v>14000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3"/>
    </row>
    <row r="21" spans="1:26" ht="15.75" customHeight="1">
      <c r="A21" s="255">
        <v>14</v>
      </c>
      <c r="B21" s="93" t="s">
        <v>18</v>
      </c>
      <c r="C21" s="96" t="s">
        <v>158</v>
      </c>
      <c r="D21" s="98">
        <f>HLOOKUP($B21,Inputs!$B$31:$BZ$68,D$7,FALSE)</f>
        <v>1.25</v>
      </c>
      <c r="E21" s="100">
        <f>HLOOKUP($B21,Inputs!$B$31:$BZ$68,E$7,FALSE)</f>
        <v>0.32425999999999999</v>
      </c>
      <c r="F21" s="102">
        <f>HLOOKUP($B21,Inputs!$B$31:$BZ$68,F$7,FALSE)</f>
        <v>519.83333333333348</v>
      </c>
      <c r="G21" s="102">
        <f>HLOOKUP($B21,Inputs!$B$31:$BZ$68,G$7,FALSE)</f>
        <v>1542.2098765432102</v>
      </c>
      <c r="H21" s="102">
        <f>HLOOKUP($B21,Inputs!$B$31:$BZ$68,H$7,FALSE)</f>
        <v>1000000</v>
      </c>
      <c r="I21" s="102">
        <f>HLOOKUP($B21,Inputs!$B$31:$BZ$68,I$7,FALSE)</f>
        <v>52.083333333333336</v>
      </c>
      <c r="J21" s="102">
        <f>HLOOKUP($B21,Inputs!$B$31:$BZ$68,J$7,FALSE)</f>
        <v>154.32098765432099</v>
      </c>
      <c r="K21" s="102">
        <f>HLOOKUP($B21,Inputs!$B$31:$BZ$68,K$7,FALSE)</f>
        <v>833.33333333333258</v>
      </c>
      <c r="L21" s="102">
        <f>HLOOKUP($B21,Inputs!$B$31:$BZ$68,L$7,FALSE)</f>
        <v>2469.1358024691335</v>
      </c>
      <c r="M21" s="102">
        <f>HLOOKUP($B21,Inputs!$B$4:$BZ$29,M$7,FALSE)</f>
        <v>24000</v>
      </c>
      <c r="N21" s="106">
        <f>HLOOKUP($B21,Inputs!$B$4:$BZ$29,N$7,FALSE)</f>
        <v>8100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33"/>
    </row>
    <row r="22" spans="1:26" ht="15.75" customHeight="1">
      <c r="A22" s="255">
        <v>15</v>
      </c>
      <c r="B22" s="93" t="s">
        <v>19</v>
      </c>
      <c r="C22" s="96" t="s">
        <v>158</v>
      </c>
      <c r="D22" s="98">
        <f>HLOOKUP($B22,Inputs!$B$31:$BZ$68,D$7,FALSE)</f>
        <v>1</v>
      </c>
      <c r="E22" s="100">
        <f>HLOOKUP($B22,Inputs!$B$31:$BZ$68,E$7,FALSE)</f>
        <v>0.85158333333333336</v>
      </c>
      <c r="F22" s="102">
        <f>HLOOKUP($B22,Inputs!$B$31:$BZ$68,F$7,FALSE)</f>
        <v>39999.000000000007</v>
      </c>
      <c r="G22" s="102">
        <f>HLOOKUP($B22,Inputs!$B$31:$BZ$68,G$7,FALSE)</f>
        <v>39999.000000000007</v>
      </c>
      <c r="H22" s="102">
        <f>HLOOKUP($B22,Inputs!$B$31:$BZ$68,H$7,FALSE)</f>
        <v>40000</v>
      </c>
      <c r="I22" s="102">
        <f>HLOOKUP($B22,Inputs!$B$31:$BZ$68,I$7,FALSE)</f>
        <v>4000</v>
      </c>
      <c r="J22" s="102">
        <f>HLOOKUP($B22,Inputs!$B$31:$BZ$68,J$7,FALSE)</f>
        <v>4000</v>
      </c>
      <c r="K22" s="102">
        <f>HLOOKUP($B22,Inputs!$B$31:$BZ$68,K$7,FALSE)</f>
        <v>79999.999999999927</v>
      </c>
      <c r="L22" s="102">
        <f>HLOOKUP($B22,Inputs!$B$31:$BZ$68,L$7,FALSE)</f>
        <v>79999.999999999927</v>
      </c>
      <c r="M22" s="102">
        <f>HLOOKUP($B22,Inputs!$B$4:$BZ$29,M$7,FALSE)</f>
        <v>10</v>
      </c>
      <c r="N22" s="106">
        <f>HLOOKUP($B22,Inputs!$B$4:$BZ$29,N$7,FALSE)</f>
        <v>10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33"/>
    </row>
    <row r="23" spans="1:26" ht="15.75" customHeight="1">
      <c r="A23" s="255">
        <v>16</v>
      </c>
      <c r="B23" s="93" t="s">
        <v>20</v>
      </c>
      <c r="C23" s="96" t="s">
        <v>158</v>
      </c>
      <c r="D23" s="98">
        <f>HLOOKUP($B23,Inputs!$B$31:$BZ$68,D$7,FALSE)</f>
        <v>1.5</v>
      </c>
      <c r="E23" s="100">
        <f>HLOOKUP($B23,Inputs!$B$31:$BZ$68,E$7,FALSE)</f>
        <v>5.1383333333333336</v>
      </c>
      <c r="F23" s="102">
        <f>HLOOKUP($B23,Inputs!$B$31:$BZ$68,F$7,FALSE)</f>
        <v>499.00000000000011</v>
      </c>
      <c r="G23" s="102">
        <f>HLOOKUP($B23,Inputs!$B$31:$BZ$68,G$7,FALSE)</f>
        <v>1499.0000000000002</v>
      </c>
      <c r="H23" s="102">
        <f>HLOOKUP($B23,Inputs!$B$31:$BZ$68,H$7,FALSE)</f>
        <v>1200000</v>
      </c>
      <c r="I23" s="102">
        <f>HLOOKUP($B23,Inputs!$B$31:$BZ$68,I$7,FALSE)</f>
        <v>50</v>
      </c>
      <c r="J23" s="102">
        <f>HLOOKUP($B23,Inputs!$B$31:$BZ$68,J$7,FALSE)</f>
        <v>150</v>
      </c>
      <c r="K23" s="102">
        <f>HLOOKUP($B23,Inputs!$B$31:$BZ$68,K$7,FALSE)</f>
        <v>666.66666666666617</v>
      </c>
      <c r="L23" s="102">
        <f>HLOOKUP($B23,Inputs!$B$31:$BZ$68,L$7,FALSE)</f>
        <v>1999.9999999999982</v>
      </c>
      <c r="M23" s="102">
        <f>HLOOKUP($B23,Inputs!$B$4:$BZ$29,M$7,FALSE)</f>
        <v>36000</v>
      </c>
      <c r="N23" s="106">
        <f>HLOOKUP($B23,Inputs!$B$4:$BZ$29,N$7,FALSE)</f>
        <v>12000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3"/>
    </row>
    <row r="24" spans="1:26" ht="15.75" customHeight="1">
      <c r="A24" s="255">
        <v>17</v>
      </c>
      <c r="B24" s="120" t="s">
        <v>21</v>
      </c>
      <c r="C24" s="96" t="s">
        <v>158</v>
      </c>
      <c r="D24" s="98">
        <f>HLOOKUP($B24,Inputs!$B$31:$BZ$68,D$7,FALSE)</f>
        <v>1.0380916666666666</v>
      </c>
      <c r="E24" s="100">
        <f>HLOOKUP($B24,Inputs!$B$31:$BZ$68,E$7,FALSE)</f>
        <v>0.30444000000000004</v>
      </c>
      <c r="F24" s="102">
        <f>HLOOKUP($B24,Inputs!$B$31:$BZ$68,F$7,FALSE)</f>
        <v>414.23666666666674</v>
      </c>
      <c r="G24" s="102">
        <f>HLOOKUP($B24,Inputs!$B$31:$BZ$68,G$7,FALSE)</f>
        <v>414.23666666666674</v>
      </c>
      <c r="H24" s="102">
        <f>HLOOKUP($B24,Inputs!$B$31:$BZ$68,H$7,FALSE)</f>
        <v>240000</v>
      </c>
      <c r="I24" s="102">
        <f>HLOOKUP($B24,Inputs!$B$31:$BZ$68,I$7,FALSE)</f>
        <v>16.666666666666668</v>
      </c>
      <c r="J24" s="102">
        <f>HLOOKUP($B24,Inputs!$B$31:$BZ$68,J$7,FALSE)</f>
        <v>16.666666666666668</v>
      </c>
      <c r="K24" s="102">
        <f>HLOOKUP($B24,Inputs!$B$31:$BZ$68,K$7,FALSE)</f>
        <v>799.99999999999932</v>
      </c>
      <c r="L24" s="102">
        <f>HLOOKUP($B24,Inputs!$B$31:$BZ$68,L$7,FALSE)</f>
        <v>799.99999999999932</v>
      </c>
      <c r="M24" s="102">
        <f>HLOOKUP($B24,Inputs!$B$4:$BZ$29,M$7,FALSE)</f>
        <v>6000</v>
      </c>
      <c r="N24" s="106">
        <f>HLOOKUP($B24,Inputs!$B$4:$BZ$29,N$7,FALSE)</f>
        <v>6000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3"/>
    </row>
    <row r="25" spans="1:26" ht="15.75" customHeight="1">
      <c r="A25" s="255">
        <v>18</v>
      </c>
      <c r="B25" s="93" t="s">
        <v>22</v>
      </c>
      <c r="C25" s="96" t="s">
        <v>158</v>
      </c>
      <c r="D25" s="98">
        <f>HLOOKUP($B25,Inputs!$B$31:$BZ$68,D$7,FALSE)</f>
        <v>6</v>
      </c>
      <c r="E25" s="100">
        <f>HLOOKUP($B25,Inputs!$B$31:$BZ$68,E$7,FALSE)</f>
        <v>3.4128569999999998</v>
      </c>
      <c r="F25" s="102">
        <f>HLOOKUP($B25,Inputs!$B$31:$BZ$68,F$7,FALSE)</f>
        <v>2856.1428571428578</v>
      </c>
      <c r="G25" s="102">
        <f>HLOOKUP($B25,Inputs!$B$31:$BZ$68,G$7,FALSE)</f>
        <v>2856.1428571428578</v>
      </c>
      <c r="H25" s="102">
        <f>HLOOKUP($B25,Inputs!$B$31:$BZ$68,H$7,FALSE)</f>
        <v>1000000</v>
      </c>
      <c r="I25" s="102">
        <f>HLOOKUP($B25,Inputs!$B$31:$BZ$68,I$7,FALSE)</f>
        <v>285.71428571428572</v>
      </c>
      <c r="J25" s="102">
        <f>HLOOKUP($B25,Inputs!$B$31:$BZ$68,J$7,FALSE)</f>
        <v>285.71428571428572</v>
      </c>
      <c r="K25" s="102">
        <f>HLOOKUP($B25,Inputs!$B$31:$BZ$68,K$7,FALSE)</f>
        <v>952.38095238095161</v>
      </c>
      <c r="L25" s="102">
        <f>HLOOKUP($B25,Inputs!$B$31:$BZ$68,L$7,FALSE)</f>
        <v>952.38095238095161</v>
      </c>
      <c r="M25" s="102">
        <f>HLOOKUP($B25,Inputs!$B$4:$BZ$29,M$7,FALSE)</f>
        <v>21000</v>
      </c>
      <c r="N25" s="106">
        <f>HLOOKUP($B25,Inputs!$B$4:$BZ$29,N$7,FALSE)</f>
        <v>21000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3"/>
    </row>
    <row r="26" spans="1:26" ht="15.75" customHeight="1">
      <c r="A26" s="255">
        <v>19</v>
      </c>
      <c r="B26" s="93" t="s">
        <v>23</v>
      </c>
      <c r="C26" s="96" t="s">
        <v>158</v>
      </c>
      <c r="D26" s="98">
        <f>HLOOKUP($B26,Inputs!$B$31:$BZ$68,D$7,FALSE)</f>
        <v>2.3737181921762249</v>
      </c>
      <c r="E26" s="100">
        <f>HLOOKUP($B26,Inputs!$B$31:$BZ$68,E$7,FALSE)</f>
        <v>0.60767185719711359</v>
      </c>
      <c r="F26" s="102">
        <f>HLOOKUP($B26,Inputs!$B$31:$BZ$68,F$7,FALSE)</f>
        <v>3124.0000000000009</v>
      </c>
      <c r="G26" s="102">
        <f>HLOOKUP($B26,Inputs!$B$31:$BZ$68,G$7,FALSE)</f>
        <v>3124.0000000000009</v>
      </c>
      <c r="H26" s="102">
        <f>HLOOKUP($B26,Inputs!$B$31:$BZ$68,H$7,FALSE)</f>
        <v>2106400</v>
      </c>
      <c r="I26" s="102">
        <f>HLOOKUP($B26,Inputs!$B$31:$BZ$68,I$7,FALSE)</f>
        <v>312.5</v>
      </c>
      <c r="J26" s="102">
        <f>HLOOKUP($B26,Inputs!$B$31:$BZ$68,J$7,FALSE)</f>
        <v>312.5</v>
      </c>
      <c r="K26" s="102">
        <f>HLOOKUP($B26,Inputs!$B$31:$BZ$68,K$7,FALSE)</f>
        <v>2632.9999999999977</v>
      </c>
      <c r="L26" s="102">
        <f>HLOOKUP($B26,Inputs!$B$31:$BZ$68,L$7,FALSE)</f>
        <v>2632.9999999999977</v>
      </c>
      <c r="M26" s="102">
        <f>HLOOKUP($B26,Inputs!$B$4:$BZ$29,M$7,FALSE)</f>
        <v>16000</v>
      </c>
      <c r="N26" s="106">
        <f>HLOOKUP($B26,Inputs!$B$4:$BZ$29,N$7,FALSE)</f>
        <v>16000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3"/>
    </row>
    <row r="27" spans="1:26" ht="15.75" customHeight="1">
      <c r="A27" s="255">
        <v>20</v>
      </c>
      <c r="B27" s="93" t="s">
        <v>24</v>
      </c>
      <c r="C27" s="96" t="s">
        <v>158</v>
      </c>
      <c r="D27" s="98">
        <f>HLOOKUP($B27,Inputs!$B$31:$BZ$68,D$7,FALSE)</f>
        <v>5</v>
      </c>
      <c r="E27" s="100">
        <f>HLOOKUP($B27,Inputs!$B$31:$BZ$68,E$7,FALSE)</f>
        <v>5.3375000000000004</v>
      </c>
      <c r="F27" s="102">
        <f>HLOOKUP($B27,Inputs!$B$31:$BZ$68,F$7,FALSE)</f>
        <v>3999.0000000000009</v>
      </c>
      <c r="G27" s="102">
        <f>HLOOKUP($B27,Inputs!$B$31:$BZ$68,G$7,FALSE)</f>
        <v>3999.0000000000009</v>
      </c>
      <c r="H27" s="102">
        <f>HLOOKUP($B27,Inputs!$B$31:$BZ$68,H$7,FALSE)</f>
        <v>200000</v>
      </c>
      <c r="I27" s="102">
        <f>HLOOKUP($B27,Inputs!$B$31:$BZ$68,I$7,FALSE)</f>
        <v>400</v>
      </c>
      <c r="J27" s="102">
        <f>HLOOKUP($B27,Inputs!$B$31:$BZ$68,J$7,FALSE)</f>
        <v>400</v>
      </c>
      <c r="K27" s="102">
        <f>HLOOKUP($B27,Inputs!$B$31:$BZ$68,K$7,FALSE)</f>
        <v>1599.9999999999986</v>
      </c>
      <c r="L27" s="102">
        <f>HLOOKUP($B27,Inputs!$B$31:$BZ$68,L$7,FALSE)</f>
        <v>1599.9999999999986</v>
      </c>
      <c r="M27" s="102">
        <f>HLOOKUP($B27,Inputs!$B$4:$BZ$29,M$7,FALSE)</f>
        <v>2500</v>
      </c>
      <c r="N27" s="106">
        <f>HLOOKUP($B27,Inputs!$B$4:$BZ$29,N$7,FALSE)</f>
        <v>2500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33"/>
    </row>
    <row r="28" spans="1:26" ht="15.75" customHeight="1">
      <c r="A28" s="255">
        <v>21</v>
      </c>
      <c r="B28" s="93" t="s">
        <v>25</v>
      </c>
      <c r="C28" s="96" t="s">
        <v>158</v>
      </c>
      <c r="D28" s="98">
        <f>HLOOKUP($B28,Inputs!$B$31:$BZ$68,D$7,FALSE)</f>
        <v>0.95238095238095233</v>
      </c>
      <c r="E28" s="100">
        <f>HLOOKUP($B28,Inputs!$B$31:$BZ$68,E$7,FALSE)</f>
        <v>0.66666666666666663</v>
      </c>
      <c r="F28" s="102">
        <f>HLOOKUP($B28,Inputs!$B$31:$BZ$68,F$7,FALSE)</f>
        <v>332.33333333333343</v>
      </c>
      <c r="G28" s="102">
        <f>HLOOKUP($B28,Inputs!$B$31:$BZ$68,G$7,FALSE)</f>
        <v>332.33333333333343</v>
      </c>
      <c r="H28" s="102">
        <f>HLOOKUP($B28,Inputs!$B$31:$BZ$68,H$7,FALSE)</f>
        <v>52500</v>
      </c>
      <c r="I28" s="102">
        <f>HLOOKUP($B28,Inputs!$B$31:$BZ$68,I$7,FALSE)</f>
        <v>33.333333333333336</v>
      </c>
      <c r="J28" s="102">
        <f>HLOOKUP($B28,Inputs!$B$31:$BZ$68,J$7,FALSE)</f>
        <v>33.333333333333336</v>
      </c>
      <c r="K28" s="102">
        <f>HLOOKUP($B28,Inputs!$B$31:$BZ$68,K$7,FALSE)</f>
        <v>699.99999999999943</v>
      </c>
      <c r="L28" s="102">
        <f>HLOOKUP($B28,Inputs!$B$31:$BZ$68,L$7,FALSE)</f>
        <v>699.99999999999943</v>
      </c>
      <c r="M28" s="102">
        <f>HLOOKUP($B28,Inputs!$B$4:$BZ$29,M$7,FALSE)</f>
        <v>1500</v>
      </c>
      <c r="N28" s="106">
        <f>HLOOKUP($B28,Inputs!$B$4:$BZ$29,N$7,FALSE)</f>
        <v>1500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3"/>
    </row>
    <row r="29" spans="1:26" ht="15.75" customHeight="1">
      <c r="A29" s="255">
        <v>22</v>
      </c>
      <c r="B29" s="93" t="s">
        <v>26</v>
      </c>
      <c r="C29" s="96" t="s">
        <v>158</v>
      </c>
      <c r="D29" s="98">
        <f>HLOOKUP($B29,Inputs!$B$31:$BZ$68,D$7,FALSE)</f>
        <v>17.475000000000001</v>
      </c>
      <c r="E29" s="100">
        <f>HLOOKUP($B29,Inputs!$B$31:$BZ$68,E$7,FALSE)</f>
        <v>1.7873333333333334</v>
      </c>
      <c r="F29" s="102">
        <f>HLOOKUP($B29,Inputs!$B$31:$BZ$68,F$7,FALSE)</f>
        <v>10484.000000000002</v>
      </c>
      <c r="G29" s="102">
        <f>HLOOKUP($B29,Inputs!$B$31:$BZ$68,G$7,FALSE)</f>
        <v>10484.000000000002</v>
      </c>
      <c r="H29" s="102">
        <f>HLOOKUP($B29,Inputs!$B$31:$BZ$68,H$7,FALSE)</f>
        <v>2400000</v>
      </c>
      <c r="I29" s="102">
        <f>HLOOKUP($B29,Inputs!$B$31:$BZ$68,I$7,FALSE)</f>
        <v>300</v>
      </c>
      <c r="J29" s="102">
        <f>HLOOKUP($B29,Inputs!$B$31:$BZ$68,J$7,FALSE)</f>
        <v>300</v>
      </c>
      <c r="K29" s="102">
        <f>HLOOKUP($B29,Inputs!$B$31:$BZ$68,K$7,FALSE)</f>
        <v>1199.9999999999989</v>
      </c>
      <c r="L29" s="102">
        <f>HLOOKUP($B29,Inputs!$B$31:$BZ$68,L$7,FALSE)</f>
        <v>1199.9999999999989</v>
      </c>
      <c r="M29" s="102">
        <f>HLOOKUP($B29,Inputs!$B$4:$BZ$29,M$7,FALSE)</f>
        <v>40000</v>
      </c>
      <c r="N29" s="106">
        <f>HLOOKUP($B29,Inputs!$B$4:$BZ$29,N$7,FALSE)</f>
        <v>40000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33"/>
    </row>
    <row r="30" spans="1:26" ht="15.75" customHeight="1">
      <c r="A30" s="255">
        <v>23</v>
      </c>
      <c r="B30" s="93" t="s">
        <v>27</v>
      </c>
      <c r="C30" s="96" t="s">
        <v>158</v>
      </c>
      <c r="D30" s="98">
        <f>HLOOKUP($B30,Inputs!$B$31:$BZ$68,D$7,FALSE)</f>
        <v>1.3333333333333333</v>
      </c>
      <c r="E30" s="100">
        <f>HLOOKUP($B30,Inputs!$B$31:$BZ$68,E$7,FALSE)</f>
        <v>2.3333333333333335</v>
      </c>
      <c r="F30" s="102">
        <f>HLOOKUP($B30,Inputs!$B$31:$BZ$68,F$7,FALSE)</f>
        <v>399.00000000000011</v>
      </c>
      <c r="G30" s="102">
        <f>HLOOKUP($B30,Inputs!$B$31:$BZ$68,G$7,FALSE)</f>
        <v>399.00000000000011</v>
      </c>
      <c r="H30" s="102">
        <f>HLOOKUP($B30,Inputs!$B$31:$BZ$68,H$7,FALSE)</f>
        <v>1500</v>
      </c>
      <c r="I30" s="102">
        <f>HLOOKUP($B30,Inputs!$B$31:$BZ$68,I$7,FALSE)</f>
        <v>40</v>
      </c>
      <c r="J30" s="102">
        <f>HLOOKUP($B30,Inputs!$B$31:$BZ$68,J$7,FALSE)</f>
        <v>40</v>
      </c>
      <c r="K30" s="102">
        <f>HLOOKUP($B30,Inputs!$B$31:$BZ$68,K$7,FALSE)</f>
        <v>599.99999999999943</v>
      </c>
      <c r="L30" s="102">
        <f>HLOOKUP($B30,Inputs!$B$31:$BZ$68,L$7,FALSE)</f>
        <v>599.99999999999943</v>
      </c>
      <c r="M30" s="102">
        <f>HLOOKUP($B30,Inputs!$B$4:$BZ$29,M$7,FALSE)</f>
        <v>50</v>
      </c>
      <c r="N30" s="106">
        <f>HLOOKUP($B30,Inputs!$B$4:$BZ$29,N$7,FALSE)</f>
        <v>50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33"/>
    </row>
    <row r="31" spans="1:26" ht="15.75" customHeight="1">
      <c r="A31" s="255">
        <v>24</v>
      </c>
      <c r="B31" s="93" t="s">
        <v>28</v>
      </c>
      <c r="C31" s="96" t="s">
        <v>158</v>
      </c>
      <c r="D31" s="98">
        <f>HLOOKUP($B31,Inputs!$B$31:$BZ$68,D$7,FALSE)</f>
        <v>1.6666666666666667</v>
      </c>
      <c r="E31" s="100">
        <f>HLOOKUP($B31,Inputs!$B$31:$BZ$68,E$7,FALSE)</f>
        <v>2.2881944444444446</v>
      </c>
      <c r="F31" s="102">
        <f>HLOOKUP($B31,Inputs!$B$31:$BZ$68,F$7,FALSE)</f>
        <v>499.00000000000011</v>
      </c>
      <c r="G31" s="102">
        <f>HLOOKUP($B31,Inputs!$B$31:$BZ$68,G$7,FALSE)</f>
        <v>499.00000000000011</v>
      </c>
      <c r="H31" s="102">
        <f>HLOOKUP($B31,Inputs!$B$31:$BZ$68,H$7,FALSE)</f>
        <v>1800000</v>
      </c>
      <c r="I31" s="102">
        <f>HLOOKUP($B31,Inputs!$B$31:$BZ$68,I$7,FALSE)</f>
        <v>50</v>
      </c>
      <c r="J31" s="102">
        <f>HLOOKUP($B31,Inputs!$B$31:$BZ$68,J$7,FALSE)</f>
        <v>50</v>
      </c>
      <c r="K31" s="102">
        <f>HLOOKUP($B31,Inputs!$B$31:$BZ$68,K$7,FALSE)</f>
        <v>599.99999999999943</v>
      </c>
      <c r="L31" s="102">
        <f>HLOOKUP($B31,Inputs!$B$31:$BZ$68,L$7,FALSE)</f>
        <v>599.99999999999943</v>
      </c>
      <c r="M31" s="102">
        <f>HLOOKUP($B31,Inputs!$B$4:$BZ$29,M$7,FALSE)</f>
        <v>60000</v>
      </c>
      <c r="N31" s="106">
        <f>HLOOKUP($B31,Inputs!$B$4:$BZ$29,N$7,FALSE)</f>
        <v>60000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33"/>
    </row>
    <row r="32" spans="1:26" ht="15.75" customHeight="1">
      <c r="A32" s="255">
        <v>25</v>
      </c>
      <c r="B32" s="93" t="s">
        <v>29</v>
      </c>
      <c r="C32" s="96" t="s">
        <v>158</v>
      </c>
      <c r="D32" s="98">
        <f>HLOOKUP($B32,Inputs!$B$31:$BZ$68,D$7,FALSE)</f>
        <v>0.33333333333333331</v>
      </c>
      <c r="E32" s="100">
        <f>HLOOKUP($B32,Inputs!$B$31:$BZ$68,E$7,FALSE)</f>
        <v>0.5</v>
      </c>
      <c r="F32" s="102">
        <f>HLOOKUP($B32,Inputs!$B$31:$BZ$68,F$7,FALSE)</f>
        <v>499.00000000000011</v>
      </c>
      <c r="G32" s="102">
        <f>HLOOKUP($B32,Inputs!$B$31:$BZ$68,G$7,FALSE)</f>
        <v>499.00000000000011</v>
      </c>
      <c r="H32" s="102">
        <f>HLOOKUP($B32,Inputs!$B$31:$BZ$68,H$7,FALSE)</f>
        <v>90000</v>
      </c>
      <c r="I32" s="102">
        <f>HLOOKUP($B32,Inputs!$B$31:$BZ$68,I$7,FALSE)</f>
        <v>50</v>
      </c>
      <c r="J32" s="102">
        <f>HLOOKUP($B32,Inputs!$B$31:$BZ$68,J$7,FALSE)</f>
        <v>50</v>
      </c>
      <c r="K32" s="102">
        <f>HLOOKUP($B32,Inputs!$B$31:$BZ$68,K$7,FALSE)</f>
        <v>2999.9999999999973</v>
      </c>
      <c r="L32" s="102">
        <f>HLOOKUP($B32,Inputs!$B$31:$BZ$68,L$7,FALSE)</f>
        <v>2999.9999999999973</v>
      </c>
      <c r="M32" s="102">
        <f>HLOOKUP($B32,Inputs!$B$4:$BZ$29,M$7,FALSE)</f>
        <v>600</v>
      </c>
      <c r="N32" s="106">
        <f>HLOOKUP($B32,Inputs!$B$4:$BZ$29,N$7,FALSE)</f>
        <v>600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33"/>
    </row>
    <row r="33" spans="1:26" ht="15.75" customHeight="1">
      <c r="A33" s="255">
        <v>26</v>
      </c>
      <c r="B33" s="93" t="s">
        <v>30</v>
      </c>
      <c r="C33" s="96" t="s">
        <v>158</v>
      </c>
      <c r="D33" s="98">
        <f>HLOOKUP($B33,Inputs!$B$31:$BZ$68,D$7,FALSE)</f>
        <v>0.34722222222222221</v>
      </c>
      <c r="E33" s="100">
        <f>HLOOKUP($B33,Inputs!$B$31:$BZ$68,E$7,FALSE)</f>
        <v>4.4444444444444446E-2</v>
      </c>
      <c r="F33" s="102">
        <f>HLOOKUP($B33,Inputs!$B$31:$BZ$68,F$7,FALSE)</f>
        <v>999.00000000000023</v>
      </c>
      <c r="G33" s="102">
        <f>HLOOKUP($B33,Inputs!$B$31:$BZ$68,G$7,FALSE)</f>
        <v>2499.0000000000005</v>
      </c>
      <c r="H33" s="102">
        <f>HLOOKUP($B33,Inputs!$B$31:$BZ$68,H$7,FALSE)</f>
        <v>28800</v>
      </c>
      <c r="I33" s="102">
        <f>HLOOKUP($B33,Inputs!$B$31:$BZ$68,I$7,FALSE)</f>
        <v>100</v>
      </c>
      <c r="J33" s="102">
        <f>HLOOKUP($B33,Inputs!$B$31:$BZ$68,J$7,FALSE)</f>
        <v>250</v>
      </c>
      <c r="K33" s="102">
        <f>HLOOKUP($B33,Inputs!$B$31:$BZ$68,K$7,FALSE)</f>
        <v>5759.9999999999945</v>
      </c>
      <c r="L33" s="102">
        <f>HLOOKUP($B33,Inputs!$B$31:$BZ$68,L$7,FALSE)</f>
        <v>14399.999999999987</v>
      </c>
      <c r="M33" s="102">
        <f>HLOOKUP($B33,Inputs!$B$4:$BZ$29,M$7,FALSE)</f>
        <v>100</v>
      </c>
      <c r="N33" s="106">
        <f>HLOOKUP($B33,Inputs!$B$4:$BZ$29,N$7,FALSE)</f>
        <v>40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33"/>
    </row>
    <row r="34" spans="1:26" ht="15.75" customHeight="1">
      <c r="A34" s="255">
        <v>27</v>
      </c>
      <c r="B34" s="93" t="s">
        <v>31</v>
      </c>
      <c r="C34" s="96" t="s">
        <v>158</v>
      </c>
      <c r="D34" s="98">
        <f>HLOOKUP($B34,Inputs!$B$31:$BZ$68,D$7,FALSE)</f>
        <v>4.375</v>
      </c>
      <c r="E34" s="100">
        <f>HLOOKUP($B34,Inputs!$B$31:$BZ$68,E$7,FALSE)</f>
        <v>0.79531249999999998</v>
      </c>
      <c r="F34" s="102">
        <f>HLOOKUP($B34,Inputs!$B$31:$BZ$68,F$7,FALSE)</f>
        <v>349.00000000000006</v>
      </c>
      <c r="G34" s="102">
        <f>HLOOKUP($B34,Inputs!$B$31:$BZ$68,G$7,FALSE)</f>
        <v>3499.0000000000009</v>
      </c>
      <c r="H34" s="102">
        <f>HLOOKUP($B34,Inputs!$B$31:$BZ$68,H$7,FALSE)</f>
        <v>320000</v>
      </c>
      <c r="I34" s="102">
        <f>HLOOKUP($B34,Inputs!$B$31:$BZ$68,I$7,FALSE)</f>
        <v>35</v>
      </c>
      <c r="J34" s="102">
        <f>HLOOKUP($B34,Inputs!$B$31:$BZ$68,J$7,FALSE)</f>
        <v>350</v>
      </c>
      <c r="K34" s="102">
        <f>HLOOKUP($B34,Inputs!$B$31:$BZ$68,K$7,FALSE)</f>
        <v>159.99999999999986</v>
      </c>
      <c r="L34" s="102">
        <f>HLOOKUP($B34,Inputs!$B$31:$BZ$68,L$7,FALSE)</f>
        <v>1599.9999999999986</v>
      </c>
      <c r="M34" s="102">
        <f>HLOOKUP($B34,Inputs!$B$4:$BZ$29,M$7,FALSE)</f>
        <v>40000</v>
      </c>
      <c r="N34" s="106">
        <f>HLOOKUP($B34,Inputs!$B$4:$BZ$29,N$7,FALSE)</f>
        <v>4000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33"/>
    </row>
    <row r="35" spans="1:26" ht="15.75" customHeight="1">
      <c r="A35" s="255">
        <v>28</v>
      </c>
      <c r="B35" s="93" t="s">
        <v>32</v>
      </c>
      <c r="C35" s="96" t="s">
        <v>158</v>
      </c>
      <c r="D35" s="98">
        <f>HLOOKUP($B35,Inputs!$B$31:$BZ$68,D$7,FALSE)</f>
        <v>8.9791666666666661</v>
      </c>
      <c r="E35" s="100">
        <f>HLOOKUP($B35,Inputs!$B$31:$BZ$68,E$7,FALSE)</f>
        <v>1.9077777777777777E-2</v>
      </c>
      <c r="F35" s="102">
        <f>HLOOKUP($B35,Inputs!$B$31:$BZ$68,F$7,FALSE)</f>
        <v>322.25000000000011</v>
      </c>
      <c r="G35" s="102">
        <f>HLOOKUP($B35,Inputs!$B$31:$BZ$68,G$7,FALSE)</f>
        <v>1292999.0000000002</v>
      </c>
      <c r="H35" s="102">
        <f>HLOOKUP($B35,Inputs!$B$31:$BZ$68,H$7,FALSE)</f>
        <v>36000</v>
      </c>
      <c r="I35" s="102">
        <f>HLOOKUP($B35,Inputs!$B$31:$BZ$68,I$7,FALSE)</f>
        <v>32.325000000000003</v>
      </c>
      <c r="J35" s="102">
        <f>HLOOKUP($B35,Inputs!$B$31:$BZ$68,J$7,FALSE)</f>
        <v>129300</v>
      </c>
      <c r="K35" s="102">
        <f>HLOOKUP($B35,Inputs!$B$31:$BZ$68,K$7,FALSE)</f>
        <v>71.999999999999943</v>
      </c>
      <c r="L35" s="102">
        <f>HLOOKUP($B35,Inputs!$B$31:$BZ$68,L$7,FALSE)</f>
        <v>287999.99999999977</v>
      </c>
      <c r="M35" s="102">
        <f>HLOOKUP($B35,Inputs!$B$4:$BZ$29,M$7,FALSE)</f>
        <v>10000</v>
      </c>
      <c r="N35" s="106">
        <f>HLOOKUP($B35,Inputs!$B$4:$BZ$29,N$7,FALSE)</f>
        <v>2.5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33"/>
    </row>
    <row r="36" spans="1:26" ht="15.75" customHeight="1">
      <c r="A36" s="255">
        <v>29</v>
      </c>
      <c r="B36" s="93" t="s">
        <v>33</v>
      </c>
      <c r="C36" s="170" t="s">
        <v>158</v>
      </c>
      <c r="D36" s="98">
        <f>HLOOKUP($B36,Inputs!$B$31:$BZ$68,D$7,FALSE)</f>
        <v>4.8309178743961354</v>
      </c>
      <c r="E36" s="100">
        <f>HLOOKUP($B36,Inputs!$B$31:$BZ$68,E$7,FALSE)</f>
        <v>1.3236714975845412</v>
      </c>
      <c r="F36" s="102">
        <f>HLOOKUP($B36,Inputs!$B$31:$BZ$68,F$7,FALSE)</f>
        <v>199999.00000000006</v>
      </c>
      <c r="G36" s="102">
        <f>HLOOKUP($B36,Inputs!$B$31:$BZ$68,G$7,FALSE)</f>
        <v>399999.00000000012</v>
      </c>
      <c r="H36" s="102">
        <f>HLOOKUP($B36,Inputs!$B$31:$BZ$68,H$7,FALSE)</f>
        <v>8280</v>
      </c>
      <c r="I36" s="102">
        <f>HLOOKUP($B36,Inputs!$B$31:$BZ$68,I$7,FALSE)</f>
        <v>20000</v>
      </c>
      <c r="J36" s="102">
        <f>HLOOKUP($B36,Inputs!$B$31:$BZ$68,J$7,FALSE)</f>
        <v>40000</v>
      </c>
      <c r="K36" s="102">
        <f>HLOOKUP($B36,Inputs!$B$31:$BZ$68,K$7,FALSE)</f>
        <v>82799.999999999927</v>
      </c>
      <c r="L36" s="102">
        <f>HLOOKUP($B36,Inputs!$B$31:$BZ$68,L$7,FALSE)</f>
        <v>165599.99999999985</v>
      </c>
      <c r="M36" s="102">
        <f>HLOOKUP($B36,Inputs!$B$4:$BZ$29,M$7,FALSE)</f>
        <v>2</v>
      </c>
      <c r="N36" s="106">
        <f>HLOOKUP($B36,Inputs!$B$4:$BZ$29,N$7,FALSE)</f>
        <v>1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33"/>
    </row>
    <row r="37" spans="1:26" ht="15.75" customHeight="1">
      <c r="A37" s="255">
        <v>30</v>
      </c>
      <c r="B37" s="93" t="s">
        <v>34</v>
      </c>
      <c r="C37" s="96" t="s">
        <v>158</v>
      </c>
      <c r="D37" s="98">
        <f>HLOOKUP($B37,Inputs!$B$31:$BZ$68,D$7,FALSE)</f>
        <v>16.018999999999998</v>
      </c>
      <c r="E37" s="100">
        <f>HLOOKUP($B37,Inputs!$B$31:$BZ$68,E$7,FALSE)</f>
        <v>1.496</v>
      </c>
      <c r="F37" s="102">
        <f>HLOOKUP($B37,Inputs!$B$31:$BZ$68,F$7,FALSE)</f>
        <v>32037.000000000007</v>
      </c>
      <c r="G37" s="102">
        <f>HLOOKUP($B37,Inputs!$B$31:$BZ$68,G$7,FALSE)</f>
        <v>32037.000000000007</v>
      </c>
      <c r="H37" s="102">
        <f>HLOOKUP($B37,Inputs!$B$31:$BZ$68,H$7,FALSE)</f>
        <v>5000</v>
      </c>
      <c r="I37" s="102">
        <f>HLOOKUP($B37,Inputs!$B$31:$BZ$68,I$7,FALSE)</f>
        <v>6</v>
      </c>
      <c r="J37" s="102">
        <f>HLOOKUP($B37,Inputs!$B$31:$BZ$68,J$7,FALSE)</f>
        <v>6</v>
      </c>
      <c r="K37" s="102">
        <f>HLOOKUP($B37,Inputs!$B$31:$BZ$68,K$7,FALSE)</f>
        <v>3999.9999999999964</v>
      </c>
      <c r="L37" s="102">
        <f>HLOOKUP($B37,Inputs!$B$31:$BZ$68,L$7,FALSE)</f>
        <v>3999.9999999999964</v>
      </c>
      <c r="M37" s="102">
        <f>HLOOKUP($B37,Inputs!$B$4:$BZ$29,M$7,FALSE)</f>
        <v>25</v>
      </c>
      <c r="N37" s="106">
        <f>HLOOKUP($B37,Inputs!$B$4:$BZ$29,N$7,FALSE)</f>
        <v>25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33"/>
    </row>
    <row r="38" spans="1:26" ht="15.75" customHeight="1">
      <c r="A38" s="255">
        <v>31</v>
      </c>
      <c r="B38" s="93" t="s">
        <v>35</v>
      </c>
      <c r="C38" s="96" t="s">
        <v>158</v>
      </c>
      <c r="D38" s="98">
        <f>HLOOKUP($B38,Inputs!$B$31:$BZ$68,D$7,FALSE)</f>
        <v>17.475000000000001</v>
      </c>
      <c r="E38" s="100">
        <f>HLOOKUP($B38,Inputs!$B$31:$BZ$68,E$7,FALSE)</f>
        <v>2.5508333333333333</v>
      </c>
      <c r="F38" s="102">
        <f>HLOOKUP($B38,Inputs!$B$31:$BZ$68,F$7,FALSE)</f>
        <v>10484.000000000002</v>
      </c>
      <c r="G38" s="102">
        <f>HLOOKUP($B38,Inputs!$B$31:$BZ$68,G$7,FALSE)</f>
        <v>10484.000000000002</v>
      </c>
      <c r="H38" s="102">
        <f>HLOOKUP($B38,Inputs!$B$31:$BZ$68,H$7,FALSE)</f>
        <v>2400000</v>
      </c>
      <c r="I38" s="102">
        <f>HLOOKUP($B38,Inputs!$B$31:$BZ$68,I$7,FALSE)</f>
        <v>300</v>
      </c>
      <c r="J38" s="102">
        <f>HLOOKUP($B38,Inputs!$B$31:$BZ$68,J$7,FALSE)</f>
        <v>300</v>
      </c>
      <c r="K38" s="102">
        <f>HLOOKUP($B38,Inputs!$B$31:$BZ$68,K$7,FALSE)</f>
        <v>1199.9999999999989</v>
      </c>
      <c r="L38" s="102">
        <f>HLOOKUP($B38,Inputs!$B$31:$BZ$68,L$7,FALSE)</f>
        <v>1199.9999999999989</v>
      </c>
      <c r="M38" s="102">
        <f>HLOOKUP($B38,Inputs!$B$4:$BZ$29,M$7,FALSE)</f>
        <v>40000</v>
      </c>
      <c r="N38" s="106">
        <f>HLOOKUP($B38,Inputs!$B$4:$BZ$29,N$7,FALSE)</f>
        <v>40000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33"/>
    </row>
    <row r="39" spans="1:26" ht="15.75" customHeight="1">
      <c r="A39" s="255">
        <v>32</v>
      </c>
      <c r="B39" s="93" t="s">
        <v>36</v>
      </c>
      <c r="C39" s="96" t="s">
        <v>158</v>
      </c>
      <c r="D39" s="98">
        <f>HLOOKUP($B39,Inputs!$B$31:$BZ$68,D$7,FALSE)</f>
        <v>1.5496759259259258</v>
      </c>
      <c r="E39" s="100">
        <f>HLOOKUP($B39,Inputs!$B$31:$BZ$68,E$7,FALSE)</f>
        <v>0.48148148148148145</v>
      </c>
      <c r="F39" s="102">
        <f>HLOOKUP($B39,Inputs!$B$31:$BZ$68,F$7,FALSE)</f>
        <v>1672.65</v>
      </c>
      <c r="G39" s="102">
        <f>HLOOKUP($B39,Inputs!$B$31:$BZ$68,G$7,FALSE)</f>
        <v>1672.65</v>
      </c>
      <c r="H39" s="102">
        <f>HLOOKUP($B39,Inputs!$B$31:$BZ$68,H$7,FALSE)</f>
        <v>3240</v>
      </c>
      <c r="I39" s="102">
        <f>HLOOKUP($B39,Inputs!$B$31:$BZ$68,I$7,FALSE)</f>
        <v>100</v>
      </c>
      <c r="J39" s="102">
        <f>HLOOKUP($B39,Inputs!$B$31:$BZ$68,J$7,FALSE)</f>
        <v>100</v>
      </c>
      <c r="K39" s="102">
        <f>HLOOKUP($B39,Inputs!$B$31:$BZ$68,K$7,FALSE)</f>
        <v>2159.9999999999982</v>
      </c>
      <c r="L39" s="102">
        <f>HLOOKUP($B39,Inputs!$B$31:$BZ$68,L$7,FALSE)</f>
        <v>2159.9999999999982</v>
      </c>
      <c r="M39" s="102">
        <f>HLOOKUP($B39,Inputs!$B$4:$BZ$29,M$7,FALSE)</f>
        <v>30</v>
      </c>
      <c r="N39" s="106">
        <f>HLOOKUP($B39,Inputs!$B$4:$BZ$29,N$7,FALSE)</f>
        <v>30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33"/>
    </row>
    <row r="40" spans="1:26" ht="15.75" customHeight="1">
      <c r="A40" s="255">
        <v>33</v>
      </c>
      <c r="B40" s="93" t="s">
        <v>37</v>
      </c>
      <c r="C40" s="96" t="s">
        <v>158</v>
      </c>
      <c r="D40" s="98">
        <f>HLOOKUP($B40,Inputs!$B$31:$BZ$68,D$7,FALSE)</f>
        <v>7.5</v>
      </c>
      <c r="E40" s="100">
        <f>HLOOKUP($B40,Inputs!$B$31:$BZ$68,E$7,FALSE)</f>
        <v>1.9</v>
      </c>
      <c r="F40" s="102">
        <f>HLOOKUP($B40,Inputs!$B$31:$BZ$68,F$7,FALSE)</f>
        <v>2999.0000000000005</v>
      </c>
      <c r="G40" s="102">
        <f>HLOOKUP($B40,Inputs!$B$31:$BZ$68,G$7,FALSE)</f>
        <v>2999.0000000000005</v>
      </c>
      <c r="H40" s="102">
        <f>HLOOKUP($B40,Inputs!$B$31:$BZ$68,H$7,FALSE)</f>
        <v>2000</v>
      </c>
      <c r="I40" s="102">
        <f>HLOOKUP($B40,Inputs!$B$31:$BZ$68,I$7,FALSE)</f>
        <v>300</v>
      </c>
      <c r="J40" s="102">
        <f>HLOOKUP($B40,Inputs!$B$31:$BZ$68,J$7,FALSE)</f>
        <v>300</v>
      </c>
      <c r="K40" s="102">
        <f>HLOOKUP($B40,Inputs!$B$31:$BZ$68,K$7,FALSE)</f>
        <v>799.99999999999932</v>
      </c>
      <c r="L40" s="102">
        <f>HLOOKUP($B40,Inputs!$B$31:$BZ$68,L$7,FALSE)</f>
        <v>799.99999999999932</v>
      </c>
      <c r="M40" s="102">
        <f>HLOOKUP($B40,Inputs!$B$4:$BZ$29,M$7,FALSE)</f>
        <v>50</v>
      </c>
      <c r="N40" s="106">
        <f>HLOOKUP($B40,Inputs!$B$4:$BZ$29,N$7,FALSE)</f>
        <v>50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33"/>
    </row>
    <row r="41" spans="1:26" ht="15.75" customHeight="1">
      <c r="A41" s="255">
        <v>34</v>
      </c>
      <c r="B41" s="93" t="s">
        <v>38</v>
      </c>
      <c r="C41" s="96" t="s">
        <v>158</v>
      </c>
      <c r="D41" s="98">
        <f>HLOOKUP($B41,Inputs!$B$31:$BZ$68,D$7,FALSE)</f>
        <v>1.2698412698412698</v>
      </c>
      <c r="E41" s="100">
        <f>HLOOKUP($B41,Inputs!$B$31:$BZ$68,E$7,FALSE)</f>
        <v>0.51682539682539685</v>
      </c>
      <c r="F41" s="102">
        <f>HLOOKUP($B41,Inputs!$B$31:$BZ$68,F$7,FALSE)</f>
        <v>443.14834554741293</v>
      </c>
      <c r="G41" s="102">
        <f>HLOOKUP($B41,Inputs!$B$31:$BZ$68,G$7,FALSE)</f>
        <v>1331.4450366422388</v>
      </c>
      <c r="H41" s="102">
        <f>HLOOKUP($B41,Inputs!$B$31:$BZ$68,H$7,FALSE)</f>
        <v>1575000</v>
      </c>
      <c r="I41" s="102">
        <f>HLOOKUP($B41,Inputs!$B$31:$BZ$68,I$7,FALSE)</f>
        <v>44.414834554741283</v>
      </c>
      <c r="J41" s="102">
        <f>HLOOKUP($B41,Inputs!$B$31:$BZ$68,J$7,FALSE)</f>
        <v>133.24450366422386</v>
      </c>
      <c r="K41" s="102">
        <f>HLOOKUP($B41,Inputs!$B$31:$BZ$68,K$7,FALSE)</f>
        <v>699.5336442371746</v>
      </c>
      <c r="L41" s="102">
        <f>HLOOKUP($B41,Inputs!$B$31:$BZ$68,L$7,FALSE)</f>
        <v>2098.6009327115239</v>
      </c>
      <c r="M41" s="102">
        <f>HLOOKUP($B41,Inputs!$B$4:$BZ$29,M$7,FALSE)</f>
        <v>45030</v>
      </c>
      <c r="N41" s="106">
        <f>HLOOKUP($B41,Inputs!$B$4:$BZ$29,N$7,FALSE)</f>
        <v>15010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33"/>
    </row>
    <row r="42" spans="1:26" ht="15.75" customHeight="1">
      <c r="A42" s="255">
        <v>35</v>
      </c>
      <c r="B42" s="93" t="s">
        <v>39</v>
      </c>
      <c r="C42" s="96" t="s">
        <v>158</v>
      </c>
      <c r="D42" s="98">
        <f>HLOOKUP($B42,Inputs!$B$31:$BZ$68,D$7,FALSE)</f>
        <v>5</v>
      </c>
      <c r="E42" s="100">
        <f>HLOOKUP($B42,Inputs!$B$31:$BZ$68,E$7,FALSE)</f>
        <v>2.2176666666666667</v>
      </c>
      <c r="F42" s="102" t="str">
        <f>HLOOKUP($B42,Inputs!$B$31:$BZ$68,F$7,FALSE)</f>
        <v>Choose Bet</v>
      </c>
      <c r="G42" s="102">
        <f>HLOOKUP($B42,Inputs!$B$31:$BZ$68,G$7,FALSE)</f>
        <v>1999.0000000000005</v>
      </c>
      <c r="H42" s="102">
        <f>HLOOKUP($B42,Inputs!$B$31:$BZ$68,H$7,FALSE)</f>
        <v>400000</v>
      </c>
      <c r="I42" s="102" t="str">
        <f>HLOOKUP($B42,Inputs!$B$31:$BZ$68,I$7,FALSE)</f>
        <v>Choose Bet</v>
      </c>
      <c r="J42" s="102">
        <f>HLOOKUP($B42,Inputs!$B$31:$BZ$68,J$7,FALSE)</f>
        <v>200</v>
      </c>
      <c r="K42" s="102" t="str">
        <f>HLOOKUP($B42,Inputs!$B$31:$BZ$68,K$7,FALSE)</f>
        <v>Choose Bet</v>
      </c>
      <c r="L42" s="102">
        <f>HLOOKUP($B42,Inputs!$B$31:$BZ$68,L$7,FALSE)</f>
        <v>799.99999999999932</v>
      </c>
      <c r="M42" s="102" t="str">
        <f>HLOOKUP($B42,Inputs!$B$4:$BZ$29,M$7,FALSE)</f>
        <v>Choose Bet</v>
      </c>
      <c r="N42" s="106">
        <f>HLOOKUP($B42,Inputs!$B$4:$BZ$29,N$7,FALSE)</f>
        <v>10000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33"/>
    </row>
    <row r="43" spans="1:26" ht="15.75" customHeight="1">
      <c r="A43" s="255">
        <v>36</v>
      </c>
      <c r="B43" s="93" t="s">
        <v>40</v>
      </c>
      <c r="C43" s="96" t="s">
        <v>158</v>
      </c>
      <c r="D43" s="98">
        <f>HLOOKUP($B43,Inputs!$B$31:$BZ$68,D$7,FALSE)</f>
        <v>0.25974025974025972</v>
      </c>
      <c r="E43" s="100">
        <f>HLOOKUP($B43,Inputs!$B$31:$BZ$68,E$7,FALSE)</f>
        <v>2.0748051948051947</v>
      </c>
      <c r="F43" s="102">
        <f>HLOOKUP($B43,Inputs!$B$31:$BZ$68,F$7,FALSE)</f>
        <v>99.000000000000028</v>
      </c>
      <c r="G43" s="102">
        <f>HLOOKUP($B43,Inputs!$B$31:$BZ$68,G$7,FALSE)</f>
        <v>99.000000000000028</v>
      </c>
      <c r="H43" s="102">
        <f>HLOOKUP($B43,Inputs!$B$31:$BZ$68,H$7,FALSE)</f>
        <v>385000</v>
      </c>
      <c r="I43" s="102">
        <f>HLOOKUP($B43,Inputs!$B$31:$BZ$68,I$7,FALSE)</f>
        <v>10</v>
      </c>
      <c r="J43" s="102">
        <f>HLOOKUP($B43,Inputs!$B$31:$BZ$68,J$7,FALSE)</f>
        <v>10</v>
      </c>
      <c r="K43" s="102">
        <f>HLOOKUP($B43,Inputs!$B$31:$BZ$68,K$7,FALSE)</f>
        <v>769.99999999999932</v>
      </c>
      <c r="L43" s="102">
        <f>HLOOKUP($B43,Inputs!$B$31:$BZ$68,L$7,FALSE)</f>
        <v>769.99999999999932</v>
      </c>
      <c r="M43" s="102">
        <f>HLOOKUP($B43,Inputs!$B$4:$BZ$29,M$7,FALSE)</f>
        <v>10000</v>
      </c>
      <c r="N43" s="106">
        <f>HLOOKUP($B43,Inputs!$B$4:$BZ$29,N$7,FALSE)</f>
        <v>10000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33"/>
    </row>
    <row r="44" spans="1:26" ht="15.75" customHeight="1">
      <c r="A44" s="255">
        <v>37</v>
      </c>
      <c r="B44" s="120" t="s">
        <v>41</v>
      </c>
      <c r="C44" s="96" t="s">
        <v>158</v>
      </c>
      <c r="D44" s="98">
        <f>HLOOKUP($B44,Inputs!$B$31:$BZ$68,D$7,FALSE)</f>
        <v>0.04</v>
      </c>
      <c r="E44" s="100">
        <f>HLOOKUP($B44,Inputs!$B$31:$BZ$68,E$7,FALSE)</f>
        <v>1.1168</v>
      </c>
      <c r="F44" s="102">
        <f>HLOOKUP($B44,Inputs!$B$31:$BZ$68,F$7,FALSE)</f>
        <v>49.000000000000014</v>
      </c>
      <c r="G44" s="102">
        <f>HLOOKUP($B44,Inputs!$B$31:$BZ$68,G$7,FALSE)</f>
        <v>99.000000000000028</v>
      </c>
      <c r="H44" s="102">
        <f>HLOOKUP($B44,Inputs!$B$31:$BZ$68,H$7,FALSE)</f>
        <v>2500000</v>
      </c>
      <c r="I44" s="102">
        <f>HLOOKUP($B44,Inputs!$B$31:$BZ$68,I$7,FALSE)</f>
        <v>5</v>
      </c>
      <c r="J44" s="102">
        <f>HLOOKUP($B44,Inputs!$B$31:$BZ$68,J$7,FALSE)</f>
        <v>10</v>
      </c>
      <c r="K44" s="102">
        <f>HLOOKUP($B44,Inputs!$B$31:$BZ$68,K$7,FALSE)</f>
        <v>2499.9999999999977</v>
      </c>
      <c r="L44" s="102">
        <f>HLOOKUP($B44,Inputs!$B$31:$BZ$68,L$7,FALSE)</f>
        <v>4999.9999999999955</v>
      </c>
      <c r="M44" s="102">
        <f>HLOOKUP($B44,Inputs!$B$4:$BZ$29,M$7,FALSE)</f>
        <v>20000</v>
      </c>
      <c r="N44" s="106">
        <f>HLOOKUP($B44,Inputs!$B$4:$BZ$29,N$7,FALSE)</f>
        <v>10000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33"/>
    </row>
    <row r="45" spans="1:26" ht="15.75" customHeight="1">
      <c r="A45" s="255">
        <v>38</v>
      </c>
      <c r="B45" s="93" t="s">
        <v>42</v>
      </c>
      <c r="C45" s="96" t="s">
        <v>158</v>
      </c>
      <c r="D45" s="98">
        <f>HLOOKUP($B45,Inputs!$B$31:$BZ$68,D$7,FALSE)</f>
        <v>0.4</v>
      </c>
      <c r="E45" s="100">
        <f>HLOOKUP($B45,Inputs!$B$31:$BZ$68,E$7,FALSE)</f>
        <v>0.75600000000000001</v>
      </c>
      <c r="F45" s="102">
        <f>HLOOKUP($B45,Inputs!$B$31:$BZ$68,F$7,FALSE)</f>
        <v>6665.6666666666679</v>
      </c>
      <c r="G45" s="102">
        <f>HLOOKUP($B45,Inputs!$B$31:$BZ$68,G$7,FALSE)</f>
        <v>66665.666666666686</v>
      </c>
      <c r="H45" s="102">
        <f>HLOOKUP($B45,Inputs!$B$31:$BZ$68,H$7,FALSE)</f>
        <v>500000</v>
      </c>
      <c r="I45" s="102">
        <f>HLOOKUP($B45,Inputs!$B$31:$BZ$68,I$7,FALSE)</f>
        <v>666.66666666666663</v>
      </c>
      <c r="J45" s="102">
        <f>HLOOKUP($B45,Inputs!$B$31:$BZ$68,J$7,FALSE)</f>
        <v>6666.666666666667</v>
      </c>
      <c r="K45" s="102">
        <f>HLOOKUP($B45,Inputs!$B$31:$BZ$68,K$7,FALSE)</f>
        <v>33333.333333333307</v>
      </c>
      <c r="L45" s="102">
        <f>HLOOKUP($B45,Inputs!$B$31:$BZ$68,L$7,FALSE)</f>
        <v>333333.33333333308</v>
      </c>
      <c r="M45" s="102">
        <f>HLOOKUP($B45,Inputs!$B$4:$BZ$29,M$7,FALSE)</f>
        <v>300</v>
      </c>
      <c r="N45" s="106">
        <f>HLOOKUP($B45,Inputs!$B$4:$BZ$29,N$7,FALSE)</f>
        <v>30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33"/>
    </row>
    <row r="46" spans="1:26" ht="15.75" customHeight="1">
      <c r="A46" s="255">
        <v>39</v>
      </c>
      <c r="B46" s="93" t="s">
        <v>43</v>
      </c>
      <c r="C46" s="96" t="s">
        <v>352</v>
      </c>
      <c r="D46" s="98">
        <f>HLOOKUP($B46,Inputs!$B$31:$BZ$68,D$7,FALSE)</f>
        <v>5.9776515151515168</v>
      </c>
      <c r="E46" s="100">
        <f>HLOOKUP($B46,Inputs!$B$31:$BZ$68,E$7,FALSE)</f>
        <v>1.5656575757575759</v>
      </c>
      <c r="F46" s="102" t="str">
        <f>HLOOKUP($B46,Inputs!$B$31:$BZ$68,F$7,FALSE)</f>
        <v>Choose Bet</v>
      </c>
      <c r="G46" s="102">
        <f>HLOOKUP($B46,Inputs!$B$31:$BZ$68,G$7,FALSE)</f>
        <v>895.64772727272771</v>
      </c>
      <c r="H46" s="102">
        <f>HLOOKUP($B46,Inputs!$B$31:$BZ$68,H$7,FALSE)</f>
        <v>15</v>
      </c>
      <c r="I46" s="102" t="str">
        <f>HLOOKUP($B46,Inputs!$B$31:$BZ$68,I$7,FALSE)</f>
        <v>Choose Bet</v>
      </c>
      <c r="J46" s="102">
        <f>HLOOKUP($B46,Inputs!$B$31:$BZ$68,J$7,FALSE)</f>
        <v>30</v>
      </c>
      <c r="K46" s="102" t="str">
        <f>HLOOKUP($B46,Inputs!$B$31:$BZ$68,K$7,FALSE)</f>
        <v>Choose Bet</v>
      </c>
      <c r="L46" s="102">
        <f>HLOOKUP($B46,Inputs!$B$31:$BZ$68,L$7,FALSE)</f>
        <v>299.99999999999972</v>
      </c>
      <c r="M46" s="102" t="str">
        <f>HLOOKUP($B46,Inputs!$B$4:$BZ$29,M$7,FALSE)</f>
        <v>Choose Bet</v>
      </c>
      <c r="N46" s="106">
        <f>HLOOKUP($B46,Inputs!$B$4:$BZ$29,N$7,FALSE)</f>
        <v>1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33"/>
    </row>
    <row r="47" spans="1:26" ht="15.75" customHeight="1">
      <c r="A47" s="255">
        <v>40</v>
      </c>
      <c r="B47" s="93" t="s">
        <v>44</v>
      </c>
      <c r="C47" s="96" t="s">
        <v>352</v>
      </c>
      <c r="D47" s="98">
        <f>HLOOKUP($B47,Inputs!$B$31:$BZ$68,D$7,FALSE)</f>
        <v>32.523250000000004</v>
      </c>
      <c r="E47" s="100">
        <f>HLOOKUP($B47,Inputs!$B$31:$BZ$68,E$7,FALSE)</f>
        <v>3.81</v>
      </c>
      <c r="F47" s="102" t="str">
        <f>HLOOKUP($B47,Inputs!$B$31:$BZ$68,F$7,FALSE)</f>
        <v>Choose Bet</v>
      </c>
      <c r="G47" s="102">
        <f>HLOOKUP($B47,Inputs!$B$31:$BZ$68,G$7,FALSE)</f>
        <v>6503.6500000000015</v>
      </c>
      <c r="H47" s="102">
        <f>HLOOKUP($B47,Inputs!$B$31:$BZ$68,H$7,FALSE)</f>
        <v>20</v>
      </c>
      <c r="I47" s="102" t="str">
        <f>HLOOKUP($B47,Inputs!$B$31:$BZ$68,I$7,FALSE)</f>
        <v>Choose Bet</v>
      </c>
      <c r="J47" s="102">
        <f>HLOOKUP($B47,Inputs!$B$31:$BZ$68,J$7,FALSE)</f>
        <v>50</v>
      </c>
      <c r="K47" s="102" t="str">
        <f>HLOOKUP($B47,Inputs!$B$31:$BZ$68,K$7,FALSE)</f>
        <v>Choose Bet</v>
      </c>
      <c r="L47" s="102">
        <f>HLOOKUP($B47,Inputs!$B$31:$BZ$68,L$7,FALSE)</f>
        <v>399.99999999999966</v>
      </c>
      <c r="M47" s="102" t="str">
        <f>HLOOKUP($B47,Inputs!$B$4:$BZ$29,M$7,FALSE)</f>
        <v>Choose Bet</v>
      </c>
      <c r="N47" s="106">
        <f>HLOOKUP($B47,Inputs!$B$4:$BZ$29,N$7,FALSE)</f>
        <v>1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33"/>
    </row>
    <row r="48" spans="1:26" ht="15.75" customHeight="1">
      <c r="A48" s="255">
        <v>41</v>
      </c>
      <c r="B48" s="93" t="s">
        <v>45</v>
      </c>
      <c r="C48" s="96" t="s">
        <v>352</v>
      </c>
      <c r="D48" s="98">
        <f>HLOOKUP($B48,Inputs!$B$31:$BZ$68,D$7,FALSE)</f>
        <v>16.515384615384615</v>
      </c>
      <c r="E48" s="100">
        <f>HLOOKUP($B48,Inputs!$B$31:$BZ$68,E$7,FALSE)</f>
        <v>2.2676923076923079</v>
      </c>
      <c r="F48" s="102" t="str">
        <f>HLOOKUP($B48,Inputs!$B$31:$BZ$68,F$7,FALSE)</f>
        <v>Choose Bet</v>
      </c>
      <c r="G48" s="102">
        <f>HLOOKUP($B48,Inputs!$B$31:$BZ$68,G$7,FALSE)</f>
        <v>1650.5384615384617</v>
      </c>
      <c r="H48" s="102">
        <f>HLOOKUP($B48,Inputs!$B$31:$BZ$68,H$7,FALSE)</f>
        <v>100</v>
      </c>
      <c r="I48" s="102" t="str">
        <f>HLOOKUP($B48,Inputs!$B$31:$BZ$68,I$7,FALSE)</f>
        <v>Choose Bet</v>
      </c>
      <c r="J48" s="102">
        <f>HLOOKUP($B48,Inputs!$B$31:$BZ$68,J$7,FALSE)</f>
        <v>50</v>
      </c>
      <c r="K48" s="102" t="str">
        <f>HLOOKUP($B48,Inputs!$B$31:$BZ$68,K$7,FALSE)</f>
        <v>Choose Bet</v>
      </c>
      <c r="L48" s="102">
        <f>HLOOKUP($B48,Inputs!$B$31:$BZ$68,L$7,FALSE)</f>
        <v>199.99999999999983</v>
      </c>
      <c r="M48" s="102" t="str">
        <f>HLOOKUP($B48,Inputs!$B$4:$BZ$29,M$7,FALSE)</f>
        <v>Choose Bet</v>
      </c>
      <c r="N48" s="106">
        <f>HLOOKUP($B48,Inputs!$B$4:$BZ$29,N$7,FALSE)</f>
        <v>10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33"/>
    </row>
    <row r="49" spans="1:26" ht="15.75" customHeight="1">
      <c r="A49" s="255">
        <v>42</v>
      </c>
      <c r="B49" s="93" t="s">
        <v>46</v>
      </c>
      <c r="C49" s="96" t="s">
        <v>352</v>
      </c>
      <c r="D49" s="98">
        <f>HLOOKUP($B49,Inputs!$B$31:$BZ$68,D$7,FALSE)</f>
        <v>5.8985423197492164</v>
      </c>
      <c r="E49" s="100">
        <f>HLOOKUP($B49,Inputs!$B$31:$BZ$68,E$7,FALSE)</f>
        <v>3.2382196969696975</v>
      </c>
      <c r="F49" s="102" t="str">
        <f>HLOOKUP($B49,Inputs!$B$31:$BZ$68,F$7,FALSE)</f>
        <v>Choose Bet</v>
      </c>
      <c r="G49" s="102">
        <f>HLOOKUP($B49,Inputs!$B$31:$BZ$68,G$7,FALSE)</f>
        <v>388.30379310344836</v>
      </c>
      <c r="H49" s="102">
        <f>HLOOKUP($B49,Inputs!$B$31:$BZ$68,H$7,FALSE)</f>
        <v>6.6</v>
      </c>
      <c r="I49" s="102" t="str">
        <f>HLOOKUP($B49,Inputs!$B$31:$BZ$68,I$7,FALSE)</f>
        <v>Choose Bet</v>
      </c>
      <c r="J49" s="102">
        <f>HLOOKUP($B49,Inputs!$B$31:$BZ$68,J$7,FALSE)</f>
        <v>30</v>
      </c>
      <c r="K49" s="102" t="str">
        <f>HLOOKUP($B49,Inputs!$B$31:$BZ$68,K$7,FALSE)</f>
        <v>Choose Bet</v>
      </c>
      <c r="L49" s="102">
        <f>HLOOKUP($B49,Inputs!$B$31:$BZ$68,L$7,FALSE)</f>
        <v>131.99999999999989</v>
      </c>
      <c r="M49" s="102" t="str">
        <f>HLOOKUP($B49,Inputs!$B$4:$BZ$29,M$7,FALSE)</f>
        <v>Choose Bet</v>
      </c>
      <c r="N49" s="106">
        <f>HLOOKUP($B49,Inputs!$B$4:$BZ$29,N$7,FALSE)</f>
        <v>1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33"/>
    </row>
    <row r="50" spans="1:26" ht="15.75" customHeight="1">
      <c r="A50" s="255">
        <v>43</v>
      </c>
      <c r="B50" s="93" t="s">
        <v>47</v>
      </c>
      <c r="C50" s="96" t="s">
        <v>352</v>
      </c>
      <c r="D50" s="98">
        <f>HLOOKUP($B50,Inputs!$B$31:$BZ$68,D$7,FALSE)</f>
        <v>3.8151794871794871</v>
      </c>
      <c r="E50" s="100">
        <f>HLOOKUP($B50,Inputs!$B$31:$BZ$68,E$7,FALSE)</f>
        <v>2.5857641025641023</v>
      </c>
      <c r="F50" s="102" t="str">
        <f>HLOOKUP($B50,Inputs!$B$31:$BZ$68,F$7,FALSE)</f>
        <v>Choose Bet</v>
      </c>
      <c r="G50" s="102">
        <f>HLOOKUP($B50,Inputs!$B$31:$BZ$68,G$7,FALSE)</f>
        <v>395.77866666666677</v>
      </c>
      <c r="H50" s="102">
        <f>HLOOKUP($B50,Inputs!$B$31:$BZ$68,H$7,FALSE)</f>
        <v>10.4</v>
      </c>
      <c r="I50" s="102" t="str">
        <f>HLOOKUP($B50,Inputs!$B$31:$BZ$68,I$7,FALSE)</f>
        <v>Choose Bet</v>
      </c>
      <c r="J50" s="102">
        <f>HLOOKUP($B50,Inputs!$B$31:$BZ$68,J$7,FALSE)</f>
        <v>12</v>
      </c>
      <c r="K50" s="102" t="str">
        <f>HLOOKUP($B50,Inputs!$B$31:$BZ$68,K$7,FALSE)</f>
        <v>Choose Bet</v>
      </c>
      <c r="L50" s="102">
        <f>HLOOKUP($B50,Inputs!$B$31:$BZ$68,L$7,FALSE)</f>
        <v>207.99999999999983</v>
      </c>
      <c r="M50" s="102" t="str">
        <f>HLOOKUP($B50,Inputs!$B$4:$BZ$29,M$7,FALSE)</f>
        <v>Choose Bet</v>
      </c>
      <c r="N50" s="106">
        <f>HLOOKUP($B50,Inputs!$B$4:$BZ$29,N$7,FALSE)</f>
        <v>1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33"/>
    </row>
    <row r="51" spans="1:26" ht="15.75" customHeight="1">
      <c r="A51" s="255">
        <v>44</v>
      </c>
      <c r="B51" s="93" t="s">
        <v>48</v>
      </c>
      <c r="C51" s="96" t="s">
        <v>352</v>
      </c>
      <c r="D51" s="98">
        <f>HLOOKUP($B51,Inputs!$B$31:$BZ$68,D$7,FALSE)</f>
        <v>25.965</v>
      </c>
      <c r="E51" s="100">
        <f>HLOOKUP($B51,Inputs!$B$31:$BZ$68,E$7,FALSE)</f>
        <v>1.75</v>
      </c>
      <c r="F51" s="102" t="str">
        <f>HLOOKUP($B51,Inputs!$B$31:$BZ$68,F$7,FALSE)</f>
        <v>Choose Bet</v>
      </c>
      <c r="G51" s="102">
        <f>HLOOKUP($B51,Inputs!$B$31:$BZ$68,G$7,FALSE)</f>
        <v>2076.2000000000003</v>
      </c>
      <c r="H51" s="102">
        <f>HLOOKUP($B51,Inputs!$B$31:$BZ$68,H$7,FALSE)</f>
        <v>8</v>
      </c>
      <c r="I51" s="102" t="str">
        <f>HLOOKUP($B51,Inputs!$B$31:$BZ$68,I$7,FALSE)</f>
        <v>Choose Bet</v>
      </c>
      <c r="J51" s="102">
        <f>HLOOKUP($B51,Inputs!$B$31:$BZ$68,J$7,FALSE)</f>
        <v>68</v>
      </c>
      <c r="K51" s="102" t="str">
        <f>HLOOKUP($B51,Inputs!$B$31:$BZ$68,K$7,FALSE)</f>
        <v>Choose Bet</v>
      </c>
      <c r="L51" s="102">
        <f>HLOOKUP($B51,Inputs!$B$31:$BZ$68,L$7,FALSE)</f>
        <v>159.99999999999986</v>
      </c>
      <c r="M51" s="102" t="str">
        <f>HLOOKUP($B51,Inputs!$B$4:$BZ$29,M$7,FALSE)</f>
        <v>Choose Bet</v>
      </c>
      <c r="N51" s="106">
        <f>HLOOKUP($B51,Inputs!$B$4:$BZ$29,N$7,FALSE)</f>
        <v>1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33"/>
    </row>
    <row r="52" spans="1:26" ht="15.75" customHeight="1">
      <c r="A52" s="255">
        <v>45</v>
      </c>
      <c r="B52" s="93" t="s">
        <v>50</v>
      </c>
      <c r="C52" s="96" t="s">
        <v>354</v>
      </c>
      <c r="D52" s="98">
        <f>HLOOKUP($B52,Inputs!$B$31:$BZ$68,D$7,FALSE)</f>
        <v>0.2</v>
      </c>
      <c r="E52" s="100">
        <f>HLOOKUP($B52,Inputs!$B$31:$BZ$68,E$7,FALSE)</f>
        <v>0.252</v>
      </c>
      <c r="F52" s="102">
        <f>HLOOKUP($B52,Inputs!$B$31:$BZ$68,F$7,FALSE)</f>
        <v>49.000000000000014</v>
      </c>
      <c r="G52" s="102">
        <f>HLOOKUP($B52,Inputs!$B$31:$BZ$68,G$7,FALSE)</f>
        <v>2499.0000000000005</v>
      </c>
      <c r="H52" s="102">
        <f>HLOOKUP($B52,Inputs!$B$31:$BZ$68,H$7,FALSE)</f>
        <v>1250000</v>
      </c>
      <c r="I52" s="102">
        <f>HLOOKUP($B52,Inputs!$B$31:$BZ$68,I$7,FALSE)</f>
        <v>5</v>
      </c>
      <c r="J52" s="102">
        <f>HLOOKUP($B52,Inputs!$B$31:$BZ$68,J$7,FALSE)</f>
        <v>250</v>
      </c>
      <c r="K52" s="102">
        <f>HLOOKUP($B52,Inputs!$B$31:$BZ$68,K$7,FALSE)</f>
        <v>499.99999999999955</v>
      </c>
      <c r="L52" s="102">
        <f>HLOOKUP($B52,Inputs!$B$31:$BZ$68,L$7,FALSE)</f>
        <v>24999.999999999978</v>
      </c>
      <c r="M52" s="102">
        <f>HLOOKUP($B52,Inputs!$B$4:$BZ$29,M$7,FALSE)</f>
        <v>50000</v>
      </c>
      <c r="N52" s="106">
        <f>HLOOKUP($B52,Inputs!$B$4:$BZ$29,N$7,FALSE)</f>
        <v>1000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33"/>
    </row>
    <row r="53" spans="1:26" ht="15.75" customHeight="1">
      <c r="A53" s="255">
        <v>46</v>
      </c>
      <c r="B53" s="93" t="s">
        <v>51</v>
      </c>
      <c r="C53" s="96" t="s">
        <v>354</v>
      </c>
      <c r="D53" s="98">
        <f>HLOOKUP($B53,Inputs!$B$31:$BZ$68,D$7,FALSE)</f>
        <v>0.34908725812340269</v>
      </c>
      <c r="E53" s="100">
        <f>HLOOKUP($B53,Inputs!$B$31:$BZ$68,E$7,FALSE)</f>
        <v>0.22184545454545454</v>
      </c>
      <c r="F53" s="102">
        <f>HLOOKUP($B53,Inputs!$B$31:$BZ$68,F$7,FALSE)</f>
        <v>11518.879518072292</v>
      </c>
      <c r="G53" s="102">
        <f>HLOOKUP($B53,Inputs!$B$31:$BZ$68,G$7,FALSE)</f>
        <v>230396.59036144582</v>
      </c>
      <c r="H53" s="102">
        <f>HLOOKUP($B53,Inputs!$B$31:$BZ$68,H$7,FALSE)</f>
        <v>1650000</v>
      </c>
      <c r="I53" s="102">
        <f>HLOOKUP($B53,Inputs!$B$31:$BZ$68,I$7,FALSE)</f>
        <v>160</v>
      </c>
      <c r="J53" s="102">
        <f>HLOOKUP($B53,Inputs!$B$31:$BZ$68,J$7,FALSE)</f>
        <v>3200</v>
      </c>
      <c r="K53" s="102">
        <f>HLOOKUP($B53,Inputs!$B$31:$BZ$68,K$7,FALSE)</f>
        <v>65999.999999999942</v>
      </c>
      <c r="L53" s="102">
        <f>HLOOKUP($B53,Inputs!$B$31:$BZ$68,L$7,FALSE)</f>
        <v>1319999.9999999988</v>
      </c>
      <c r="M53" s="102">
        <f>HLOOKUP($B53,Inputs!$B$4:$BZ$29,M$7,FALSE)</f>
        <v>500</v>
      </c>
      <c r="N53" s="106">
        <f>HLOOKUP($B53,Inputs!$B$4:$BZ$29,N$7,FALSE)</f>
        <v>25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33"/>
    </row>
    <row r="54" spans="1:26" ht="15.75" customHeight="1">
      <c r="A54" s="255">
        <v>47</v>
      </c>
      <c r="B54" s="93" t="s">
        <v>52</v>
      </c>
      <c r="C54" s="96" t="s">
        <v>354</v>
      </c>
      <c r="D54" s="98">
        <f>HLOOKUP($B54,Inputs!$B$31:$BZ$68,D$7,FALSE)</f>
        <v>0.75</v>
      </c>
      <c r="E54" s="100">
        <f>HLOOKUP($B54,Inputs!$B$31:$BZ$68,E$7,FALSE)</f>
        <v>0.627</v>
      </c>
      <c r="F54" s="102">
        <f>HLOOKUP($B54,Inputs!$B$31:$BZ$68,F$7,FALSE)</f>
        <v>749.00000000000011</v>
      </c>
      <c r="G54" s="102">
        <f>HLOOKUP($B54,Inputs!$B$31:$BZ$68,G$7,FALSE)</f>
        <v>1499.0000000000002</v>
      </c>
      <c r="H54" s="102">
        <f>HLOOKUP($B54,Inputs!$B$31:$BZ$68,H$7,FALSE)</f>
        <v>20000</v>
      </c>
      <c r="I54" s="102">
        <f>HLOOKUP($B54,Inputs!$B$31:$BZ$68,I$7,FALSE)</f>
        <v>75</v>
      </c>
      <c r="J54" s="102">
        <f>HLOOKUP($B54,Inputs!$B$31:$BZ$68,J$7,FALSE)</f>
        <v>150</v>
      </c>
      <c r="K54" s="102">
        <f>HLOOKUP($B54,Inputs!$B$31:$BZ$68,K$7,FALSE)</f>
        <v>1999.9999999999982</v>
      </c>
      <c r="L54" s="102">
        <f>HLOOKUP($B54,Inputs!$B$31:$BZ$68,L$7,FALSE)</f>
        <v>3999.9999999999964</v>
      </c>
      <c r="M54" s="102">
        <f>HLOOKUP($B54,Inputs!$B$4:$BZ$29,M$7,FALSE)</f>
        <v>200</v>
      </c>
      <c r="N54" s="106">
        <f>HLOOKUP($B54,Inputs!$B$4:$BZ$29,N$7,FALSE)</f>
        <v>100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33"/>
    </row>
    <row r="55" spans="1:26" ht="15.75" customHeight="1">
      <c r="A55" s="255">
        <v>48</v>
      </c>
      <c r="B55" s="93" t="s">
        <v>53</v>
      </c>
      <c r="C55" s="96" t="s">
        <v>354</v>
      </c>
      <c r="D55" s="98">
        <f>HLOOKUP($B55,Inputs!$B$31:$BZ$68,D$7,FALSE)</f>
        <v>5.3233333333333333</v>
      </c>
      <c r="E55" s="100">
        <f>HLOOKUP($B55,Inputs!$B$31:$BZ$68,E$7,FALSE)</f>
        <v>1.5082666666666666</v>
      </c>
      <c r="F55" s="102">
        <f>HLOOKUP($B55,Inputs!$B$31:$BZ$68,F$7,FALSE)</f>
        <v>318.40000000000009</v>
      </c>
      <c r="G55" s="102">
        <f>HLOOKUP($B55,Inputs!$B$31:$BZ$68,G$7,FALSE)</f>
        <v>6387.0000000000009</v>
      </c>
      <c r="H55" s="102">
        <f>HLOOKUP($B55,Inputs!$B$31:$BZ$68,H$7,FALSE)</f>
        <v>3000000</v>
      </c>
      <c r="I55" s="102">
        <f>HLOOKUP($B55,Inputs!$B$31:$BZ$68,I$7,FALSE)</f>
        <v>2</v>
      </c>
      <c r="J55" s="102">
        <f>HLOOKUP($B55,Inputs!$B$31:$BZ$68,J$7,FALSE)</f>
        <v>40</v>
      </c>
      <c r="K55" s="102">
        <f>HLOOKUP($B55,Inputs!$B$31:$BZ$68,K$7,FALSE)</f>
        <v>119.99999999999989</v>
      </c>
      <c r="L55" s="102">
        <f>HLOOKUP($B55,Inputs!$B$31:$BZ$68,L$7,FALSE)</f>
        <v>2399.9999999999977</v>
      </c>
      <c r="M55" s="102">
        <f>HLOOKUP($B55,Inputs!$B$4:$BZ$29,M$7,FALSE)</f>
        <v>500000</v>
      </c>
      <c r="N55" s="106">
        <f>HLOOKUP($B55,Inputs!$B$4:$BZ$29,N$7,FALSE)</f>
        <v>25000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33"/>
    </row>
    <row r="56" spans="1:26" ht="15.75" customHeight="1">
      <c r="A56" s="255">
        <v>49</v>
      </c>
      <c r="B56" s="93" t="s">
        <v>54</v>
      </c>
      <c r="C56" s="96" t="s">
        <v>354</v>
      </c>
      <c r="D56" s="98">
        <f>HLOOKUP($B56,Inputs!$B$31:$BZ$68,D$7,FALSE)</f>
        <v>0.11156666666666666</v>
      </c>
      <c r="E56" s="100">
        <f>HLOOKUP($B56,Inputs!$B$31:$BZ$68,E$7,FALSE)</f>
        <v>2.5966666666666666E-2</v>
      </c>
      <c r="F56" s="102">
        <f>HLOOKUP($B56,Inputs!$B$31:$BZ$68,F$7,FALSE)</f>
        <v>33469.000000000007</v>
      </c>
      <c r="G56" s="102">
        <f>HLOOKUP($B56,Inputs!$B$31:$BZ$68,G$7,FALSE)</f>
        <v>669399.00000000012</v>
      </c>
      <c r="H56" s="102">
        <f>HLOOKUP($B56,Inputs!$B$31:$BZ$68,H$7,FALSE)</f>
        <v>3000000</v>
      </c>
      <c r="I56" s="102">
        <f>HLOOKUP($B56,Inputs!$B$31:$BZ$68,I$7,FALSE)</f>
        <v>350</v>
      </c>
      <c r="J56" s="102">
        <f>HLOOKUP($B56,Inputs!$B$31:$BZ$68,J$7,FALSE)</f>
        <v>7000</v>
      </c>
      <c r="K56" s="102">
        <f>HLOOKUP($B56,Inputs!$B$31:$BZ$68,K$7,FALSE)</f>
        <v>599999.99999999942</v>
      </c>
      <c r="L56" s="102">
        <f>HLOOKUP($B56,Inputs!$B$31:$BZ$68,L$7,FALSE)</f>
        <v>11999999.999999989</v>
      </c>
      <c r="M56" s="102">
        <f>HLOOKUP($B56,Inputs!$B$4:$BZ$29,M$7,FALSE)</f>
        <v>100</v>
      </c>
      <c r="N56" s="106">
        <f>HLOOKUP($B56,Inputs!$B$4:$BZ$29,N$7,FALSE)</f>
        <v>5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33"/>
    </row>
    <row r="57" spans="1:26" ht="15.75" customHeight="1">
      <c r="A57" s="255">
        <v>50</v>
      </c>
      <c r="B57" s="93" t="s">
        <v>55</v>
      </c>
      <c r="C57" s="96" t="s">
        <v>354</v>
      </c>
      <c r="D57" s="98">
        <f>HLOOKUP($B57,Inputs!$B$31:$BZ$68,D$7,FALSE)</f>
        <v>0.2545</v>
      </c>
      <c r="E57" s="100">
        <f>HLOOKUP($B57,Inputs!$B$31:$BZ$68,E$7,FALSE)</f>
        <v>5.4000000000000003E-3</v>
      </c>
      <c r="F57" s="102">
        <f>HLOOKUP($B57,Inputs!$B$31:$BZ$68,F$7,FALSE)</f>
        <v>2544.0000000000005</v>
      </c>
      <c r="G57" s="102">
        <f>HLOOKUP($B57,Inputs!$B$31:$BZ$68,G$7,FALSE)</f>
        <v>50899.000000000015</v>
      </c>
      <c r="H57" s="102">
        <f>HLOOKUP($B57,Inputs!$B$31:$BZ$68,H$7,FALSE)</f>
        <v>1000000</v>
      </c>
      <c r="I57" s="102">
        <f>HLOOKUP($B57,Inputs!$B$31:$BZ$68,I$7,FALSE)</f>
        <v>5</v>
      </c>
      <c r="J57" s="102">
        <f>HLOOKUP($B57,Inputs!$B$31:$BZ$68,J$7,FALSE)</f>
        <v>100</v>
      </c>
      <c r="K57" s="102">
        <f>HLOOKUP($B57,Inputs!$B$31:$BZ$68,K$7,FALSE)</f>
        <v>19999.999999999982</v>
      </c>
      <c r="L57" s="102">
        <f>HLOOKUP($B57,Inputs!$B$31:$BZ$68,L$7,FALSE)</f>
        <v>399999.99999999965</v>
      </c>
      <c r="M57" s="102">
        <f>HLOOKUP($B57,Inputs!$B$4:$BZ$29,M$7,FALSE)</f>
        <v>1000</v>
      </c>
      <c r="N57" s="106">
        <f>HLOOKUP($B57,Inputs!$B$4:$BZ$29,N$7,FALSE)</f>
        <v>50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33"/>
    </row>
    <row r="58" spans="1:26" ht="15.75" customHeight="1">
      <c r="A58" s="255">
        <v>51</v>
      </c>
      <c r="B58" s="93" t="s">
        <v>56</v>
      </c>
      <c r="C58" s="96" t="s">
        <v>354</v>
      </c>
      <c r="D58" s="98">
        <f>HLOOKUP($B58,Inputs!$B$31:$BZ$68,D$7,FALSE)</f>
        <v>0.02</v>
      </c>
      <c r="E58" s="100">
        <f>HLOOKUP($B58,Inputs!$B$31:$BZ$68,E$7,FALSE)</f>
        <v>1.3050000000000001E-2</v>
      </c>
      <c r="F58" s="102">
        <f>HLOOKUP($B58,Inputs!$B$31:$BZ$68,F$7,FALSE)</f>
        <v>19.000000000000004</v>
      </c>
      <c r="G58" s="102">
        <f>HLOOKUP($B58,Inputs!$B$31:$BZ$68,G$7,FALSE)</f>
        <v>799.00000000000023</v>
      </c>
      <c r="H58" s="102">
        <f>HLOOKUP($B58,Inputs!$B$31:$BZ$68,H$7,FALSE)</f>
        <v>40000</v>
      </c>
      <c r="I58" s="102">
        <f>HLOOKUP($B58,Inputs!$B$31:$BZ$68,I$7,FALSE)</f>
        <v>2</v>
      </c>
      <c r="J58" s="102">
        <f>HLOOKUP($B58,Inputs!$B$31:$BZ$68,J$7,FALSE)</f>
        <v>80</v>
      </c>
      <c r="K58" s="102">
        <f>HLOOKUP($B58,Inputs!$B$31:$BZ$68,K$7,FALSE)</f>
        <v>1999.9999999999982</v>
      </c>
      <c r="L58" s="102">
        <f>HLOOKUP($B58,Inputs!$B$31:$BZ$68,L$7,FALSE)</f>
        <v>79999.999999999927</v>
      </c>
      <c r="M58" s="102">
        <f>HLOOKUP($B58,Inputs!$B$4:$BZ$29,M$7,FALSE)</f>
        <v>400</v>
      </c>
      <c r="N58" s="106">
        <f>HLOOKUP($B58,Inputs!$B$4:$BZ$29,N$7,FALSE)</f>
        <v>10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33"/>
    </row>
    <row r="59" spans="1:26" ht="15.75" customHeight="1">
      <c r="A59" s="255">
        <v>52</v>
      </c>
      <c r="B59" s="175" t="s">
        <v>57</v>
      </c>
      <c r="C59" s="170" t="s">
        <v>158</v>
      </c>
      <c r="D59" s="98">
        <f>HLOOKUP($B59,Inputs!$B$31:$BZ$68,D$7,FALSE)</f>
        <v>6.658666666666667</v>
      </c>
      <c r="E59" s="100">
        <f>HLOOKUP($B59,Inputs!$B$31:$BZ$68,E$7,FALSE)</f>
        <v>0.97677146666666659</v>
      </c>
      <c r="F59" s="102">
        <f>HLOOKUP($B59,Inputs!$B$31:$BZ$68,F$7,FALSE)</f>
        <v>1663.666666666667</v>
      </c>
      <c r="G59" s="102">
        <f>HLOOKUP($B59,Inputs!$B$31:$BZ$68,G$7,FALSE)</f>
        <v>1663.666666666667</v>
      </c>
      <c r="H59" s="102">
        <f>HLOOKUP($B59,Inputs!$B$31:$BZ$68,H$7,FALSE)</f>
        <v>1500000</v>
      </c>
      <c r="I59" s="102">
        <f>HLOOKUP($B59,Inputs!$B$31:$BZ$68,I$7,FALSE)</f>
        <v>66.666666666666671</v>
      </c>
      <c r="J59" s="102">
        <f>HLOOKUP($B59,Inputs!$B$31:$BZ$68,J$7,FALSE)</f>
        <v>66.666666666666671</v>
      </c>
      <c r="K59" s="102">
        <f>HLOOKUP($B59,Inputs!$B$31:$BZ$68,K$7,FALSE)</f>
        <v>499.99999999999955</v>
      </c>
      <c r="L59" s="102">
        <f>HLOOKUP($B59,Inputs!$B$31:$BZ$68,L$7,FALSE)</f>
        <v>499.99999999999955</v>
      </c>
      <c r="M59" s="102">
        <f>HLOOKUP($B59,Inputs!$B$4:$BZ$29,M$7,FALSE)</f>
        <v>60000</v>
      </c>
      <c r="N59" s="106">
        <f>HLOOKUP($B59,Inputs!$B$4:$BZ$29,N$7,FALSE)</f>
        <v>60000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33"/>
    </row>
    <row r="60" spans="1:26" ht="15.75" customHeight="1">
      <c r="A60" s="255">
        <v>53</v>
      </c>
      <c r="B60" s="175" t="s">
        <v>58</v>
      </c>
      <c r="C60" s="170" t="s">
        <v>158</v>
      </c>
      <c r="D60" s="98">
        <f>HLOOKUP($B60,Inputs!$B$31:$BZ$68,D$7,FALSE)</f>
        <v>1.3316666666666668</v>
      </c>
      <c r="E60" s="100">
        <f>HLOOKUP($B60,Inputs!$B$31:$BZ$68,E$7,FALSE)</f>
        <v>1.4280996523754346</v>
      </c>
      <c r="F60" s="102">
        <f>HLOOKUP($B60,Inputs!$B$31:$BZ$68,F$7,FALSE)</f>
        <v>531.66666666666686</v>
      </c>
      <c r="G60" s="102">
        <f>HLOOKUP($B60,Inputs!$B$31:$BZ$68,G$7,FALSE)</f>
        <v>531.66666666666686</v>
      </c>
      <c r="H60" s="102">
        <f>HLOOKUP($B60,Inputs!$B$31:$BZ$68,H$7,FALSE)</f>
        <v>200000</v>
      </c>
      <c r="I60" s="102">
        <f>HLOOKUP($B60,Inputs!$B$31:$BZ$68,I$7,FALSE)</f>
        <v>20</v>
      </c>
      <c r="J60" s="102">
        <f>HLOOKUP($B60,Inputs!$B$31:$BZ$68,J$7,FALSE)</f>
        <v>20</v>
      </c>
      <c r="K60" s="102">
        <f>HLOOKUP($B60,Inputs!$B$31:$BZ$68,K$7,FALSE)</f>
        <v>799.99999999999932</v>
      </c>
      <c r="L60" s="102">
        <f>HLOOKUP($B60,Inputs!$B$31:$BZ$68,L$7,FALSE)</f>
        <v>799.99999999999932</v>
      </c>
      <c r="M60" s="102">
        <f>HLOOKUP($B60,Inputs!$B$4:$BZ$29,M$7,FALSE)</f>
        <v>5000</v>
      </c>
      <c r="N60" s="106">
        <f>HLOOKUP($B60,Inputs!$B$4:$BZ$29,N$7,FALSE)</f>
        <v>5000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33"/>
    </row>
    <row r="61" spans="1:26" ht="15.75" customHeight="1">
      <c r="A61" s="255">
        <v>54</v>
      </c>
      <c r="B61" s="93" t="s">
        <v>59</v>
      </c>
      <c r="C61" s="96" t="s">
        <v>158</v>
      </c>
      <c r="D61" s="98">
        <f>HLOOKUP($B61,Inputs!$B$31:$BZ$68,D$7,FALSE)</f>
        <v>2.2222222222222223</v>
      </c>
      <c r="E61" s="100">
        <f>HLOOKUP($B61,Inputs!$B$31:$BZ$68,E$7,FALSE)</f>
        <v>0.55555555555555558</v>
      </c>
      <c r="F61" s="102">
        <f>HLOOKUP($B61,Inputs!$B$31:$BZ$68,F$7,FALSE)</f>
        <v>399.00000000000011</v>
      </c>
      <c r="G61" s="102">
        <f>HLOOKUP($B61,Inputs!$B$31:$BZ$68,G$7,FALSE)</f>
        <v>3999.0000000000009</v>
      </c>
      <c r="H61" s="102">
        <f>HLOOKUP($B61,Inputs!$B$31:$BZ$68,H$7,FALSE)</f>
        <v>180000</v>
      </c>
      <c r="I61" s="102">
        <f>HLOOKUP($B61,Inputs!$B$31:$BZ$68,I$7,FALSE)</f>
        <v>40</v>
      </c>
      <c r="J61" s="102">
        <f>HLOOKUP($B61,Inputs!$B$31:$BZ$68,J$7,FALSE)</f>
        <v>400</v>
      </c>
      <c r="K61" s="102">
        <f>HLOOKUP($B61,Inputs!$B$31:$BZ$68,K$7,FALSE)</f>
        <v>359.99999999999966</v>
      </c>
      <c r="L61" s="102">
        <f>HLOOKUP($B61,Inputs!$B$31:$BZ$68,L$7,FALSE)</f>
        <v>3599.9999999999968</v>
      </c>
      <c r="M61" s="102">
        <f>HLOOKUP($B61,Inputs!$B$4:$BZ$29,M$7,FALSE)</f>
        <v>10000</v>
      </c>
      <c r="N61" s="106">
        <f>HLOOKUP($B61,Inputs!$B$4:$BZ$29,N$7,FALSE)</f>
        <v>1000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33"/>
    </row>
    <row r="62" spans="1:26" ht="15.75" customHeight="1">
      <c r="A62" s="255">
        <v>55</v>
      </c>
      <c r="B62" s="120" t="s">
        <v>49</v>
      </c>
      <c r="C62" s="96" t="s">
        <v>352</v>
      </c>
      <c r="D62" s="98">
        <f>HLOOKUP($B62,Inputs!$B$31:$BZ$68,D$7,FALSE)</f>
        <v>16.867000000000001</v>
      </c>
      <c r="E62" s="100">
        <f>HLOOKUP($B62,Inputs!$B$31:$BZ$68,E$7,FALSE)</f>
        <v>3.9386000000000001</v>
      </c>
      <c r="F62" s="102" t="str">
        <f>HLOOKUP($B62,Inputs!$B$31:$BZ$68,F$7,FALSE)</f>
        <v>Choose Bet</v>
      </c>
      <c r="G62" s="102">
        <f>HLOOKUP($B62,Inputs!$B$31:$BZ$68,G$7,FALSE)</f>
        <v>1685.7000000000005</v>
      </c>
      <c r="H62" s="102">
        <f>HLOOKUP($B62,Inputs!$B$31:$BZ$68,H$7,FALSE)</f>
        <v>10</v>
      </c>
      <c r="I62" s="102" t="str">
        <f>HLOOKUP($B62,Inputs!$B$31:$BZ$68,I$7,FALSE)</f>
        <v>Choose Bet</v>
      </c>
      <c r="J62" s="102">
        <f>HLOOKUP($B62,Inputs!$B$31:$BZ$68,J$7,FALSE)</f>
        <v>50</v>
      </c>
      <c r="K62" s="102" t="str">
        <f>HLOOKUP($B62,Inputs!$B$31:$BZ$68,K$7,FALSE)</f>
        <v>Choose Bet</v>
      </c>
      <c r="L62" s="102">
        <f>HLOOKUP($B62,Inputs!$B$31:$BZ$68,L$7,FALSE)</f>
        <v>199.99999999999983</v>
      </c>
      <c r="M62" s="102" t="str">
        <f>HLOOKUP($B62,Inputs!$B$4:$BZ$29,M$7,FALSE)</f>
        <v>Choose Bet</v>
      </c>
      <c r="N62" s="106">
        <f>HLOOKUP($B62,Inputs!$B$4:$BZ$29,N$7,FALSE)</f>
        <v>1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33"/>
    </row>
    <row r="63" spans="1:26" ht="15.75" customHeight="1">
      <c r="A63" s="255">
        <v>55</v>
      </c>
      <c r="B63" s="120" t="s">
        <v>60</v>
      </c>
      <c r="C63" s="96" t="s">
        <v>158</v>
      </c>
      <c r="D63" s="98">
        <f>HLOOKUP($B63,Inputs!$B$31:$BZ$68,D$7,FALSE)</f>
        <v>50</v>
      </c>
      <c r="E63" s="100">
        <f>HLOOKUP($B63,Inputs!$B$31:$BZ$68,E$7,FALSE)</f>
        <v>1.5533333333333332</v>
      </c>
      <c r="F63" s="102">
        <f>HLOOKUP($B63,Inputs!$B$31:$BZ$68,F$7,FALSE)</f>
        <v>4999.0000000000009</v>
      </c>
      <c r="G63" s="102">
        <f>HLOOKUP($B63,Inputs!$B$31:$BZ$68,G$7,FALSE)</f>
        <v>9999.0000000000018</v>
      </c>
      <c r="H63" s="102">
        <f>HLOOKUP($B63,Inputs!$B$31:$BZ$68,H$7,FALSE)</f>
        <v>200000</v>
      </c>
      <c r="I63" s="102">
        <f>HLOOKUP($B63,Inputs!$B$31:$BZ$68,I$7,FALSE)</f>
        <v>500</v>
      </c>
      <c r="J63" s="102">
        <f>HLOOKUP($B63,Inputs!$B$31:$BZ$68,J$7,FALSE)</f>
        <v>1000</v>
      </c>
      <c r="K63" s="102">
        <f>HLOOKUP($B63,Inputs!$B$31:$BZ$68,K$7,FALSE)</f>
        <v>199.99999999999983</v>
      </c>
      <c r="L63" s="102">
        <f>HLOOKUP($B63,Inputs!$B$31:$BZ$68,L$7,FALSE)</f>
        <v>399.99999999999966</v>
      </c>
      <c r="M63" s="102">
        <f>HLOOKUP($B63,Inputs!$B$4:$BZ$29,M$7,FALSE)</f>
        <v>20000</v>
      </c>
      <c r="N63" s="106">
        <f>HLOOKUP($B63,Inputs!$B$4:$BZ$29,N$7,FALSE)</f>
        <v>10000</v>
      </c>
      <c r="O63" s="192"/>
      <c r="P63" s="192"/>
      <c r="Q63" s="194"/>
      <c r="R63" s="29"/>
      <c r="S63" s="29"/>
      <c r="T63" s="29"/>
      <c r="U63" s="29"/>
      <c r="V63" s="29"/>
      <c r="W63" s="29"/>
      <c r="X63" s="29"/>
      <c r="Y63" s="29"/>
      <c r="Z63" s="195"/>
    </row>
    <row r="64" spans="1:26" ht="15.75" hidden="1" customHeight="1">
      <c r="A64" s="196"/>
      <c r="B64" s="197"/>
      <c r="C64" s="198"/>
      <c r="D64" s="199"/>
      <c r="E64" s="199"/>
      <c r="F64" s="200"/>
      <c r="G64" s="200"/>
      <c r="H64" s="200"/>
      <c r="I64" s="200"/>
      <c r="J64" s="200"/>
      <c r="K64" s="200"/>
      <c r="L64" s="200"/>
      <c r="M64" s="200"/>
      <c r="N64" s="200"/>
      <c r="O64" s="201"/>
      <c r="P64" s="202"/>
      <c r="Q64" s="203"/>
      <c r="R64" s="29"/>
      <c r="S64" s="29"/>
      <c r="T64" s="29"/>
      <c r="U64" s="29"/>
      <c r="V64" s="29"/>
      <c r="W64" s="29"/>
      <c r="X64" s="29"/>
      <c r="Y64" s="29"/>
      <c r="Z64" s="195"/>
    </row>
    <row r="65" spans="1:26" ht="15.75" hidden="1" customHeight="1">
      <c r="A65" s="196"/>
      <c r="B65" s="197"/>
      <c r="C65" s="198"/>
      <c r="D65" s="199"/>
      <c r="E65" s="199"/>
      <c r="F65" s="200"/>
      <c r="G65" s="200"/>
      <c r="H65" s="200"/>
      <c r="I65" s="200"/>
      <c r="J65" s="200"/>
      <c r="K65" s="200"/>
      <c r="L65" s="200"/>
      <c r="M65" s="200"/>
      <c r="N65" s="200"/>
      <c r="O65" s="201"/>
      <c r="P65" s="202"/>
      <c r="Q65" s="203"/>
      <c r="R65" s="29"/>
      <c r="S65" s="29"/>
      <c r="T65" s="29"/>
      <c r="U65" s="29"/>
      <c r="V65" s="29"/>
      <c r="W65" s="29"/>
      <c r="X65" s="29"/>
      <c r="Y65" s="29"/>
      <c r="Z65" s="195"/>
    </row>
    <row r="66" spans="1:26" ht="15.75" hidden="1" customHeight="1">
      <c r="A66" s="196"/>
      <c r="B66" s="197"/>
      <c r="C66" s="198"/>
      <c r="D66" s="199"/>
      <c r="E66" s="199"/>
      <c r="F66" s="200"/>
      <c r="G66" s="200"/>
      <c r="H66" s="200"/>
      <c r="I66" s="200"/>
      <c r="J66" s="200"/>
      <c r="K66" s="200"/>
      <c r="L66" s="200"/>
      <c r="M66" s="200"/>
      <c r="N66" s="200"/>
      <c r="O66" s="201"/>
      <c r="P66" s="202"/>
      <c r="Q66" s="203"/>
      <c r="R66" s="29"/>
      <c r="S66" s="29"/>
      <c r="T66" s="29"/>
      <c r="U66" s="29"/>
      <c r="V66" s="29"/>
      <c r="W66" s="29"/>
      <c r="X66" s="29"/>
      <c r="Y66" s="29"/>
      <c r="Z66" s="195"/>
    </row>
    <row r="67" spans="1:26" ht="15.75" hidden="1" customHeight="1">
      <c r="A67" s="196"/>
      <c r="B67" s="197"/>
      <c r="C67" s="198"/>
      <c r="D67" s="199"/>
      <c r="E67" s="199"/>
      <c r="F67" s="200"/>
      <c r="G67" s="200"/>
      <c r="H67" s="200"/>
      <c r="I67" s="200"/>
      <c r="J67" s="200"/>
      <c r="K67" s="200"/>
      <c r="L67" s="200"/>
      <c r="M67" s="200"/>
      <c r="N67" s="200"/>
      <c r="O67" s="201"/>
      <c r="P67" s="202"/>
      <c r="Q67" s="203"/>
      <c r="R67" s="29"/>
      <c r="S67" s="29"/>
      <c r="T67" s="29"/>
      <c r="U67" s="29"/>
      <c r="V67" s="29"/>
      <c r="W67" s="29"/>
      <c r="X67" s="29"/>
      <c r="Y67" s="29"/>
      <c r="Z67" s="195"/>
    </row>
    <row r="68" spans="1:26" ht="15.75" hidden="1" customHeight="1">
      <c r="A68" s="196"/>
      <c r="B68" s="197"/>
      <c r="C68" s="198"/>
      <c r="D68" s="199"/>
      <c r="E68" s="199"/>
      <c r="F68" s="200"/>
      <c r="G68" s="200"/>
      <c r="H68" s="200"/>
      <c r="I68" s="200"/>
      <c r="J68" s="200"/>
      <c r="K68" s="200"/>
      <c r="L68" s="200"/>
      <c r="M68" s="200"/>
      <c r="N68" s="200"/>
      <c r="O68" s="201"/>
      <c r="P68" s="202"/>
      <c r="Q68" s="203"/>
      <c r="R68" s="29"/>
      <c r="S68" s="29"/>
      <c r="T68" s="29"/>
      <c r="U68" s="29"/>
      <c r="V68" s="29"/>
      <c r="W68" s="29"/>
      <c r="X68" s="29"/>
      <c r="Y68" s="29"/>
      <c r="Z68" s="195"/>
    </row>
    <row r="69" spans="1:26" ht="15.75" hidden="1" customHeight="1">
      <c r="A69" s="196"/>
      <c r="B69" s="197"/>
      <c r="C69" s="198"/>
      <c r="D69" s="199"/>
      <c r="E69" s="199"/>
      <c r="F69" s="200"/>
      <c r="G69" s="200"/>
      <c r="H69" s="200"/>
      <c r="I69" s="200"/>
      <c r="J69" s="200"/>
      <c r="K69" s="200"/>
      <c r="L69" s="200"/>
      <c r="M69" s="200"/>
      <c r="N69" s="200"/>
      <c r="O69" s="201"/>
      <c r="P69" s="202"/>
      <c r="Q69" s="203"/>
      <c r="R69" s="29"/>
      <c r="S69" s="29"/>
      <c r="T69" s="29"/>
      <c r="U69" s="29"/>
      <c r="V69" s="29"/>
      <c r="W69" s="29"/>
      <c r="X69" s="29"/>
      <c r="Y69" s="29"/>
      <c r="Z69" s="195"/>
    </row>
    <row r="70" spans="1:26" ht="15.75" hidden="1" customHeight="1">
      <c r="A70" s="196"/>
      <c r="B70" s="197"/>
      <c r="C70" s="198"/>
      <c r="D70" s="199"/>
      <c r="E70" s="199"/>
      <c r="F70" s="200"/>
      <c r="G70" s="200"/>
      <c r="H70" s="200"/>
      <c r="I70" s="200"/>
      <c r="J70" s="200"/>
      <c r="K70" s="200"/>
      <c r="L70" s="200"/>
      <c r="M70" s="200"/>
      <c r="N70" s="200"/>
      <c r="O70" s="201"/>
      <c r="P70" s="202"/>
      <c r="Q70" s="203"/>
      <c r="R70" s="29"/>
      <c r="S70" s="29"/>
      <c r="T70" s="29"/>
      <c r="U70" s="29"/>
      <c r="V70" s="29"/>
      <c r="W70" s="29"/>
      <c r="X70" s="29"/>
      <c r="Y70" s="29"/>
      <c r="Z70" s="195"/>
    </row>
    <row r="71" spans="1:26" ht="15.75" hidden="1" customHeight="1">
      <c r="A71" s="196"/>
      <c r="B71" s="197"/>
      <c r="C71" s="198"/>
      <c r="D71" s="199"/>
      <c r="E71" s="199"/>
      <c r="F71" s="204"/>
      <c r="G71" s="200"/>
      <c r="H71" s="200"/>
      <c r="I71" s="200"/>
      <c r="J71" s="200"/>
      <c r="K71" s="200"/>
      <c r="L71" s="200"/>
      <c r="M71" s="200"/>
      <c r="N71" s="200"/>
      <c r="O71" s="205"/>
      <c r="P71" s="204"/>
      <c r="Q71" s="206"/>
      <c r="R71" s="29"/>
      <c r="S71" s="29"/>
      <c r="T71" s="29"/>
      <c r="U71" s="29"/>
      <c r="V71" s="29"/>
      <c r="W71" s="29"/>
      <c r="X71" s="29"/>
      <c r="Y71" s="29"/>
      <c r="Z71" s="195"/>
    </row>
    <row r="72" spans="1:26" ht="15.75" hidden="1" customHeight="1">
      <c r="A72" s="196"/>
      <c r="B72" s="197"/>
      <c r="C72" s="198"/>
      <c r="D72" s="199"/>
      <c r="E72" s="199"/>
      <c r="F72" s="200"/>
      <c r="G72" s="200"/>
      <c r="H72" s="200"/>
      <c r="I72" s="200"/>
      <c r="J72" s="200"/>
      <c r="K72" s="200"/>
      <c r="L72" s="200"/>
      <c r="M72" s="200"/>
      <c r="N72" s="200"/>
      <c r="O72" s="201"/>
      <c r="P72" s="202"/>
      <c r="Q72" s="203"/>
      <c r="R72" s="29"/>
      <c r="S72" s="29"/>
      <c r="T72" s="29"/>
      <c r="U72" s="29"/>
      <c r="V72" s="29"/>
      <c r="W72" s="29"/>
      <c r="X72" s="29"/>
      <c r="Y72" s="29"/>
      <c r="Z72" s="195"/>
    </row>
    <row r="73" spans="1:26" ht="15.75" customHeight="1">
      <c r="A73" s="207"/>
      <c r="B73" s="208"/>
      <c r="C73" s="197"/>
      <c r="D73" s="197"/>
      <c r="E73" s="197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10"/>
      <c r="R73" s="211"/>
      <c r="S73" s="211"/>
      <c r="T73" s="211"/>
      <c r="U73" s="211"/>
      <c r="V73" s="211"/>
      <c r="W73" s="211"/>
      <c r="X73" s="211"/>
      <c r="Y73" s="211"/>
      <c r="Z73" s="212"/>
    </row>
    <row r="74" spans="1:26" ht="15.75" customHeight="1">
      <c r="A74" s="207"/>
      <c r="B74" s="197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4"/>
      <c r="R74" s="29"/>
      <c r="S74" s="29"/>
      <c r="T74" s="29"/>
      <c r="U74" s="29"/>
      <c r="V74" s="29"/>
      <c r="W74" s="29"/>
      <c r="X74" s="29"/>
      <c r="Y74" s="29"/>
      <c r="Z74" s="195"/>
    </row>
    <row r="75" spans="1:26" ht="15.75" customHeight="1">
      <c r="A75" s="196"/>
      <c r="B75" s="197"/>
      <c r="C75" s="198"/>
      <c r="D75" s="199"/>
      <c r="E75" s="199"/>
      <c r="F75" s="200"/>
      <c r="G75" s="200"/>
      <c r="H75" s="200"/>
      <c r="I75" s="200"/>
      <c r="J75" s="200"/>
      <c r="K75" s="200"/>
      <c r="L75" s="200"/>
      <c r="M75" s="200"/>
      <c r="N75" s="200"/>
      <c r="O75" s="201"/>
      <c r="P75" s="202"/>
      <c r="Q75" s="203"/>
      <c r="R75" s="29"/>
      <c r="S75" s="29"/>
      <c r="T75" s="29"/>
      <c r="U75" s="29"/>
      <c r="V75" s="29"/>
      <c r="W75" s="29"/>
      <c r="X75" s="29"/>
      <c r="Y75" s="29"/>
      <c r="Z75" s="195"/>
    </row>
    <row r="76" spans="1:26" ht="15.75" customHeight="1">
      <c r="A76" s="196"/>
      <c r="B76" s="197"/>
      <c r="C76" s="198"/>
      <c r="D76" s="199"/>
      <c r="E76" s="199"/>
      <c r="F76" s="200"/>
      <c r="G76" s="200"/>
      <c r="H76" s="200"/>
      <c r="I76" s="200"/>
      <c r="J76" s="200"/>
      <c r="K76" s="200"/>
      <c r="L76" s="200"/>
      <c r="M76" s="200"/>
      <c r="N76" s="200"/>
      <c r="O76" s="201"/>
      <c r="P76" s="202"/>
      <c r="Q76" s="203"/>
      <c r="R76" s="29"/>
      <c r="S76" s="29"/>
      <c r="T76" s="29"/>
      <c r="U76" s="29"/>
      <c r="V76" s="29"/>
      <c r="W76" s="29"/>
      <c r="X76" s="29"/>
      <c r="Y76" s="29"/>
      <c r="Z76" s="195"/>
    </row>
    <row r="77" spans="1:26" ht="15.75" customHeight="1">
      <c r="A77" s="196"/>
      <c r="B77" s="197"/>
      <c r="C77" s="198"/>
      <c r="D77" s="199"/>
      <c r="E77" s="199"/>
      <c r="F77" s="200"/>
      <c r="G77" s="200"/>
      <c r="H77" s="200"/>
      <c r="I77" s="200"/>
      <c r="J77" s="200"/>
      <c r="K77" s="200"/>
      <c r="L77" s="200"/>
      <c r="M77" s="200"/>
      <c r="N77" s="200"/>
      <c r="O77" s="201"/>
      <c r="P77" s="202"/>
      <c r="Q77" s="203"/>
      <c r="R77" s="29"/>
      <c r="S77" s="29"/>
      <c r="T77" s="29"/>
      <c r="U77" s="29"/>
      <c r="V77" s="29"/>
      <c r="W77" s="29"/>
      <c r="X77" s="29"/>
      <c r="Y77" s="29"/>
      <c r="Z77" s="195"/>
    </row>
    <row r="78" spans="1:26" ht="15.75" customHeight="1">
      <c r="A78" s="196"/>
      <c r="B78" s="197"/>
      <c r="C78" s="198"/>
      <c r="D78" s="199"/>
      <c r="E78" s="199"/>
      <c r="F78" s="200"/>
      <c r="G78" s="200"/>
      <c r="H78" s="200"/>
      <c r="I78" s="200"/>
      <c r="J78" s="200"/>
      <c r="K78" s="200"/>
      <c r="L78" s="200"/>
      <c r="M78" s="200"/>
      <c r="N78" s="200"/>
      <c r="O78" s="201"/>
      <c r="P78" s="202"/>
      <c r="Q78" s="203"/>
      <c r="R78" s="29"/>
      <c r="S78" s="29"/>
      <c r="T78" s="29"/>
      <c r="U78" s="29"/>
      <c r="V78" s="29"/>
      <c r="W78" s="29"/>
      <c r="X78" s="29"/>
      <c r="Y78" s="29"/>
      <c r="Z78" s="195"/>
    </row>
    <row r="79" spans="1:26" ht="15.75" customHeight="1">
      <c r="A79" s="196"/>
      <c r="B79" s="197"/>
      <c r="C79" s="198"/>
      <c r="D79" s="199"/>
      <c r="E79" s="199"/>
      <c r="F79" s="200"/>
      <c r="G79" s="200"/>
      <c r="H79" s="200"/>
      <c r="I79" s="200"/>
      <c r="J79" s="200"/>
      <c r="K79" s="200"/>
      <c r="L79" s="200"/>
      <c r="M79" s="200"/>
      <c r="N79" s="200"/>
      <c r="O79" s="201"/>
      <c r="P79" s="202"/>
      <c r="Q79" s="203"/>
      <c r="R79" s="29"/>
      <c r="S79" s="29"/>
      <c r="T79" s="29"/>
      <c r="U79" s="29"/>
      <c r="V79" s="29"/>
      <c r="W79" s="29"/>
      <c r="X79" s="29"/>
      <c r="Y79" s="29"/>
      <c r="Z79" s="195"/>
    </row>
    <row r="80" spans="1:26" ht="15.75" customHeight="1">
      <c r="A80" s="196"/>
      <c r="B80" s="197"/>
      <c r="C80" s="198"/>
      <c r="D80" s="199"/>
      <c r="E80" s="199"/>
      <c r="F80" s="200"/>
      <c r="G80" s="200"/>
      <c r="H80" s="200"/>
      <c r="I80" s="200"/>
      <c r="J80" s="200"/>
      <c r="K80" s="200"/>
      <c r="L80" s="200"/>
      <c r="M80" s="200"/>
      <c r="N80" s="200"/>
      <c r="O80" s="201"/>
      <c r="P80" s="202"/>
      <c r="Q80" s="203"/>
      <c r="R80" s="29"/>
      <c r="S80" s="29"/>
      <c r="T80" s="29"/>
      <c r="U80" s="29"/>
      <c r="V80" s="29"/>
      <c r="W80" s="29"/>
      <c r="X80" s="29"/>
      <c r="Y80" s="29"/>
      <c r="Z80" s="195"/>
    </row>
    <row r="81" spans="1:26" ht="15.75" customHeight="1">
      <c r="A81" s="196"/>
      <c r="B81" s="197"/>
      <c r="C81" s="198"/>
      <c r="D81" s="199"/>
      <c r="E81" s="199"/>
      <c r="F81" s="200"/>
      <c r="G81" s="200"/>
      <c r="H81" s="200"/>
      <c r="I81" s="200"/>
      <c r="J81" s="200"/>
      <c r="K81" s="200"/>
      <c r="L81" s="200"/>
      <c r="M81" s="200"/>
      <c r="N81" s="200"/>
      <c r="O81" s="201"/>
      <c r="P81" s="202"/>
      <c r="Q81" s="203"/>
      <c r="R81" s="29"/>
      <c r="S81" s="29"/>
      <c r="T81" s="29"/>
      <c r="U81" s="29"/>
      <c r="V81" s="29"/>
      <c r="W81" s="29"/>
      <c r="X81" s="29"/>
      <c r="Y81" s="29"/>
      <c r="Z81" s="195"/>
    </row>
    <row r="82" spans="1:26" ht="15.75" customHeight="1">
      <c r="A82" s="196"/>
      <c r="B82" s="197"/>
      <c r="C82" s="198"/>
      <c r="D82" s="199"/>
      <c r="E82" s="199"/>
      <c r="F82" s="204"/>
      <c r="G82" s="200"/>
      <c r="H82" s="200"/>
      <c r="I82" s="200"/>
      <c r="J82" s="200"/>
      <c r="K82" s="200"/>
      <c r="L82" s="200"/>
      <c r="M82" s="200"/>
      <c r="N82" s="200"/>
      <c r="O82" s="205"/>
      <c r="P82" s="204"/>
      <c r="Q82" s="206"/>
      <c r="R82" s="29"/>
      <c r="S82" s="29"/>
      <c r="T82" s="29"/>
      <c r="U82" s="29"/>
      <c r="V82" s="29"/>
      <c r="W82" s="29"/>
      <c r="X82" s="29"/>
      <c r="Y82" s="29"/>
      <c r="Z82" s="195"/>
    </row>
    <row r="83" spans="1:26" ht="15.75" customHeight="1">
      <c r="A83" s="196"/>
      <c r="B83" s="197"/>
      <c r="C83" s="198"/>
      <c r="D83" s="199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1"/>
      <c r="P83" s="202"/>
      <c r="Q83" s="203"/>
      <c r="R83" s="29"/>
      <c r="S83" s="29"/>
      <c r="T83" s="29"/>
      <c r="U83" s="29"/>
      <c r="V83" s="29"/>
      <c r="W83" s="29"/>
      <c r="X83" s="29"/>
      <c r="Y83" s="29"/>
      <c r="Z83" s="195"/>
    </row>
    <row r="84" spans="1:26" ht="15.75" customHeight="1">
      <c r="A84" s="196"/>
      <c r="B84" s="197"/>
      <c r="C84" s="198"/>
      <c r="D84" s="199"/>
      <c r="E84" s="199"/>
      <c r="F84" s="200"/>
      <c r="G84" s="200"/>
      <c r="H84" s="200"/>
      <c r="I84" s="200"/>
      <c r="J84" s="200"/>
      <c r="K84" s="200"/>
      <c r="L84" s="200"/>
      <c r="M84" s="200"/>
      <c r="N84" s="200"/>
      <c r="O84" s="201"/>
      <c r="P84" s="202"/>
      <c r="Q84" s="203"/>
      <c r="R84" s="29"/>
      <c r="S84" s="29"/>
      <c r="T84" s="29"/>
      <c r="U84" s="29"/>
      <c r="V84" s="29"/>
      <c r="W84" s="29"/>
      <c r="X84" s="29"/>
      <c r="Y84" s="29"/>
      <c r="Z84" s="195"/>
    </row>
    <row r="85" spans="1:26" ht="15.75" customHeight="1">
      <c r="A85" s="196"/>
      <c r="B85" s="197"/>
      <c r="C85" s="198"/>
      <c r="D85" s="199"/>
      <c r="E85" s="199"/>
      <c r="F85" s="200"/>
      <c r="G85" s="200"/>
      <c r="H85" s="200"/>
      <c r="I85" s="200"/>
      <c r="J85" s="200"/>
      <c r="K85" s="200"/>
      <c r="L85" s="200"/>
      <c r="M85" s="200"/>
      <c r="N85" s="200"/>
      <c r="O85" s="201"/>
      <c r="P85" s="202"/>
      <c r="Q85" s="203"/>
      <c r="R85" s="29"/>
      <c r="S85" s="29"/>
      <c r="T85" s="29"/>
      <c r="U85" s="29"/>
      <c r="V85" s="29"/>
      <c r="W85" s="29"/>
      <c r="X85" s="29"/>
      <c r="Y85" s="29"/>
      <c r="Z85" s="195"/>
    </row>
    <row r="86" spans="1:26" ht="15.75" customHeight="1">
      <c r="A86" s="196"/>
      <c r="B86" s="197"/>
      <c r="C86" s="198"/>
      <c r="D86" s="199"/>
      <c r="E86" s="199"/>
      <c r="F86" s="200"/>
      <c r="G86" s="200"/>
      <c r="H86" s="200"/>
      <c r="I86" s="200"/>
      <c r="J86" s="200"/>
      <c r="K86" s="200"/>
      <c r="L86" s="200"/>
      <c r="M86" s="200"/>
      <c r="N86" s="200"/>
      <c r="O86" s="205"/>
      <c r="P86" s="204"/>
      <c r="Q86" s="206"/>
      <c r="R86" s="29"/>
      <c r="S86" s="29"/>
      <c r="T86" s="29"/>
      <c r="U86" s="29"/>
      <c r="V86" s="29"/>
      <c r="W86" s="29"/>
      <c r="X86" s="29"/>
      <c r="Y86" s="29"/>
      <c r="Z86" s="195"/>
    </row>
    <row r="87" spans="1:26" ht="15.75" customHeight="1">
      <c r="A87" s="196"/>
      <c r="B87" s="197"/>
      <c r="C87" s="198"/>
      <c r="D87" s="199"/>
      <c r="E87" s="199"/>
      <c r="F87" s="200"/>
      <c r="G87" s="200"/>
      <c r="H87" s="200"/>
      <c r="I87" s="200"/>
      <c r="J87" s="200"/>
      <c r="K87" s="200"/>
      <c r="L87" s="200"/>
      <c r="M87" s="200"/>
      <c r="N87" s="200"/>
      <c r="O87" s="201"/>
      <c r="P87" s="202"/>
      <c r="Q87" s="203"/>
      <c r="R87" s="29"/>
      <c r="S87" s="29"/>
      <c r="T87" s="29"/>
      <c r="U87" s="29"/>
      <c r="V87" s="29"/>
      <c r="W87" s="29"/>
      <c r="X87" s="29"/>
      <c r="Y87" s="29"/>
      <c r="Z87" s="195"/>
    </row>
    <row r="88" spans="1:26" ht="15.75" customHeight="1">
      <c r="A88" s="196"/>
      <c r="B88" s="197"/>
      <c r="C88" s="198"/>
      <c r="D88" s="199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1"/>
      <c r="P88" s="202"/>
      <c r="Q88" s="203"/>
      <c r="R88" s="29"/>
      <c r="S88" s="29"/>
      <c r="T88" s="29"/>
      <c r="U88" s="29"/>
      <c r="V88" s="29"/>
      <c r="W88" s="29"/>
      <c r="X88" s="29"/>
      <c r="Y88" s="29"/>
      <c r="Z88" s="195"/>
    </row>
    <row r="89" spans="1:26" ht="15.75" customHeight="1">
      <c r="A89" s="196"/>
      <c r="B89" s="197"/>
      <c r="C89" s="198"/>
      <c r="D89" s="199"/>
      <c r="E89" s="199"/>
      <c r="F89" s="200"/>
      <c r="G89" s="200"/>
      <c r="H89" s="200"/>
      <c r="I89" s="200"/>
      <c r="J89" s="200"/>
      <c r="K89" s="200"/>
      <c r="L89" s="200"/>
      <c r="M89" s="200"/>
      <c r="N89" s="200"/>
      <c r="O89" s="201"/>
      <c r="P89" s="202"/>
      <c r="Q89" s="203"/>
      <c r="R89" s="29"/>
      <c r="S89" s="29"/>
      <c r="T89" s="29"/>
      <c r="U89" s="29"/>
      <c r="V89" s="29"/>
      <c r="W89" s="29"/>
      <c r="X89" s="29"/>
      <c r="Y89" s="29"/>
      <c r="Z89" s="195"/>
    </row>
    <row r="90" spans="1:26" ht="15.75" customHeight="1">
      <c r="A90" s="213"/>
      <c r="B90" s="214"/>
      <c r="C90" s="215"/>
      <c r="D90" s="216"/>
      <c r="E90" s="216"/>
      <c r="F90" s="217"/>
      <c r="G90" s="217"/>
      <c r="H90" s="217"/>
      <c r="I90" s="217"/>
      <c r="J90" s="217"/>
      <c r="K90" s="217"/>
      <c r="L90" s="217"/>
      <c r="M90" s="217"/>
      <c r="N90" s="217"/>
      <c r="O90" s="218"/>
      <c r="P90" s="219"/>
      <c r="Q90" s="220"/>
      <c r="R90" s="29"/>
      <c r="S90" s="29"/>
      <c r="T90" s="29"/>
      <c r="U90" s="29"/>
      <c r="V90" s="29"/>
      <c r="W90" s="29"/>
      <c r="X90" s="29"/>
      <c r="Y90" s="29"/>
      <c r="Z90" s="195"/>
    </row>
    <row r="91" spans="1:26" ht="15.75" customHeight="1">
      <c r="A91" s="25"/>
      <c r="B91" s="25"/>
      <c r="C91" s="31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33"/>
    </row>
    <row r="92" spans="1:26" ht="15.75" customHeight="1">
      <c r="A92" s="25"/>
      <c r="B92" s="25"/>
      <c r="C92" s="31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33"/>
    </row>
    <row r="93" spans="1:26" ht="15.75" customHeight="1">
      <c r="A93" s="25"/>
      <c r="B93" s="25"/>
      <c r="C93" s="31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33"/>
    </row>
    <row r="94" spans="1:26" ht="15.75" customHeight="1">
      <c r="A94" s="25"/>
      <c r="B94" s="25"/>
      <c r="C94" s="31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33"/>
    </row>
    <row r="95" spans="1:26" ht="15.75" customHeight="1">
      <c r="A95" s="25"/>
      <c r="B95" s="25"/>
      <c r="C95" s="31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33"/>
    </row>
    <row r="96" spans="1:26" ht="15.75" customHeight="1">
      <c r="A96" s="25"/>
      <c r="B96" s="25"/>
      <c r="C96" s="31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33"/>
    </row>
    <row r="97" spans="1:26" ht="15.75" customHeight="1">
      <c r="A97" s="25"/>
      <c r="B97" s="25"/>
      <c r="C97" s="31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33"/>
    </row>
    <row r="98" spans="1:26" ht="15.75" customHeight="1">
      <c r="A98" s="25"/>
      <c r="B98" s="25"/>
      <c r="C98" s="31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33"/>
    </row>
    <row r="99" spans="1:26" ht="15.75" customHeight="1">
      <c r="A99" s="25"/>
      <c r="B99" s="25"/>
      <c r="C99" s="31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33"/>
    </row>
    <row r="100" spans="1:26" ht="15.75" customHeight="1">
      <c r="A100" s="25"/>
      <c r="B100" s="25"/>
      <c r="C100" s="31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33"/>
    </row>
    <row r="101" spans="1:26" ht="15.75" customHeight="1">
      <c r="A101" s="25"/>
      <c r="B101" s="25"/>
      <c r="C101" s="31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33"/>
    </row>
    <row r="102" spans="1:26" ht="15.75" customHeight="1">
      <c r="A102" s="25"/>
      <c r="B102" s="25"/>
      <c r="C102" s="31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33"/>
    </row>
    <row r="103" spans="1:26" ht="15.75" customHeight="1">
      <c r="A103" s="25"/>
      <c r="B103" s="25"/>
      <c r="C103" s="31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33"/>
    </row>
    <row r="104" spans="1:26" ht="15.75" customHeight="1">
      <c r="A104" s="25"/>
      <c r="B104" s="25"/>
      <c r="C104" s="31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33"/>
    </row>
    <row r="105" spans="1:26" ht="15.75" customHeight="1">
      <c r="A105" s="25"/>
      <c r="B105" s="25"/>
      <c r="C105" s="31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33"/>
    </row>
    <row r="106" spans="1:26" ht="15.75" customHeight="1">
      <c r="A106" s="25"/>
      <c r="B106" s="25"/>
      <c r="C106" s="31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33"/>
    </row>
    <row r="107" spans="1:26" ht="15.75" customHeight="1">
      <c r="A107" s="25"/>
      <c r="B107" s="25"/>
      <c r="C107" s="31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33"/>
    </row>
    <row r="108" spans="1:26" ht="15.75" customHeight="1">
      <c r="A108" s="25"/>
      <c r="B108" s="25"/>
      <c r="C108" s="31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33"/>
    </row>
    <row r="109" spans="1:26" ht="15.75" customHeight="1">
      <c r="A109" s="25"/>
      <c r="B109" s="25"/>
      <c r="C109" s="31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33"/>
    </row>
    <row r="110" spans="1:26" ht="15.75" customHeight="1">
      <c r="A110" s="25"/>
      <c r="B110" s="25"/>
      <c r="C110" s="31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33"/>
    </row>
    <row r="111" spans="1:26" ht="15.75" customHeight="1">
      <c r="A111" s="25"/>
      <c r="B111" s="25"/>
      <c r="C111" s="31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33"/>
    </row>
    <row r="112" spans="1:26" ht="15.75" customHeight="1">
      <c r="A112" s="25"/>
      <c r="B112" s="25"/>
      <c r="C112" s="31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33"/>
    </row>
    <row r="113" spans="1:26" ht="15.75" customHeight="1">
      <c r="A113" s="25"/>
      <c r="B113" s="25"/>
      <c r="C113" s="31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33"/>
    </row>
    <row r="114" spans="1:26" ht="15.75" customHeight="1">
      <c r="A114" s="25"/>
      <c r="B114" s="25"/>
      <c r="C114" s="31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33"/>
    </row>
    <row r="115" spans="1:26" ht="15.75" customHeight="1">
      <c r="A115" s="25"/>
      <c r="B115" s="25"/>
      <c r="C115" s="31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33"/>
    </row>
    <row r="116" spans="1:26" ht="15.75" customHeight="1">
      <c r="A116" s="25"/>
      <c r="B116" s="25"/>
      <c r="C116" s="31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33"/>
    </row>
    <row r="117" spans="1:26" ht="15.75" customHeight="1">
      <c r="A117" s="25"/>
      <c r="B117" s="25"/>
      <c r="C117" s="31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33"/>
    </row>
    <row r="118" spans="1:26" ht="15.75" customHeight="1">
      <c r="A118" s="25"/>
      <c r="B118" s="25"/>
      <c r="C118" s="31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33"/>
    </row>
    <row r="119" spans="1:26" ht="15.75" customHeight="1">
      <c r="A119" s="25"/>
      <c r="B119" s="25"/>
      <c r="C119" s="31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33"/>
    </row>
    <row r="120" spans="1:26" ht="15.75" customHeight="1">
      <c r="A120" s="25"/>
      <c r="B120" s="25"/>
      <c r="C120" s="31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33"/>
    </row>
    <row r="121" spans="1:26" ht="15.75" customHeight="1">
      <c r="A121" s="25"/>
      <c r="B121" s="25"/>
      <c r="C121" s="31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33"/>
    </row>
    <row r="122" spans="1:26" ht="15.75" customHeight="1">
      <c r="A122" s="25"/>
      <c r="B122" s="25"/>
      <c r="C122" s="31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33"/>
    </row>
    <row r="123" spans="1:26" ht="15.75" customHeight="1">
      <c r="A123" s="25"/>
      <c r="B123" s="25"/>
      <c r="C123" s="31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33"/>
    </row>
    <row r="124" spans="1:26" ht="15.75" customHeight="1">
      <c r="A124" s="25"/>
      <c r="B124" s="25"/>
      <c r="C124" s="31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33"/>
    </row>
    <row r="125" spans="1:26" ht="15.75" customHeight="1">
      <c r="A125" s="25"/>
      <c r="B125" s="25"/>
      <c r="C125" s="31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33"/>
    </row>
    <row r="126" spans="1:26" ht="15.75" customHeight="1">
      <c r="A126" s="25"/>
      <c r="B126" s="25"/>
      <c r="C126" s="31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33"/>
    </row>
    <row r="127" spans="1:26" ht="15.75" customHeight="1">
      <c r="A127" s="25"/>
      <c r="B127" s="25"/>
      <c r="C127" s="31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33"/>
    </row>
    <row r="128" spans="1:26" ht="15.75" customHeight="1">
      <c r="A128" s="25"/>
      <c r="B128" s="25"/>
      <c r="C128" s="31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33"/>
    </row>
    <row r="129" spans="1:26" ht="15.75" customHeight="1">
      <c r="A129" s="25"/>
      <c r="B129" s="25"/>
      <c r="C129" s="31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33"/>
    </row>
    <row r="130" spans="1:26" ht="15.75" customHeight="1">
      <c r="A130" s="25"/>
      <c r="B130" s="25"/>
      <c r="C130" s="31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33"/>
    </row>
    <row r="131" spans="1:26" ht="15.75" customHeight="1">
      <c r="A131" s="25"/>
      <c r="B131" s="25"/>
      <c r="C131" s="31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33"/>
    </row>
    <row r="132" spans="1:26" ht="15.75" customHeight="1">
      <c r="A132" s="25"/>
      <c r="B132" s="25"/>
      <c r="C132" s="31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33"/>
    </row>
    <row r="133" spans="1:26" ht="15.75" customHeight="1">
      <c r="A133" s="25"/>
      <c r="B133" s="25"/>
      <c r="C133" s="31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33"/>
    </row>
    <row r="134" spans="1:26" ht="15.75" customHeight="1">
      <c r="A134" s="25"/>
      <c r="B134" s="25"/>
      <c r="C134" s="31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33"/>
    </row>
    <row r="135" spans="1:26" ht="15.75" customHeight="1">
      <c r="A135" s="25"/>
      <c r="B135" s="25"/>
      <c r="C135" s="31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33"/>
    </row>
    <row r="136" spans="1:26" ht="15.75" customHeight="1">
      <c r="A136" s="25"/>
      <c r="B136" s="25"/>
      <c r="C136" s="31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33"/>
    </row>
    <row r="137" spans="1:26" ht="15.75" customHeight="1">
      <c r="A137" s="25"/>
      <c r="B137" s="25"/>
      <c r="C137" s="31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33"/>
    </row>
    <row r="138" spans="1:26" ht="15.75" customHeight="1">
      <c r="A138" s="25"/>
      <c r="B138" s="25"/>
      <c r="C138" s="31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33"/>
    </row>
    <row r="139" spans="1:26" ht="15.75" customHeight="1">
      <c r="A139" s="25"/>
      <c r="B139" s="25"/>
      <c r="C139" s="31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33"/>
    </row>
    <row r="140" spans="1:26" ht="15.75" customHeight="1">
      <c r="A140" s="25"/>
      <c r="B140" s="25"/>
      <c r="C140" s="31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33"/>
    </row>
    <row r="141" spans="1:26" ht="15.75" customHeight="1">
      <c r="A141" s="25"/>
      <c r="B141" s="25"/>
      <c r="C141" s="31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33"/>
    </row>
    <row r="142" spans="1:26" ht="15.75" customHeight="1">
      <c r="A142" s="25"/>
      <c r="B142" s="25"/>
      <c r="C142" s="31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33"/>
    </row>
    <row r="143" spans="1:26" ht="15.75" customHeight="1">
      <c r="A143" s="25"/>
      <c r="B143" s="25"/>
      <c r="C143" s="31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33"/>
    </row>
    <row r="144" spans="1:26" ht="15.75" customHeight="1">
      <c r="A144" s="25"/>
      <c r="B144" s="25"/>
      <c r="C144" s="31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33"/>
    </row>
    <row r="145" spans="1:26" ht="15.75" customHeight="1">
      <c r="A145" s="25"/>
      <c r="B145" s="25"/>
      <c r="C145" s="31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33"/>
    </row>
    <row r="146" spans="1:26" ht="15.75" customHeight="1">
      <c r="A146" s="25"/>
      <c r="B146" s="25"/>
      <c r="C146" s="31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33"/>
    </row>
    <row r="147" spans="1:26" ht="15.75" customHeight="1">
      <c r="A147" s="25"/>
      <c r="B147" s="25"/>
      <c r="C147" s="31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33"/>
    </row>
    <row r="148" spans="1:26" ht="15.75" customHeight="1">
      <c r="A148" s="25"/>
      <c r="B148" s="25"/>
      <c r="C148" s="31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33"/>
    </row>
    <row r="149" spans="1:26" ht="15.75" customHeight="1">
      <c r="A149" s="25"/>
      <c r="B149" s="25"/>
      <c r="C149" s="31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33"/>
    </row>
    <row r="150" spans="1:26" ht="15.75" customHeight="1">
      <c r="A150" s="25"/>
      <c r="B150" s="25"/>
      <c r="C150" s="31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33"/>
    </row>
    <row r="151" spans="1:26" ht="15.75" customHeight="1">
      <c r="A151" s="25"/>
      <c r="B151" s="25"/>
      <c r="C151" s="31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33"/>
    </row>
    <row r="152" spans="1:26" ht="15.75" customHeight="1">
      <c r="A152" s="25"/>
      <c r="B152" s="25"/>
      <c r="C152" s="31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33"/>
    </row>
    <row r="153" spans="1:26" ht="15.75" customHeight="1">
      <c r="A153" s="25"/>
      <c r="B153" s="25"/>
      <c r="C153" s="31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33"/>
    </row>
    <row r="154" spans="1:26" ht="15.75" customHeight="1">
      <c r="A154" s="25"/>
      <c r="B154" s="25"/>
      <c r="C154" s="31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33"/>
    </row>
    <row r="155" spans="1:26" ht="15.75" customHeight="1">
      <c r="A155" s="25"/>
      <c r="B155" s="25"/>
      <c r="C155" s="31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33"/>
    </row>
    <row r="156" spans="1:26" ht="15.75" customHeight="1">
      <c r="A156" s="25"/>
      <c r="B156" s="25"/>
      <c r="C156" s="31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33"/>
    </row>
    <row r="157" spans="1:26" ht="15.75" customHeight="1">
      <c r="A157" s="25"/>
      <c r="B157" s="25"/>
      <c r="C157" s="31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33"/>
    </row>
    <row r="158" spans="1:26" ht="15.75" customHeight="1">
      <c r="A158" s="25"/>
      <c r="B158" s="25"/>
      <c r="C158" s="31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33"/>
    </row>
    <row r="159" spans="1:26" ht="15.75" customHeight="1">
      <c r="A159" s="25"/>
      <c r="B159" s="25"/>
      <c r="C159" s="31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33"/>
    </row>
    <row r="160" spans="1:26" ht="15.75" customHeight="1">
      <c r="A160" s="25"/>
      <c r="B160" s="25"/>
      <c r="C160" s="31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33"/>
    </row>
    <row r="161" spans="1:26" ht="15.75" customHeight="1">
      <c r="A161" s="25"/>
      <c r="B161" s="25"/>
      <c r="C161" s="31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33"/>
    </row>
    <row r="162" spans="1:26" ht="15.75" customHeight="1">
      <c r="A162" s="25"/>
      <c r="B162" s="25"/>
      <c r="C162" s="31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33"/>
    </row>
    <row r="163" spans="1:26" ht="15.75" customHeight="1">
      <c r="A163" s="25"/>
      <c r="B163" s="25"/>
      <c r="C163" s="31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33"/>
    </row>
    <row r="164" spans="1:26" ht="15.75" customHeight="1">
      <c r="A164" s="25"/>
      <c r="B164" s="25"/>
      <c r="C164" s="31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33"/>
    </row>
    <row r="165" spans="1:26" ht="15.75" customHeight="1">
      <c r="A165" s="25"/>
      <c r="B165" s="25"/>
      <c r="C165" s="31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33"/>
    </row>
    <row r="166" spans="1:26" ht="15.75" customHeight="1">
      <c r="A166" s="25"/>
      <c r="B166" s="25"/>
      <c r="C166" s="31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33"/>
    </row>
    <row r="167" spans="1:26" ht="15.75" customHeight="1">
      <c r="A167" s="25"/>
      <c r="B167" s="25"/>
      <c r="C167" s="31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33"/>
    </row>
    <row r="168" spans="1:26" ht="15.75" customHeight="1">
      <c r="A168" s="25"/>
      <c r="B168" s="25"/>
      <c r="C168" s="31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33"/>
    </row>
    <row r="169" spans="1:26" ht="15.75" customHeight="1">
      <c r="A169" s="25"/>
      <c r="B169" s="25"/>
      <c r="C169" s="31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33"/>
    </row>
    <row r="170" spans="1:26" ht="15.75" customHeight="1">
      <c r="A170" s="25"/>
      <c r="B170" s="25"/>
      <c r="C170" s="31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33"/>
    </row>
    <row r="171" spans="1:26" ht="15.75" customHeight="1">
      <c r="A171" s="25"/>
      <c r="B171" s="25"/>
      <c r="C171" s="31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33"/>
    </row>
    <row r="172" spans="1:26" ht="15.75" customHeight="1">
      <c r="A172" s="25"/>
      <c r="B172" s="25"/>
      <c r="C172" s="31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33"/>
    </row>
    <row r="173" spans="1:26" ht="15.75" customHeight="1">
      <c r="A173" s="25"/>
      <c r="B173" s="25"/>
      <c r="C173" s="31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33"/>
    </row>
    <row r="174" spans="1:26" ht="15.75" customHeight="1">
      <c r="A174" s="25"/>
      <c r="B174" s="25"/>
      <c r="C174" s="31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33"/>
    </row>
    <row r="175" spans="1:26" ht="15.75" customHeight="1">
      <c r="A175" s="25"/>
      <c r="B175" s="25"/>
      <c r="C175" s="31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33"/>
    </row>
    <row r="176" spans="1:26" ht="15.75" customHeight="1">
      <c r="A176" s="25"/>
      <c r="B176" s="25"/>
      <c r="C176" s="31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33"/>
    </row>
    <row r="177" spans="1:26" ht="15.75" customHeight="1">
      <c r="A177" s="25"/>
      <c r="B177" s="25"/>
      <c r="C177" s="31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33"/>
    </row>
    <row r="178" spans="1:26" ht="15.75" customHeight="1">
      <c r="A178" s="25"/>
      <c r="B178" s="25"/>
      <c r="C178" s="31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33"/>
    </row>
    <row r="179" spans="1:26" ht="15.75" customHeight="1">
      <c r="A179" s="25"/>
      <c r="B179" s="25"/>
      <c r="C179" s="31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33"/>
    </row>
    <row r="180" spans="1:26" ht="15.75" customHeight="1">
      <c r="A180" s="25"/>
      <c r="B180" s="25"/>
      <c r="C180" s="31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33"/>
    </row>
    <row r="181" spans="1:26" ht="15.75" customHeight="1">
      <c r="A181" s="25"/>
      <c r="B181" s="25"/>
      <c r="C181" s="31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33"/>
    </row>
    <row r="182" spans="1:26" ht="15.75" customHeight="1">
      <c r="A182" s="25"/>
      <c r="B182" s="25"/>
      <c r="C182" s="31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33"/>
    </row>
    <row r="183" spans="1:26" ht="15.75" customHeight="1">
      <c r="A183" s="25"/>
      <c r="B183" s="25"/>
      <c r="C183" s="31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33"/>
    </row>
    <row r="184" spans="1:26" ht="15.75" customHeight="1">
      <c r="A184" s="25"/>
      <c r="B184" s="25"/>
      <c r="C184" s="31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33"/>
    </row>
    <row r="185" spans="1:26" ht="15.75" customHeight="1">
      <c r="A185" s="25"/>
      <c r="B185" s="25"/>
      <c r="C185" s="31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33"/>
    </row>
    <row r="186" spans="1:26" ht="15.75" customHeight="1">
      <c r="A186" s="25"/>
      <c r="B186" s="25"/>
      <c r="C186" s="31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33"/>
    </row>
    <row r="187" spans="1:26" ht="15.75" customHeight="1">
      <c r="A187" s="25"/>
      <c r="B187" s="25"/>
      <c r="C187" s="31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33"/>
    </row>
    <row r="188" spans="1:26" ht="15.75" customHeight="1">
      <c r="A188" s="25"/>
      <c r="B188" s="25"/>
      <c r="C188" s="31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33"/>
    </row>
    <row r="189" spans="1:26" ht="15.75" customHeight="1">
      <c r="A189" s="25"/>
      <c r="B189" s="25"/>
      <c r="C189" s="31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33"/>
    </row>
    <row r="190" spans="1:26" ht="15.75" customHeight="1">
      <c r="A190" s="25"/>
      <c r="B190" s="25"/>
      <c r="C190" s="31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33"/>
    </row>
    <row r="191" spans="1:26" ht="15.75" customHeight="1">
      <c r="A191" s="25"/>
      <c r="B191" s="25"/>
      <c r="C191" s="31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33"/>
    </row>
    <row r="192" spans="1:26" ht="15.75" customHeight="1">
      <c r="A192" s="25"/>
      <c r="B192" s="25"/>
      <c r="C192" s="31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33"/>
    </row>
    <row r="193" spans="1:26" ht="15.75" customHeight="1">
      <c r="A193" s="25"/>
      <c r="B193" s="25"/>
      <c r="C193" s="31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33"/>
    </row>
    <row r="194" spans="1:26" ht="15.75" customHeight="1">
      <c r="A194" s="25"/>
      <c r="B194" s="25"/>
      <c r="C194" s="31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33"/>
    </row>
    <row r="195" spans="1:26" ht="15.75" customHeight="1">
      <c r="A195" s="25"/>
      <c r="B195" s="25"/>
      <c r="C195" s="31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33"/>
    </row>
    <row r="196" spans="1:26" ht="15.75" customHeight="1">
      <c r="A196" s="25"/>
      <c r="B196" s="25"/>
      <c r="C196" s="31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33"/>
    </row>
    <row r="197" spans="1:26" ht="15.75" customHeight="1">
      <c r="A197" s="25"/>
      <c r="B197" s="25"/>
      <c r="C197" s="31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33"/>
    </row>
    <row r="198" spans="1:26" ht="15.75" customHeight="1">
      <c r="A198" s="25"/>
      <c r="B198" s="25"/>
      <c r="C198" s="31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33"/>
    </row>
    <row r="199" spans="1:26" ht="15.75" customHeight="1">
      <c r="A199" s="25"/>
      <c r="B199" s="25"/>
      <c r="C199" s="31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33"/>
    </row>
    <row r="200" spans="1:26" ht="15.75" customHeight="1">
      <c r="A200" s="25"/>
      <c r="B200" s="25"/>
      <c r="C200" s="31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33"/>
    </row>
    <row r="201" spans="1:26" ht="15.75" customHeight="1">
      <c r="A201" s="25"/>
      <c r="B201" s="25"/>
      <c r="C201" s="31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33"/>
    </row>
    <row r="202" spans="1:26" ht="15.75" customHeight="1">
      <c r="A202" s="33"/>
      <c r="B202" s="33"/>
      <c r="C202" s="2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>
      <c r="A203" s="33"/>
      <c r="B203" s="33"/>
      <c r="C203" s="2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>
      <c r="A204" s="33"/>
      <c r="B204" s="33"/>
      <c r="C204" s="2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>
      <c r="A205" s="33"/>
      <c r="B205" s="33"/>
      <c r="C205" s="2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>
      <c r="A206" s="33"/>
      <c r="B206" s="33"/>
      <c r="C206" s="2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>
      <c r="A207" s="33"/>
      <c r="B207" s="33"/>
      <c r="C207" s="2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>
      <c r="A208" s="33"/>
      <c r="B208" s="33"/>
      <c r="C208" s="2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>
      <c r="A209" s="33"/>
      <c r="B209" s="33"/>
      <c r="C209" s="2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>
      <c r="A210" s="33"/>
      <c r="B210" s="33"/>
      <c r="C210" s="2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>
      <c r="A211" s="33"/>
      <c r="B211" s="33"/>
      <c r="C211" s="2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>
      <c r="A212" s="33"/>
      <c r="B212" s="33"/>
      <c r="C212" s="2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>
      <c r="A213" s="33"/>
      <c r="B213" s="33"/>
      <c r="C213" s="2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>
      <c r="A214" s="33"/>
      <c r="B214" s="33"/>
      <c r="C214" s="2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>
      <c r="A215" s="33"/>
      <c r="B215" s="33"/>
      <c r="C215" s="2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>
      <c r="A216" s="33"/>
      <c r="B216" s="33"/>
      <c r="C216" s="2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>
      <c r="A217" s="33"/>
      <c r="B217" s="33"/>
      <c r="C217" s="2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>
      <c r="A218" s="33"/>
      <c r="B218" s="33"/>
      <c r="C218" s="2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>
      <c r="A219" s="33"/>
      <c r="B219" s="33"/>
      <c r="C219" s="2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>
      <c r="A220" s="33"/>
      <c r="B220" s="33"/>
      <c r="C220" s="2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>
      <c r="A221" s="33"/>
      <c r="B221" s="33"/>
      <c r="C221" s="2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>
      <c r="A222" s="33"/>
      <c r="B222" s="33"/>
      <c r="C222" s="2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>
      <c r="A223" s="33"/>
      <c r="B223" s="33"/>
      <c r="C223" s="2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>
      <c r="A224" s="33"/>
      <c r="B224" s="33"/>
      <c r="C224" s="2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>
      <c r="A225" s="33"/>
      <c r="B225" s="33"/>
      <c r="C225" s="2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>
      <c r="A226" s="33"/>
      <c r="B226" s="33"/>
      <c r="C226" s="2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>
      <c r="A227" s="33"/>
      <c r="B227" s="33"/>
      <c r="C227" s="2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>
      <c r="A228" s="33"/>
      <c r="B228" s="33"/>
      <c r="C228" s="2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>
      <c r="A229" s="33"/>
      <c r="B229" s="33"/>
      <c r="C229" s="2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>
      <c r="A230" s="33"/>
      <c r="B230" s="33"/>
      <c r="C230" s="2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>
      <c r="A231" s="33"/>
      <c r="B231" s="33"/>
      <c r="C231" s="2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>
      <c r="A232" s="33"/>
      <c r="B232" s="33"/>
      <c r="C232" s="2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>
      <c r="A233" s="33"/>
      <c r="B233" s="33"/>
      <c r="C233" s="2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>
      <c r="A234" s="33"/>
      <c r="B234" s="33"/>
      <c r="C234" s="2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>
      <c r="A235" s="33"/>
      <c r="B235" s="33"/>
      <c r="C235" s="2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>
      <c r="A236" s="33"/>
      <c r="B236" s="33"/>
      <c r="C236" s="2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>
      <c r="A237" s="33"/>
      <c r="B237" s="33"/>
      <c r="C237" s="2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>
      <c r="A238" s="33"/>
      <c r="B238" s="33"/>
      <c r="C238" s="2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>
      <c r="A239" s="33"/>
      <c r="B239" s="33"/>
      <c r="C239" s="2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>
      <c r="A240" s="33"/>
      <c r="B240" s="33"/>
      <c r="C240" s="2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>
      <c r="A241" s="33"/>
      <c r="B241" s="33"/>
      <c r="C241" s="2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>
      <c r="A242" s="33"/>
      <c r="B242" s="33"/>
      <c r="C242" s="2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>
      <c r="A243" s="33"/>
      <c r="B243" s="33"/>
      <c r="C243" s="2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>
      <c r="A244" s="33"/>
      <c r="B244" s="33"/>
      <c r="C244" s="2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>
      <c r="A245" s="33"/>
      <c r="B245" s="33"/>
      <c r="C245" s="2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>
      <c r="A246" s="33"/>
      <c r="B246" s="33"/>
      <c r="C246" s="2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>
      <c r="A247" s="33"/>
      <c r="B247" s="33"/>
      <c r="C247" s="2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>
      <c r="A248" s="33"/>
      <c r="B248" s="33"/>
      <c r="C248" s="2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>
      <c r="A249" s="33"/>
      <c r="B249" s="33"/>
      <c r="C249" s="2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>
      <c r="A250" s="33"/>
      <c r="B250" s="33"/>
      <c r="C250" s="2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>
      <c r="A251" s="33"/>
      <c r="B251" s="33"/>
      <c r="C251" s="2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>
      <c r="A252" s="33"/>
      <c r="B252" s="33"/>
      <c r="C252" s="2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>
      <c r="A253" s="33"/>
      <c r="B253" s="33"/>
      <c r="C253" s="2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>
      <c r="A254" s="33"/>
      <c r="B254" s="33"/>
      <c r="C254" s="2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>
      <c r="A255" s="33"/>
      <c r="B255" s="33"/>
      <c r="C255" s="2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>
      <c r="A256" s="33"/>
      <c r="B256" s="33"/>
      <c r="C256" s="2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>
      <c r="A257" s="33"/>
      <c r="B257" s="33"/>
      <c r="C257" s="2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>
      <c r="A258" s="33"/>
      <c r="B258" s="33"/>
      <c r="C258" s="2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>
      <c r="A259" s="33"/>
      <c r="B259" s="33"/>
      <c r="C259" s="2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>
      <c r="A260" s="33"/>
      <c r="B260" s="33"/>
      <c r="C260" s="2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>
      <c r="A261" s="33"/>
      <c r="B261" s="33"/>
      <c r="C261" s="2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>
      <c r="A262" s="33"/>
      <c r="B262" s="33"/>
      <c r="C262" s="2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>
      <c r="A263" s="33"/>
      <c r="B263" s="33"/>
      <c r="C263" s="2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>
      <c r="A264" s="33"/>
      <c r="B264" s="33"/>
      <c r="C264" s="2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>
      <c r="A265" s="33"/>
      <c r="B265" s="33"/>
      <c r="C265" s="2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>
      <c r="A266" s="33"/>
      <c r="B266" s="33"/>
      <c r="C266" s="2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>
      <c r="A267" s="33"/>
      <c r="B267" s="33"/>
      <c r="C267" s="2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>
      <c r="A268" s="33"/>
      <c r="B268" s="33"/>
      <c r="C268" s="2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>
      <c r="A269" s="33"/>
      <c r="B269" s="33"/>
      <c r="C269" s="2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>
      <c r="A270" s="33"/>
      <c r="B270" s="33"/>
      <c r="C270" s="2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>
      <c r="A271" s="33"/>
      <c r="B271" s="33"/>
      <c r="C271" s="2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>
      <c r="A272" s="33"/>
      <c r="B272" s="33"/>
      <c r="C272" s="2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>
      <c r="A273" s="33"/>
      <c r="B273" s="33"/>
      <c r="C273" s="2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>
      <c r="A274" s="33"/>
      <c r="B274" s="33"/>
      <c r="C274" s="2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>
      <c r="A275" s="33"/>
      <c r="B275" s="33"/>
      <c r="C275" s="2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>
      <c r="A276" s="33"/>
      <c r="B276" s="33"/>
      <c r="C276" s="2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>
      <c r="A277" s="33"/>
      <c r="B277" s="33"/>
      <c r="C277" s="2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>
      <c r="A278" s="33"/>
      <c r="B278" s="33"/>
      <c r="C278" s="2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>
      <c r="A279" s="33"/>
      <c r="B279" s="33"/>
      <c r="C279" s="2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>
      <c r="A280" s="33"/>
      <c r="B280" s="33"/>
      <c r="C280" s="2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>
      <c r="A281" s="33"/>
      <c r="B281" s="33"/>
      <c r="C281" s="2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>
      <c r="A282" s="33"/>
      <c r="B282" s="33"/>
      <c r="C282" s="2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>
      <c r="A283" s="33"/>
      <c r="B283" s="33"/>
      <c r="C283" s="2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>
      <c r="A284" s="33"/>
      <c r="B284" s="33"/>
      <c r="C284" s="2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>
      <c r="A285" s="33"/>
      <c r="B285" s="33"/>
      <c r="C285" s="2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>
      <c r="A286" s="33"/>
      <c r="B286" s="33"/>
      <c r="C286" s="2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>
      <c r="A287" s="33"/>
      <c r="B287" s="33"/>
      <c r="C287" s="2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>
      <c r="A288" s="33"/>
      <c r="B288" s="33"/>
      <c r="C288" s="2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>
      <c r="A289" s="33"/>
      <c r="B289" s="33"/>
      <c r="C289" s="2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>
      <c r="A290" s="33"/>
      <c r="B290" s="33"/>
      <c r="C290" s="2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>
      <c r="A291" s="33"/>
      <c r="B291" s="33"/>
      <c r="C291" s="2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>
      <c r="A292" s="33"/>
      <c r="B292" s="33"/>
      <c r="C292" s="2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>
      <c r="A293" s="33"/>
      <c r="B293" s="33"/>
      <c r="C293" s="2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>
      <c r="A294" s="33"/>
      <c r="B294" s="33"/>
      <c r="C294" s="2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>
      <c r="A295" s="33"/>
      <c r="B295" s="33"/>
      <c r="C295" s="2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>
      <c r="A296" s="33"/>
      <c r="B296" s="33"/>
      <c r="C296" s="2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>
      <c r="A297" s="33"/>
      <c r="B297" s="33"/>
      <c r="C297" s="2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>
      <c r="A298" s="33"/>
      <c r="B298" s="33"/>
      <c r="C298" s="2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>
      <c r="A299" s="33"/>
      <c r="B299" s="33"/>
      <c r="C299" s="2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>
      <c r="A300" s="33"/>
      <c r="B300" s="33"/>
      <c r="C300" s="2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>
      <c r="A301" s="33"/>
      <c r="B301" s="33"/>
      <c r="C301" s="221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>
      <c r="A302" s="33"/>
      <c r="B302" s="33"/>
      <c r="C302" s="221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>
      <c r="A303" s="33"/>
      <c r="B303" s="33"/>
      <c r="C303" s="221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>
      <c r="A304" s="33"/>
      <c r="B304" s="33"/>
      <c r="C304" s="221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>
      <c r="A305" s="33"/>
      <c r="B305" s="33"/>
      <c r="C305" s="221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>
      <c r="A306" s="33"/>
      <c r="B306" s="33"/>
      <c r="C306" s="221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>
      <c r="A307" s="33"/>
      <c r="B307" s="33"/>
      <c r="C307" s="221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>
      <c r="A308" s="33"/>
      <c r="B308" s="33"/>
      <c r="C308" s="221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>
      <c r="A309" s="33"/>
      <c r="B309" s="33"/>
      <c r="C309" s="221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>
      <c r="A310" s="33"/>
      <c r="B310" s="33"/>
      <c r="C310" s="221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>
      <c r="A311" s="33"/>
      <c r="B311" s="33"/>
      <c r="C311" s="221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>
      <c r="A312" s="33"/>
      <c r="B312" s="33"/>
      <c r="C312" s="221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>
      <c r="A313" s="33"/>
      <c r="B313" s="33"/>
      <c r="C313" s="221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>
      <c r="A314" s="33"/>
      <c r="B314" s="33"/>
      <c r="C314" s="221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>
      <c r="A315" s="33"/>
      <c r="B315" s="33"/>
      <c r="C315" s="221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>
      <c r="A316" s="33"/>
      <c r="B316" s="33"/>
      <c r="C316" s="221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>
      <c r="A317" s="33"/>
      <c r="B317" s="33"/>
      <c r="C317" s="221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>
      <c r="A318" s="33"/>
      <c r="B318" s="33"/>
      <c r="C318" s="221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>
      <c r="A319" s="33"/>
      <c r="B319" s="33"/>
      <c r="C319" s="221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>
      <c r="A320" s="33"/>
      <c r="B320" s="33"/>
      <c r="C320" s="221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>
      <c r="A321" s="33"/>
      <c r="B321" s="33"/>
      <c r="C321" s="221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>
      <c r="A322" s="33"/>
      <c r="B322" s="33"/>
      <c r="C322" s="221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>
      <c r="A323" s="33"/>
      <c r="B323" s="33"/>
      <c r="C323" s="221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>
      <c r="A324" s="33"/>
      <c r="B324" s="33"/>
      <c r="C324" s="221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>
      <c r="A325" s="33"/>
      <c r="B325" s="33"/>
      <c r="C325" s="221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>
      <c r="A326" s="33"/>
      <c r="B326" s="33"/>
      <c r="C326" s="221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>
      <c r="A327" s="33"/>
      <c r="B327" s="33"/>
      <c r="C327" s="221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>
      <c r="A328" s="33"/>
      <c r="B328" s="33"/>
      <c r="C328" s="221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>
      <c r="A329" s="33"/>
      <c r="B329" s="33"/>
      <c r="C329" s="221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>
      <c r="A330" s="33"/>
      <c r="B330" s="33"/>
      <c r="C330" s="221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>
      <c r="A331" s="33"/>
      <c r="B331" s="33"/>
      <c r="C331" s="221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>
      <c r="A332" s="33"/>
      <c r="B332" s="33"/>
      <c r="C332" s="221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>
      <c r="A333" s="33"/>
      <c r="B333" s="33"/>
      <c r="C333" s="221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>
      <c r="A334" s="33"/>
      <c r="B334" s="33"/>
      <c r="C334" s="221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>
      <c r="A335" s="33"/>
      <c r="B335" s="33"/>
      <c r="C335" s="221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>
      <c r="A336" s="33"/>
      <c r="B336" s="33"/>
      <c r="C336" s="221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>
      <c r="A337" s="33"/>
      <c r="B337" s="33"/>
      <c r="C337" s="221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>
      <c r="A338" s="33"/>
      <c r="B338" s="33"/>
      <c r="C338" s="221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>
      <c r="A339" s="33"/>
      <c r="B339" s="33"/>
      <c r="C339" s="221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>
      <c r="A340" s="33"/>
      <c r="B340" s="33"/>
      <c r="C340" s="221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>
      <c r="A341" s="33"/>
      <c r="B341" s="33"/>
      <c r="C341" s="221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>
      <c r="A342" s="33"/>
      <c r="B342" s="33"/>
      <c r="C342" s="221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>
      <c r="A343" s="33"/>
      <c r="B343" s="33"/>
      <c r="C343" s="221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>
      <c r="A344" s="33"/>
      <c r="B344" s="33"/>
      <c r="C344" s="221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>
      <c r="A345" s="33"/>
      <c r="B345" s="33"/>
      <c r="C345" s="221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>
      <c r="A346" s="33"/>
      <c r="B346" s="33"/>
      <c r="C346" s="221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>
      <c r="A347" s="33"/>
      <c r="B347" s="33"/>
      <c r="C347" s="221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>
      <c r="A348" s="33"/>
      <c r="B348" s="33"/>
      <c r="C348" s="221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>
      <c r="A349" s="33"/>
      <c r="B349" s="33"/>
      <c r="C349" s="221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>
      <c r="A350" s="33"/>
      <c r="B350" s="33"/>
      <c r="C350" s="221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>
      <c r="A351" s="33"/>
      <c r="B351" s="33"/>
      <c r="C351" s="221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>
      <c r="A352" s="33"/>
      <c r="B352" s="33"/>
      <c r="C352" s="221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>
      <c r="A353" s="33"/>
      <c r="B353" s="33"/>
      <c r="C353" s="221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>
      <c r="A354" s="33"/>
      <c r="B354" s="33"/>
      <c r="C354" s="221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>
      <c r="A355" s="33"/>
      <c r="B355" s="33"/>
      <c r="C355" s="221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>
      <c r="A356" s="33"/>
      <c r="B356" s="33"/>
      <c r="C356" s="221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>
      <c r="A357" s="33"/>
      <c r="B357" s="33"/>
      <c r="C357" s="221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>
      <c r="A358" s="33"/>
      <c r="B358" s="33"/>
      <c r="C358" s="221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>
      <c r="A359" s="33"/>
      <c r="B359" s="33"/>
      <c r="C359" s="221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>
      <c r="A360" s="33"/>
      <c r="B360" s="33"/>
      <c r="C360" s="221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>
      <c r="A361" s="33"/>
      <c r="B361" s="33"/>
      <c r="C361" s="221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>
      <c r="A362" s="33"/>
      <c r="B362" s="33"/>
      <c r="C362" s="221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>
      <c r="A363" s="33"/>
      <c r="B363" s="33"/>
      <c r="C363" s="221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>
      <c r="A364" s="33"/>
      <c r="B364" s="33"/>
      <c r="C364" s="221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>
      <c r="A365" s="33"/>
      <c r="B365" s="33"/>
      <c r="C365" s="221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>
      <c r="A366" s="33"/>
      <c r="B366" s="33"/>
      <c r="C366" s="221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>
      <c r="A367" s="33"/>
      <c r="B367" s="33"/>
      <c r="C367" s="221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>
      <c r="A368" s="33"/>
      <c r="B368" s="33"/>
      <c r="C368" s="221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>
      <c r="A369" s="33"/>
      <c r="B369" s="33"/>
      <c r="C369" s="221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>
      <c r="A370" s="33"/>
      <c r="B370" s="33"/>
      <c r="C370" s="221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>
      <c r="A371" s="33"/>
      <c r="B371" s="33"/>
      <c r="C371" s="221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>
      <c r="A372" s="33"/>
      <c r="B372" s="33"/>
      <c r="C372" s="221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>
      <c r="A373" s="33"/>
      <c r="B373" s="33"/>
      <c r="C373" s="221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>
      <c r="A374" s="33"/>
      <c r="B374" s="33"/>
      <c r="C374" s="221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>
      <c r="A375" s="33"/>
      <c r="B375" s="33"/>
      <c r="C375" s="221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>
      <c r="A376" s="33"/>
      <c r="B376" s="33"/>
      <c r="C376" s="221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>
      <c r="A377" s="33"/>
      <c r="B377" s="33"/>
      <c r="C377" s="221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>
      <c r="A378" s="33"/>
      <c r="B378" s="33"/>
      <c r="C378" s="221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>
      <c r="A379" s="33"/>
      <c r="B379" s="33"/>
      <c r="C379" s="221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>
      <c r="A380" s="33"/>
      <c r="B380" s="33"/>
      <c r="C380" s="221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>
      <c r="A381" s="33"/>
      <c r="B381" s="33"/>
      <c r="C381" s="221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>
      <c r="A382" s="33"/>
      <c r="B382" s="33"/>
      <c r="C382" s="221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>
      <c r="A383" s="33"/>
      <c r="B383" s="33"/>
      <c r="C383" s="221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>
      <c r="A384" s="33"/>
      <c r="B384" s="33"/>
      <c r="C384" s="221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>
      <c r="A385" s="33"/>
      <c r="B385" s="33"/>
      <c r="C385" s="221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>
      <c r="A386" s="33"/>
      <c r="B386" s="33"/>
      <c r="C386" s="221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>
      <c r="A387" s="33"/>
      <c r="B387" s="33"/>
      <c r="C387" s="221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>
      <c r="A388" s="33"/>
      <c r="B388" s="33"/>
      <c r="C388" s="221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>
      <c r="A389" s="33"/>
      <c r="B389" s="33"/>
      <c r="C389" s="221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>
      <c r="A390" s="33"/>
      <c r="B390" s="33"/>
      <c r="C390" s="221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>
      <c r="A391" s="33"/>
      <c r="B391" s="33"/>
      <c r="C391" s="221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>
      <c r="A392" s="33"/>
      <c r="B392" s="33"/>
      <c r="C392" s="221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>
      <c r="A393" s="33"/>
      <c r="B393" s="33"/>
      <c r="C393" s="221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>
      <c r="A394" s="33"/>
      <c r="B394" s="33"/>
      <c r="C394" s="221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>
      <c r="A395" s="33"/>
      <c r="B395" s="33"/>
      <c r="C395" s="221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>
      <c r="A396" s="33"/>
      <c r="B396" s="33"/>
      <c r="C396" s="221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>
      <c r="A397" s="33"/>
      <c r="B397" s="33"/>
      <c r="C397" s="221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>
      <c r="A398" s="33"/>
      <c r="B398" s="33"/>
      <c r="C398" s="221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>
      <c r="A399" s="33"/>
      <c r="B399" s="33"/>
      <c r="C399" s="221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>
      <c r="A400" s="33"/>
      <c r="B400" s="33"/>
      <c r="C400" s="221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>
      <c r="A401" s="33"/>
      <c r="B401" s="33"/>
      <c r="C401" s="221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>
      <c r="A402" s="33"/>
      <c r="B402" s="33"/>
      <c r="C402" s="221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>
      <c r="A403" s="33"/>
      <c r="B403" s="33"/>
      <c r="C403" s="221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>
      <c r="A404" s="33"/>
      <c r="B404" s="33"/>
      <c r="C404" s="221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>
      <c r="A405" s="33"/>
      <c r="B405" s="33"/>
      <c r="C405" s="221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>
      <c r="A406" s="33"/>
      <c r="B406" s="33"/>
      <c r="C406" s="221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>
      <c r="A407" s="33"/>
      <c r="B407" s="33"/>
      <c r="C407" s="221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>
      <c r="A408" s="33"/>
      <c r="B408" s="33"/>
      <c r="C408" s="221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>
      <c r="A409" s="33"/>
      <c r="B409" s="33"/>
      <c r="C409" s="221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>
      <c r="A410" s="33"/>
      <c r="B410" s="33"/>
      <c r="C410" s="221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>
      <c r="A411" s="33"/>
      <c r="B411" s="33"/>
      <c r="C411" s="221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>
      <c r="A412" s="33"/>
      <c r="B412" s="33"/>
      <c r="C412" s="221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>
      <c r="A413" s="33"/>
      <c r="B413" s="33"/>
      <c r="C413" s="221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>
      <c r="A414" s="33"/>
      <c r="B414" s="33"/>
      <c r="C414" s="221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>
      <c r="A415" s="33"/>
      <c r="B415" s="33"/>
      <c r="C415" s="221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>
      <c r="A416" s="33"/>
      <c r="B416" s="33"/>
      <c r="C416" s="221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>
      <c r="A417" s="33"/>
      <c r="B417" s="33"/>
      <c r="C417" s="221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>
      <c r="A418" s="33"/>
      <c r="B418" s="33"/>
      <c r="C418" s="221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>
      <c r="A419" s="33"/>
      <c r="B419" s="33"/>
      <c r="C419" s="221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>
      <c r="A420" s="33"/>
      <c r="B420" s="33"/>
      <c r="C420" s="221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>
      <c r="A421" s="33"/>
      <c r="B421" s="33"/>
      <c r="C421" s="221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>
      <c r="A422" s="33"/>
      <c r="B422" s="33"/>
      <c r="C422" s="221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>
      <c r="A423" s="33"/>
      <c r="B423" s="33"/>
      <c r="C423" s="221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>
      <c r="A424" s="33"/>
      <c r="B424" s="33"/>
      <c r="C424" s="221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>
      <c r="A425" s="33"/>
      <c r="B425" s="33"/>
      <c r="C425" s="221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>
      <c r="A426" s="33"/>
      <c r="B426" s="33"/>
      <c r="C426" s="221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>
      <c r="A427" s="33"/>
      <c r="B427" s="33"/>
      <c r="C427" s="221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>
      <c r="A428" s="33"/>
      <c r="B428" s="33"/>
      <c r="C428" s="221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>
      <c r="A429" s="33"/>
      <c r="B429" s="33"/>
      <c r="C429" s="221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>
      <c r="A430" s="33"/>
      <c r="B430" s="33"/>
      <c r="C430" s="221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>
      <c r="A431" s="33"/>
      <c r="B431" s="33"/>
      <c r="C431" s="221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>
      <c r="A432" s="33"/>
      <c r="B432" s="33"/>
      <c r="C432" s="221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>
      <c r="A433" s="33"/>
      <c r="B433" s="33"/>
      <c r="C433" s="221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>
      <c r="A434" s="33"/>
      <c r="B434" s="33"/>
      <c r="C434" s="221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>
      <c r="A435" s="33"/>
      <c r="B435" s="33"/>
      <c r="C435" s="221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>
      <c r="A436" s="33"/>
      <c r="B436" s="33"/>
      <c r="C436" s="221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>
      <c r="A437" s="33"/>
      <c r="B437" s="33"/>
      <c r="C437" s="221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>
      <c r="A438" s="33"/>
      <c r="B438" s="33"/>
      <c r="C438" s="221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>
      <c r="A439" s="33"/>
      <c r="B439" s="33"/>
      <c r="C439" s="221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>
      <c r="A440" s="33"/>
      <c r="B440" s="33"/>
      <c r="C440" s="221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>
      <c r="A441" s="33"/>
      <c r="B441" s="33"/>
      <c r="C441" s="221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>
      <c r="A442" s="33"/>
      <c r="B442" s="33"/>
      <c r="C442" s="221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>
      <c r="A443" s="33"/>
      <c r="B443" s="33"/>
      <c r="C443" s="221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>
      <c r="A444" s="33"/>
      <c r="B444" s="33"/>
      <c r="C444" s="221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>
      <c r="A445" s="33"/>
      <c r="B445" s="33"/>
      <c r="C445" s="221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>
      <c r="A446" s="33"/>
      <c r="B446" s="33"/>
      <c r="C446" s="221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>
      <c r="A447" s="33"/>
      <c r="B447" s="33"/>
      <c r="C447" s="221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>
      <c r="A448" s="33"/>
      <c r="B448" s="33"/>
      <c r="C448" s="221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>
      <c r="A449" s="33"/>
      <c r="B449" s="33"/>
      <c r="C449" s="221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>
      <c r="A450" s="33"/>
      <c r="B450" s="33"/>
      <c r="C450" s="221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>
      <c r="A451" s="33"/>
      <c r="B451" s="33"/>
      <c r="C451" s="221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>
      <c r="A452" s="33"/>
      <c r="B452" s="33"/>
      <c r="C452" s="221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>
      <c r="A453" s="33"/>
      <c r="B453" s="33"/>
      <c r="C453" s="221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>
      <c r="A454" s="33"/>
      <c r="B454" s="33"/>
      <c r="C454" s="221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>
      <c r="A455" s="33"/>
      <c r="B455" s="33"/>
      <c r="C455" s="221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>
      <c r="A456" s="33"/>
      <c r="B456" s="33"/>
      <c r="C456" s="221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>
      <c r="A457" s="33"/>
      <c r="B457" s="33"/>
      <c r="C457" s="221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>
      <c r="A458" s="33"/>
      <c r="B458" s="33"/>
      <c r="C458" s="221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>
      <c r="A459" s="33"/>
      <c r="B459" s="33"/>
      <c r="C459" s="221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>
      <c r="A460" s="33"/>
      <c r="B460" s="33"/>
      <c r="C460" s="221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>
      <c r="A461" s="33"/>
      <c r="B461" s="33"/>
      <c r="C461" s="221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>
      <c r="A462" s="33"/>
      <c r="B462" s="33"/>
      <c r="C462" s="221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>
      <c r="A463" s="33"/>
      <c r="B463" s="33"/>
      <c r="C463" s="221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>
      <c r="A464" s="33"/>
      <c r="B464" s="33"/>
      <c r="C464" s="221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>
      <c r="A465" s="33"/>
      <c r="B465" s="33"/>
      <c r="C465" s="221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>
      <c r="A466" s="33"/>
      <c r="B466" s="33"/>
      <c r="C466" s="221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>
      <c r="A467" s="33"/>
      <c r="B467" s="33"/>
      <c r="C467" s="221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>
      <c r="A468" s="33"/>
      <c r="B468" s="33"/>
      <c r="C468" s="221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>
      <c r="A469" s="33"/>
      <c r="B469" s="33"/>
      <c r="C469" s="221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>
      <c r="A470" s="33"/>
      <c r="B470" s="33"/>
      <c r="C470" s="221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>
      <c r="A471" s="33"/>
      <c r="B471" s="33"/>
      <c r="C471" s="221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>
      <c r="A472" s="33"/>
      <c r="B472" s="33"/>
      <c r="C472" s="221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>
      <c r="A473" s="33"/>
      <c r="B473" s="33"/>
      <c r="C473" s="221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>
      <c r="A474" s="33"/>
      <c r="B474" s="33"/>
      <c r="C474" s="221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>
      <c r="A475" s="33"/>
      <c r="B475" s="33"/>
      <c r="C475" s="221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>
      <c r="A476" s="33"/>
      <c r="B476" s="33"/>
      <c r="C476" s="221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>
      <c r="A477" s="33"/>
      <c r="B477" s="33"/>
      <c r="C477" s="221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>
      <c r="A478" s="33"/>
      <c r="B478" s="33"/>
      <c r="C478" s="221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>
      <c r="A479" s="33"/>
      <c r="B479" s="33"/>
      <c r="C479" s="221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>
      <c r="A480" s="33"/>
      <c r="B480" s="33"/>
      <c r="C480" s="221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>
      <c r="A481" s="33"/>
      <c r="B481" s="33"/>
      <c r="C481" s="221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>
      <c r="A482" s="33"/>
      <c r="B482" s="33"/>
      <c r="C482" s="221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>
      <c r="A483" s="33"/>
      <c r="B483" s="33"/>
      <c r="C483" s="221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>
      <c r="A484" s="33"/>
      <c r="B484" s="33"/>
      <c r="C484" s="221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>
      <c r="A485" s="33"/>
      <c r="B485" s="33"/>
      <c r="C485" s="221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>
      <c r="A486" s="33"/>
      <c r="B486" s="33"/>
      <c r="C486" s="221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>
      <c r="A487" s="33"/>
      <c r="B487" s="33"/>
      <c r="C487" s="221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>
      <c r="A488" s="33"/>
      <c r="B488" s="33"/>
      <c r="C488" s="221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>
      <c r="A489" s="33"/>
      <c r="B489" s="33"/>
      <c r="C489" s="221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>
      <c r="A490" s="33"/>
      <c r="B490" s="33"/>
      <c r="C490" s="221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>
      <c r="A491" s="33"/>
      <c r="B491" s="33"/>
      <c r="C491" s="221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>
      <c r="A492" s="33"/>
      <c r="B492" s="33"/>
      <c r="C492" s="221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>
      <c r="A493" s="33"/>
      <c r="B493" s="33"/>
      <c r="C493" s="221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>
      <c r="A494" s="33"/>
      <c r="B494" s="33"/>
      <c r="C494" s="221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>
      <c r="A495" s="33"/>
      <c r="B495" s="33"/>
      <c r="C495" s="221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>
      <c r="A496" s="33"/>
      <c r="B496" s="33"/>
      <c r="C496" s="221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>
      <c r="A497" s="33"/>
      <c r="B497" s="33"/>
      <c r="C497" s="221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>
      <c r="A498" s="33"/>
      <c r="B498" s="33"/>
      <c r="C498" s="221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>
      <c r="A499" s="33"/>
      <c r="B499" s="33"/>
      <c r="C499" s="221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>
      <c r="A500" s="33"/>
      <c r="B500" s="33"/>
      <c r="C500" s="221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>
      <c r="A501" s="33"/>
      <c r="B501" s="33"/>
      <c r="C501" s="221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>
      <c r="A502" s="33"/>
      <c r="B502" s="33"/>
      <c r="C502" s="221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>
      <c r="A503" s="33"/>
      <c r="B503" s="33"/>
      <c r="C503" s="221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>
      <c r="A504" s="33"/>
      <c r="B504" s="33"/>
      <c r="C504" s="221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>
      <c r="A505" s="33"/>
      <c r="B505" s="33"/>
      <c r="C505" s="221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>
      <c r="A506" s="33"/>
      <c r="B506" s="33"/>
      <c r="C506" s="221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>
      <c r="A507" s="33"/>
      <c r="B507" s="33"/>
      <c r="C507" s="221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>
      <c r="A508" s="33"/>
      <c r="B508" s="33"/>
      <c r="C508" s="221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>
      <c r="A509" s="33"/>
      <c r="B509" s="33"/>
      <c r="C509" s="221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>
      <c r="A510" s="33"/>
      <c r="B510" s="33"/>
      <c r="C510" s="221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>
      <c r="A511" s="33"/>
      <c r="B511" s="33"/>
      <c r="C511" s="221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>
      <c r="A512" s="33"/>
      <c r="B512" s="33"/>
      <c r="C512" s="221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>
      <c r="A513" s="33"/>
      <c r="B513" s="33"/>
      <c r="C513" s="221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>
      <c r="A514" s="33"/>
      <c r="B514" s="33"/>
      <c r="C514" s="221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>
      <c r="A515" s="33"/>
      <c r="B515" s="33"/>
      <c r="C515" s="221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>
      <c r="A516" s="33"/>
      <c r="B516" s="33"/>
      <c r="C516" s="221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>
      <c r="A517" s="33"/>
      <c r="B517" s="33"/>
      <c r="C517" s="221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>
      <c r="A518" s="33"/>
      <c r="B518" s="33"/>
      <c r="C518" s="221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>
      <c r="A519" s="33"/>
      <c r="B519" s="33"/>
      <c r="C519" s="221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>
      <c r="A520" s="33"/>
      <c r="B520" s="33"/>
      <c r="C520" s="221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>
      <c r="A521" s="33"/>
      <c r="B521" s="33"/>
      <c r="C521" s="221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>
      <c r="A522" s="33"/>
      <c r="B522" s="33"/>
      <c r="C522" s="221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>
      <c r="A523" s="33"/>
      <c r="B523" s="33"/>
      <c r="C523" s="221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>
      <c r="A524" s="33"/>
      <c r="B524" s="33"/>
      <c r="C524" s="221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>
      <c r="A525" s="33"/>
      <c r="B525" s="33"/>
      <c r="C525" s="221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>
      <c r="A526" s="33"/>
      <c r="B526" s="33"/>
      <c r="C526" s="221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>
      <c r="A527" s="33"/>
      <c r="B527" s="33"/>
      <c r="C527" s="221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>
      <c r="A528" s="33"/>
      <c r="B528" s="33"/>
      <c r="C528" s="221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>
      <c r="A529" s="33"/>
      <c r="B529" s="33"/>
      <c r="C529" s="221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>
      <c r="A530" s="33"/>
      <c r="B530" s="33"/>
      <c r="C530" s="221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>
      <c r="A531" s="33"/>
      <c r="B531" s="33"/>
      <c r="C531" s="221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>
      <c r="A532" s="33"/>
      <c r="B532" s="33"/>
      <c r="C532" s="221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>
      <c r="A533" s="33"/>
      <c r="B533" s="33"/>
      <c r="C533" s="221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>
      <c r="A534" s="33"/>
      <c r="B534" s="33"/>
      <c r="C534" s="221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>
      <c r="A535" s="33"/>
      <c r="B535" s="33"/>
      <c r="C535" s="221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>
      <c r="A536" s="33"/>
      <c r="B536" s="33"/>
      <c r="C536" s="221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>
      <c r="A537" s="33"/>
      <c r="B537" s="33"/>
      <c r="C537" s="221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>
      <c r="A538" s="33"/>
      <c r="B538" s="33"/>
      <c r="C538" s="221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>
      <c r="A539" s="33"/>
      <c r="B539" s="33"/>
      <c r="C539" s="221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>
      <c r="A540" s="33"/>
      <c r="B540" s="33"/>
      <c r="C540" s="221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>
      <c r="A541" s="33"/>
      <c r="B541" s="33"/>
      <c r="C541" s="221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>
      <c r="A542" s="33"/>
      <c r="B542" s="33"/>
      <c r="C542" s="221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>
      <c r="A543" s="33"/>
      <c r="B543" s="33"/>
      <c r="C543" s="221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>
      <c r="A544" s="33"/>
      <c r="B544" s="33"/>
      <c r="C544" s="221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>
      <c r="A545" s="33"/>
      <c r="B545" s="33"/>
      <c r="C545" s="221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>
      <c r="A546" s="33"/>
      <c r="B546" s="33"/>
      <c r="C546" s="221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>
      <c r="A547" s="33"/>
      <c r="B547" s="33"/>
      <c r="C547" s="221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>
      <c r="A548" s="33"/>
      <c r="B548" s="33"/>
      <c r="C548" s="221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>
      <c r="A549" s="33"/>
      <c r="B549" s="33"/>
      <c r="C549" s="221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>
      <c r="A550" s="33"/>
      <c r="B550" s="33"/>
      <c r="C550" s="221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>
      <c r="A551" s="33"/>
      <c r="B551" s="33"/>
      <c r="C551" s="221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>
      <c r="A552" s="33"/>
      <c r="B552" s="33"/>
      <c r="C552" s="221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>
      <c r="A553" s="33"/>
      <c r="B553" s="33"/>
      <c r="C553" s="221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>
      <c r="A554" s="33"/>
      <c r="B554" s="33"/>
      <c r="C554" s="221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>
      <c r="A555" s="33"/>
      <c r="B555" s="33"/>
      <c r="C555" s="221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>
      <c r="A556" s="33"/>
      <c r="B556" s="33"/>
      <c r="C556" s="221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>
      <c r="A557" s="33"/>
      <c r="B557" s="33"/>
      <c r="C557" s="221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>
      <c r="A558" s="33"/>
      <c r="B558" s="33"/>
      <c r="C558" s="221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>
      <c r="A559" s="33"/>
      <c r="B559" s="33"/>
      <c r="C559" s="221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>
      <c r="A560" s="33"/>
      <c r="B560" s="33"/>
      <c r="C560" s="221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>
      <c r="A561" s="33"/>
      <c r="B561" s="33"/>
      <c r="C561" s="221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>
      <c r="A562" s="33"/>
      <c r="B562" s="33"/>
      <c r="C562" s="221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>
      <c r="A563" s="33"/>
      <c r="B563" s="33"/>
      <c r="C563" s="221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>
      <c r="A564" s="33"/>
      <c r="B564" s="33"/>
      <c r="C564" s="221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>
      <c r="A565" s="33"/>
      <c r="B565" s="33"/>
      <c r="C565" s="221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>
      <c r="A566" s="33"/>
      <c r="B566" s="33"/>
      <c r="C566" s="221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>
      <c r="A567" s="33"/>
      <c r="B567" s="33"/>
      <c r="C567" s="221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>
      <c r="A568" s="33"/>
      <c r="B568" s="33"/>
      <c r="C568" s="221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>
      <c r="A569" s="33"/>
      <c r="B569" s="33"/>
      <c r="C569" s="221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>
      <c r="A570" s="33"/>
      <c r="B570" s="33"/>
      <c r="C570" s="221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>
      <c r="A571" s="33"/>
      <c r="B571" s="33"/>
      <c r="C571" s="221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>
      <c r="A572" s="33"/>
      <c r="B572" s="33"/>
      <c r="C572" s="221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>
      <c r="A573" s="33"/>
      <c r="B573" s="33"/>
      <c r="C573" s="221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>
      <c r="A574" s="33"/>
      <c r="B574" s="33"/>
      <c r="C574" s="221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>
      <c r="A575" s="33"/>
      <c r="B575" s="33"/>
      <c r="C575" s="221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>
      <c r="A576" s="33"/>
      <c r="B576" s="33"/>
      <c r="C576" s="221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>
      <c r="A577" s="33"/>
      <c r="B577" s="33"/>
      <c r="C577" s="221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>
      <c r="A578" s="33"/>
      <c r="B578" s="33"/>
      <c r="C578" s="221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>
      <c r="A579" s="33"/>
      <c r="B579" s="33"/>
      <c r="C579" s="221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>
      <c r="A580" s="33"/>
      <c r="B580" s="33"/>
      <c r="C580" s="221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>
      <c r="A581" s="33"/>
      <c r="B581" s="33"/>
      <c r="C581" s="221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>
      <c r="A582" s="33"/>
      <c r="B582" s="33"/>
      <c r="C582" s="221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>
      <c r="A583" s="33"/>
      <c r="B583" s="33"/>
      <c r="C583" s="221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>
      <c r="A584" s="33"/>
      <c r="B584" s="33"/>
      <c r="C584" s="221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>
      <c r="A585" s="33"/>
      <c r="B585" s="33"/>
      <c r="C585" s="221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>
      <c r="A586" s="33"/>
      <c r="B586" s="33"/>
      <c r="C586" s="221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>
      <c r="A587" s="33"/>
      <c r="B587" s="33"/>
      <c r="C587" s="221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>
      <c r="A588" s="33"/>
      <c r="B588" s="33"/>
      <c r="C588" s="221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>
      <c r="A589" s="33"/>
      <c r="B589" s="33"/>
      <c r="C589" s="221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>
      <c r="A590" s="33"/>
      <c r="B590" s="33"/>
      <c r="C590" s="221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>
      <c r="A591" s="33"/>
      <c r="B591" s="33"/>
      <c r="C591" s="221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>
      <c r="A592" s="33"/>
      <c r="B592" s="33"/>
      <c r="C592" s="221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>
      <c r="A593" s="33"/>
      <c r="B593" s="33"/>
      <c r="C593" s="221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>
      <c r="A594" s="33"/>
      <c r="B594" s="33"/>
      <c r="C594" s="221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>
      <c r="A595" s="33"/>
      <c r="B595" s="33"/>
      <c r="C595" s="221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>
      <c r="A596" s="33"/>
      <c r="B596" s="33"/>
      <c r="C596" s="221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>
      <c r="A597" s="33"/>
      <c r="B597" s="33"/>
      <c r="C597" s="221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>
      <c r="A598" s="33"/>
      <c r="B598" s="33"/>
      <c r="C598" s="221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>
      <c r="A599" s="33"/>
      <c r="B599" s="33"/>
      <c r="C599" s="221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>
      <c r="A600" s="33"/>
      <c r="B600" s="33"/>
      <c r="C600" s="221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>
      <c r="A601" s="33"/>
      <c r="B601" s="33"/>
      <c r="C601" s="221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>
      <c r="A602" s="33"/>
      <c r="B602" s="33"/>
      <c r="C602" s="221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>
      <c r="A603" s="33"/>
      <c r="B603" s="33"/>
      <c r="C603" s="221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>
      <c r="A604" s="33"/>
      <c r="B604" s="33"/>
      <c r="C604" s="221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>
      <c r="A605" s="33"/>
      <c r="B605" s="33"/>
      <c r="C605" s="221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>
      <c r="A606" s="33"/>
      <c r="B606" s="33"/>
      <c r="C606" s="221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>
      <c r="A607" s="33"/>
      <c r="B607" s="33"/>
      <c r="C607" s="221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>
      <c r="A608" s="33"/>
      <c r="B608" s="33"/>
      <c r="C608" s="221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>
      <c r="A609" s="33"/>
      <c r="B609" s="33"/>
      <c r="C609" s="221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>
      <c r="A610" s="33"/>
      <c r="B610" s="33"/>
      <c r="C610" s="221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>
      <c r="A611" s="33"/>
      <c r="B611" s="33"/>
      <c r="C611" s="221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>
      <c r="A612" s="33"/>
      <c r="B612" s="33"/>
      <c r="C612" s="221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>
      <c r="A613" s="33"/>
      <c r="B613" s="33"/>
      <c r="C613" s="221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>
      <c r="A614" s="33"/>
      <c r="B614" s="33"/>
      <c r="C614" s="221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>
      <c r="A615" s="33"/>
      <c r="B615" s="33"/>
      <c r="C615" s="221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>
      <c r="A616" s="33"/>
      <c r="B616" s="33"/>
      <c r="C616" s="221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>
      <c r="A617" s="33"/>
      <c r="B617" s="33"/>
      <c r="C617" s="221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>
      <c r="A618" s="33"/>
      <c r="B618" s="33"/>
      <c r="C618" s="221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>
      <c r="A619" s="33"/>
      <c r="B619" s="33"/>
      <c r="C619" s="221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>
      <c r="A620" s="33"/>
      <c r="B620" s="33"/>
      <c r="C620" s="221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>
      <c r="A621" s="33"/>
      <c r="B621" s="33"/>
      <c r="C621" s="221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>
      <c r="A622" s="33"/>
      <c r="B622" s="33"/>
      <c r="C622" s="221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>
      <c r="A623" s="33"/>
      <c r="B623" s="33"/>
      <c r="C623" s="221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>
      <c r="A624" s="33"/>
      <c r="B624" s="33"/>
      <c r="C624" s="221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>
      <c r="A625" s="33"/>
      <c r="B625" s="33"/>
      <c r="C625" s="221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>
      <c r="A626" s="33"/>
      <c r="B626" s="33"/>
      <c r="C626" s="221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>
      <c r="A627" s="33"/>
      <c r="B627" s="33"/>
      <c r="C627" s="221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>
      <c r="A628" s="33"/>
      <c r="B628" s="33"/>
      <c r="C628" s="221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>
      <c r="A629" s="33"/>
      <c r="B629" s="33"/>
      <c r="C629" s="221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>
      <c r="A630" s="33"/>
      <c r="B630" s="33"/>
      <c r="C630" s="221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>
      <c r="A631" s="33"/>
      <c r="B631" s="33"/>
      <c r="C631" s="221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>
      <c r="A632" s="33"/>
      <c r="B632" s="33"/>
      <c r="C632" s="221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>
      <c r="A633" s="33"/>
      <c r="B633" s="33"/>
      <c r="C633" s="221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>
      <c r="A634" s="33"/>
      <c r="B634" s="33"/>
      <c r="C634" s="221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>
      <c r="A635" s="33"/>
      <c r="B635" s="33"/>
      <c r="C635" s="221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>
      <c r="A636" s="33"/>
      <c r="B636" s="33"/>
      <c r="C636" s="221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>
      <c r="A637" s="33"/>
      <c r="B637" s="33"/>
      <c r="C637" s="221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>
      <c r="A638" s="33"/>
      <c r="B638" s="33"/>
      <c r="C638" s="221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>
      <c r="A639" s="33"/>
      <c r="B639" s="33"/>
      <c r="C639" s="221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>
      <c r="A640" s="33"/>
      <c r="B640" s="33"/>
      <c r="C640" s="221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>
      <c r="A641" s="33"/>
      <c r="B641" s="33"/>
      <c r="C641" s="221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>
      <c r="A642" s="33"/>
      <c r="B642" s="33"/>
      <c r="C642" s="221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>
      <c r="A643" s="33"/>
      <c r="B643" s="33"/>
      <c r="C643" s="221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>
      <c r="A644" s="33"/>
      <c r="B644" s="33"/>
      <c r="C644" s="221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>
      <c r="A645" s="33"/>
      <c r="B645" s="33"/>
      <c r="C645" s="221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>
      <c r="A646" s="33"/>
      <c r="B646" s="33"/>
      <c r="C646" s="221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>
      <c r="A647" s="33"/>
      <c r="B647" s="33"/>
      <c r="C647" s="221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>
      <c r="A648" s="33"/>
      <c r="B648" s="33"/>
      <c r="C648" s="221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>
      <c r="A649" s="33"/>
      <c r="B649" s="33"/>
      <c r="C649" s="221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>
      <c r="A650" s="33"/>
      <c r="B650" s="33"/>
      <c r="C650" s="221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>
      <c r="A651" s="33"/>
      <c r="B651" s="33"/>
      <c r="C651" s="221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>
      <c r="A652" s="33"/>
      <c r="B652" s="33"/>
      <c r="C652" s="221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>
      <c r="A653" s="33"/>
      <c r="B653" s="33"/>
      <c r="C653" s="221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>
      <c r="A654" s="33"/>
      <c r="B654" s="33"/>
      <c r="C654" s="221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>
      <c r="A655" s="33"/>
      <c r="B655" s="33"/>
      <c r="C655" s="221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>
      <c r="A656" s="33"/>
      <c r="B656" s="33"/>
      <c r="C656" s="221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>
      <c r="A657" s="33"/>
      <c r="B657" s="33"/>
      <c r="C657" s="221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>
      <c r="A658" s="33"/>
      <c r="B658" s="33"/>
      <c r="C658" s="221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>
      <c r="A659" s="33"/>
      <c r="B659" s="33"/>
      <c r="C659" s="221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>
      <c r="A660" s="33"/>
      <c r="B660" s="33"/>
      <c r="C660" s="221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>
      <c r="A661" s="33"/>
      <c r="B661" s="33"/>
      <c r="C661" s="221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>
      <c r="A662" s="33"/>
      <c r="B662" s="33"/>
      <c r="C662" s="221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>
      <c r="A663" s="33"/>
      <c r="B663" s="33"/>
      <c r="C663" s="221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>
      <c r="A664" s="33"/>
      <c r="B664" s="33"/>
      <c r="C664" s="221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>
      <c r="A665" s="33"/>
      <c r="B665" s="33"/>
      <c r="C665" s="221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>
      <c r="A666" s="33"/>
      <c r="B666" s="33"/>
      <c r="C666" s="221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>
      <c r="A667" s="33"/>
      <c r="B667" s="33"/>
      <c r="C667" s="221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>
      <c r="A668" s="33"/>
      <c r="B668" s="33"/>
      <c r="C668" s="221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>
      <c r="A669" s="33"/>
      <c r="B669" s="33"/>
      <c r="C669" s="221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>
      <c r="A670" s="33"/>
      <c r="B670" s="33"/>
      <c r="C670" s="221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>
      <c r="A671" s="33"/>
      <c r="B671" s="33"/>
      <c r="C671" s="221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>
      <c r="A672" s="33"/>
      <c r="B672" s="33"/>
      <c r="C672" s="221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>
      <c r="A673" s="33"/>
      <c r="B673" s="33"/>
      <c r="C673" s="221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>
      <c r="A674" s="33"/>
      <c r="B674" s="33"/>
      <c r="C674" s="221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>
      <c r="A675" s="33"/>
      <c r="B675" s="33"/>
      <c r="C675" s="221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>
      <c r="A676" s="33"/>
      <c r="B676" s="33"/>
      <c r="C676" s="221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>
      <c r="A677" s="33"/>
      <c r="B677" s="33"/>
      <c r="C677" s="221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>
      <c r="A678" s="33"/>
      <c r="B678" s="33"/>
      <c r="C678" s="221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>
      <c r="A679" s="33"/>
      <c r="B679" s="33"/>
      <c r="C679" s="221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>
      <c r="A680" s="33"/>
      <c r="B680" s="33"/>
      <c r="C680" s="221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>
      <c r="A681" s="33"/>
      <c r="B681" s="33"/>
      <c r="C681" s="221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>
      <c r="A682" s="33"/>
      <c r="B682" s="33"/>
      <c r="C682" s="221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>
      <c r="A683" s="33"/>
      <c r="B683" s="33"/>
      <c r="C683" s="221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>
      <c r="A684" s="33"/>
      <c r="B684" s="33"/>
      <c r="C684" s="221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>
      <c r="A685" s="33"/>
      <c r="B685" s="33"/>
      <c r="C685" s="221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>
      <c r="A686" s="33"/>
      <c r="B686" s="33"/>
      <c r="C686" s="221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>
      <c r="A687" s="33"/>
      <c r="B687" s="33"/>
      <c r="C687" s="221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>
      <c r="A688" s="33"/>
      <c r="B688" s="33"/>
      <c r="C688" s="221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>
      <c r="A689" s="33"/>
      <c r="B689" s="33"/>
      <c r="C689" s="221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>
      <c r="A690" s="33"/>
      <c r="B690" s="33"/>
      <c r="C690" s="221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>
      <c r="A691" s="33"/>
      <c r="B691" s="33"/>
      <c r="C691" s="221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>
      <c r="A692" s="33"/>
      <c r="B692" s="33"/>
      <c r="C692" s="221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>
      <c r="A693" s="33"/>
      <c r="B693" s="33"/>
      <c r="C693" s="221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>
      <c r="A694" s="33"/>
      <c r="B694" s="33"/>
      <c r="C694" s="221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>
      <c r="A695" s="33"/>
      <c r="B695" s="33"/>
      <c r="C695" s="221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>
      <c r="A696" s="33"/>
      <c r="B696" s="33"/>
      <c r="C696" s="221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>
      <c r="A697" s="33"/>
      <c r="B697" s="33"/>
      <c r="C697" s="221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>
      <c r="A698" s="33"/>
      <c r="B698" s="33"/>
      <c r="C698" s="221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>
      <c r="A699" s="33"/>
      <c r="B699" s="33"/>
      <c r="C699" s="221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>
      <c r="A700" s="33"/>
      <c r="B700" s="33"/>
      <c r="C700" s="221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>
      <c r="A701" s="33"/>
      <c r="B701" s="33"/>
      <c r="C701" s="221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>
      <c r="A702" s="33"/>
      <c r="B702" s="33"/>
      <c r="C702" s="221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>
      <c r="A703" s="33"/>
      <c r="B703" s="33"/>
      <c r="C703" s="221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>
      <c r="A704" s="33"/>
      <c r="B704" s="33"/>
      <c r="C704" s="221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>
      <c r="A705" s="33"/>
      <c r="B705" s="33"/>
      <c r="C705" s="221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>
      <c r="A706" s="33"/>
      <c r="B706" s="33"/>
      <c r="C706" s="221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>
      <c r="A707" s="33"/>
      <c r="B707" s="33"/>
      <c r="C707" s="221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>
      <c r="A708" s="33"/>
      <c r="B708" s="33"/>
      <c r="C708" s="221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>
      <c r="A709" s="33"/>
      <c r="B709" s="33"/>
      <c r="C709" s="221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>
      <c r="A710" s="33"/>
      <c r="B710" s="33"/>
      <c r="C710" s="221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>
      <c r="A711" s="33"/>
      <c r="B711" s="33"/>
      <c r="C711" s="221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>
      <c r="A712" s="33"/>
      <c r="B712" s="33"/>
      <c r="C712" s="221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>
      <c r="A713" s="33"/>
      <c r="B713" s="33"/>
      <c r="C713" s="221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>
      <c r="A714" s="33"/>
      <c r="B714" s="33"/>
      <c r="C714" s="221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>
      <c r="A715" s="33"/>
      <c r="B715" s="33"/>
      <c r="C715" s="221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>
      <c r="A716" s="33"/>
      <c r="B716" s="33"/>
      <c r="C716" s="221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>
      <c r="A717" s="33"/>
      <c r="B717" s="33"/>
      <c r="C717" s="221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>
      <c r="A718" s="33"/>
      <c r="B718" s="33"/>
      <c r="C718" s="221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>
      <c r="A719" s="33"/>
      <c r="B719" s="33"/>
      <c r="C719" s="221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>
      <c r="A720" s="33"/>
      <c r="B720" s="33"/>
      <c r="C720" s="221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>
      <c r="A721" s="33"/>
      <c r="B721" s="33"/>
      <c r="C721" s="221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>
      <c r="A722" s="33"/>
      <c r="B722" s="33"/>
      <c r="C722" s="221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>
      <c r="A723" s="33"/>
      <c r="B723" s="33"/>
      <c r="C723" s="221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>
      <c r="A724" s="33"/>
      <c r="B724" s="33"/>
      <c r="C724" s="221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>
      <c r="A725" s="33"/>
      <c r="B725" s="33"/>
      <c r="C725" s="221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>
      <c r="A726" s="33"/>
      <c r="B726" s="33"/>
      <c r="C726" s="221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>
      <c r="A727" s="33"/>
      <c r="B727" s="33"/>
      <c r="C727" s="221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>
      <c r="A728" s="33"/>
      <c r="B728" s="33"/>
      <c r="C728" s="221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>
      <c r="A729" s="33"/>
      <c r="B729" s="33"/>
      <c r="C729" s="221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>
      <c r="A730" s="33"/>
      <c r="B730" s="33"/>
      <c r="C730" s="221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>
      <c r="A731" s="33"/>
      <c r="B731" s="33"/>
      <c r="C731" s="221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>
      <c r="A732" s="33"/>
      <c r="B732" s="33"/>
      <c r="C732" s="221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>
      <c r="A733" s="33"/>
      <c r="B733" s="33"/>
      <c r="C733" s="221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>
      <c r="A734" s="33"/>
      <c r="B734" s="33"/>
      <c r="C734" s="221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>
      <c r="A735" s="33"/>
      <c r="B735" s="33"/>
      <c r="C735" s="221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>
      <c r="A736" s="33"/>
      <c r="B736" s="33"/>
      <c r="C736" s="221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>
      <c r="A737" s="33"/>
      <c r="B737" s="33"/>
      <c r="C737" s="221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>
      <c r="A738" s="33"/>
      <c r="B738" s="33"/>
      <c r="C738" s="221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>
      <c r="A739" s="33"/>
      <c r="B739" s="33"/>
      <c r="C739" s="221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>
      <c r="A740" s="33"/>
      <c r="B740" s="33"/>
      <c r="C740" s="221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>
      <c r="A741" s="33"/>
      <c r="B741" s="33"/>
      <c r="C741" s="221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>
      <c r="A742" s="33"/>
      <c r="B742" s="33"/>
      <c r="C742" s="221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>
      <c r="A743" s="33"/>
      <c r="B743" s="33"/>
      <c r="C743" s="221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>
      <c r="A744" s="33"/>
      <c r="B744" s="33"/>
      <c r="C744" s="221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>
      <c r="A745" s="33"/>
      <c r="B745" s="33"/>
      <c r="C745" s="221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>
      <c r="A746" s="33"/>
      <c r="B746" s="33"/>
      <c r="C746" s="221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>
      <c r="A747" s="33"/>
      <c r="B747" s="33"/>
      <c r="C747" s="221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>
      <c r="A748" s="33"/>
      <c r="B748" s="33"/>
      <c r="C748" s="221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>
      <c r="A749" s="33"/>
      <c r="B749" s="33"/>
      <c r="C749" s="221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>
      <c r="A750" s="33"/>
      <c r="B750" s="33"/>
      <c r="C750" s="221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>
      <c r="A751" s="33"/>
      <c r="B751" s="33"/>
      <c r="C751" s="221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>
      <c r="A752" s="33"/>
      <c r="B752" s="33"/>
      <c r="C752" s="221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>
      <c r="A753" s="33"/>
      <c r="B753" s="33"/>
      <c r="C753" s="221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>
      <c r="A754" s="33"/>
      <c r="B754" s="33"/>
      <c r="C754" s="221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>
      <c r="A755" s="33"/>
      <c r="B755" s="33"/>
      <c r="C755" s="221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>
      <c r="A756" s="33"/>
      <c r="B756" s="33"/>
      <c r="C756" s="221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>
      <c r="A757" s="33"/>
      <c r="B757" s="33"/>
      <c r="C757" s="221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>
      <c r="A758" s="33"/>
      <c r="B758" s="33"/>
      <c r="C758" s="221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>
      <c r="A759" s="33"/>
      <c r="B759" s="33"/>
      <c r="C759" s="221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>
      <c r="A760" s="33"/>
      <c r="B760" s="33"/>
      <c r="C760" s="221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>
      <c r="A761" s="33"/>
      <c r="B761" s="33"/>
      <c r="C761" s="221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>
      <c r="A762" s="33"/>
      <c r="B762" s="33"/>
      <c r="C762" s="221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>
      <c r="A763" s="33"/>
      <c r="B763" s="33"/>
      <c r="C763" s="221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>
      <c r="A764" s="33"/>
      <c r="B764" s="33"/>
      <c r="C764" s="221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>
      <c r="A765" s="33"/>
      <c r="B765" s="33"/>
      <c r="C765" s="221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>
      <c r="A766" s="33"/>
      <c r="B766" s="33"/>
      <c r="C766" s="221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>
      <c r="A767" s="33"/>
      <c r="B767" s="33"/>
      <c r="C767" s="221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>
      <c r="A768" s="33"/>
      <c r="B768" s="33"/>
      <c r="C768" s="221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>
      <c r="A769" s="33"/>
      <c r="B769" s="33"/>
      <c r="C769" s="221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>
      <c r="A770" s="33"/>
      <c r="B770" s="33"/>
      <c r="C770" s="221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>
      <c r="A771" s="33"/>
      <c r="B771" s="33"/>
      <c r="C771" s="221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>
      <c r="A772" s="33"/>
      <c r="B772" s="33"/>
      <c r="C772" s="221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>
      <c r="A773" s="33"/>
      <c r="B773" s="33"/>
      <c r="C773" s="221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>
      <c r="A774" s="33"/>
      <c r="B774" s="33"/>
      <c r="C774" s="221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>
      <c r="A775" s="33"/>
      <c r="B775" s="33"/>
      <c r="C775" s="221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>
      <c r="A776" s="33"/>
      <c r="B776" s="33"/>
      <c r="C776" s="221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>
      <c r="A777" s="33"/>
      <c r="B777" s="33"/>
      <c r="C777" s="221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>
      <c r="A778" s="33"/>
      <c r="B778" s="33"/>
      <c r="C778" s="221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>
      <c r="A779" s="33"/>
      <c r="B779" s="33"/>
      <c r="C779" s="221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>
      <c r="A780" s="33"/>
      <c r="B780" s="33"/>
      <c r="C780" s="221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>
      <c r="A781" s="33"/>
      <c r="B781" s="33"/>
      <c r="C781" s="221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>
      <c r="A782" s="33"/>
      <c r="B782" s="33"/>
      <c r="C782" s="221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>
      <c r="A783" s="33"/>
      <c r="B783" s="33"/>
      <c r="C783" s="221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>
      <c r="A784" s="33"/>
      <c r="B784" s="33"/>
      <c r="C784" s="221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>
      <c r="A785" s="33"/>
      <c r="B785" s="33"/>
      <c r="C785" s="221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>
      <c r="A786" s="33"/>
      <c r="B786" s="33"/>
      <c r="C786" s="221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>
      <c r="A787" s="33"/>
      <c r="B787" s="33"/>
      <c r="C787" s="221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>
      <c r="A788" s="33"/>
      <c r="B788" s="33"/>
      <c r="C788" s="221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>
      <c r="A789" s="33"/>
      <c r="B789" s="33"/>
      <c r="C789" s="221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>
      <c r="A790" s="33"/>
      <c r="B790" s="33"/>
      <c r="C790" s="221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>
      <c r="A791" s="33"/>
      <c r="B791" s="33"/>
      <c r="C791" s="221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>
      <c r="A792" s="33"/>
      <c r="B792" s="33"/>
      <c r="C792" s="221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>
      <c r="A793" s="33"/>
      <c r="B793" s="33"/>
      <c r="C793" s="221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>
      <c r="A794" s="33"/>
      <c r="B794" s="33"/>
      <c r="C794" s="221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>
      <c r="A795" s="33"/>
      <c r="B795" s="33"/>
      <c r="C795" s="221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>
      <c r="A796" s="33"/>
      <c r="B796" s="33"/>
      <c r="C796" s="221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>
      <c r="A797" s="33"/>
      <c r="B797" s="33"/>
      <c r="C797" s="221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>
      <c r="A798" s="33"/>
      <c r="B798" s="33"/>
      <c r="C798" s="221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>
      <c r="A799" s="33"/>
      <c r="B799" s="33"/>
      <c r="C799" s="221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>
      <c r="A800" s="33"/>
      <c r="B800" s="33"/>
      <c r="C800" s="221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>
      <c r="A801" s="33"/>
      <c r="B801" s="33"/>
      <c r="C801" s="221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>
      <c r="A802" s="33"/>
      <c r="B802" s="33"/>
      <c r="C802" s="221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>
      <c r="A803" s="33"/>
      <c r="B803" s="33"/>
      <c r="C803" s="221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>
      <c r="A804" s="33"/>
      <c r="B804" s="33"/>
      <c r="C804" s="221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>
      <c r="A805" s="33"/>
      <c r="B805" s="33"/>
      <c r="C805" s="221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>
      <c r="A806" s="33"/>
      <c r="B806" s="33"/>
      <c r="C806" s="221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>
      <c r="A807" s="33"/>
      <c r="B807" s="33"/>
      <c r="C807" s="221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>
      <c r="A808" s="33"/>
      <c r="B808" s="33"/>
      <c r="C808" s="221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>
      <c r="A809" s="33"/>
      <c r="B809" s="33"/>
      <c r="C809" s="221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>
      <c r="A810" s="33"/>
      <c r="B810" s="33"/>
      <c r="C810" s="221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>
      <c r="A811" s="33"/>
      <c r="B811" s="33"/>
      <c r="C811" s="221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>
      <c r="A812" s="33"/>
      <c r="B812" s="33"/>
      <c r="C812" s="221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>
      <c r="A813" s="33"/>
      <c r="B813" s="33"/>
      <c r="C813" s="221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>
      <c r="A814" s="33"/>
      <c r="B814" s="33"/>
      <c r="C814" s="221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>
      <c r="A815" s="33"/>
      <c r="B815" s="33"/>
      <c r="C815" s="221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>
      <c r="A816" s="33"/>
      <c r="B816" s="33"/>
      <c r="C816" s="221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>
      <c r="A817" s="33"/>
      <c r="B817" s="33"/>
      <c r="C817" s="221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>
      <c r="A818" s="33"/>
      <c r="B818" s="33"/>
      <c r="C818" s="221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>
      <c r="A819" s="33"/>
      <c r="B819" s="33"/>
      <c r="C819" s="221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>
      <c r="A820" s="33"/>
      <c r="B820" s="33"/>
      <c r="C820" s="221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>
      <c r="A821" s="33"/>
      <c r="B821" s="33"/>
      <c r="C821" s="221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>
      <c r="A822" s="33"/>
      <c r="B822" s="33"/>
      <c r="C822" s="221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>
      <c r="A823" s="33"/>
      <c r="B823" s="33"/>
      <c r="C823" s="221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>
      <c r="A824" s="33"/>
      <c r="B824" s="33"/>
      <c r="C824" s="221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>
      <c r="A825" s="33"/>
      <c r="B825" s="33"/>
      <c r="C825" s="221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>
      <c r="A826" s="33"/>
      <c r="B826" s="33"/>
      <c r="C826" s="221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>
      <c r="A827" s="33"/>
      <c r="B827" s="33"/>
      <c r="C827" s="221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>
      <c r="A828" s="33"/>
      <c r="B828" s="33"/>
      <c r="C828" s="221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>
      <c r="A829" s="33"/>
      <c r="B829" s="33"/>
      <c r="C829" s="221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>
      <c r="A830" s="33"/>
      <c r="B830" s="33"/>
      <c r="C830" s="221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>
      <c r="A831" s="33"/>
      <c r="B831" s="33"/>
      <c r="C831" s="221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>
      <c r="A832" s="33"/>
      <c r="B832" s="33"/>
      <c r="C832" s="221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>
      <c r="A833" s="33"/>
      <c r="B833" s="33"/>
      <c r="C833" s="221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>
      <c r="A834" s="33"/>
      <c r="B834" s="33"/>
      <c r="C834" s="221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>
      <c r="A835" s="33"/>
      <c r="B835" s="33"/>
      <c r="C835" s="221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>
      <c r="A836" s="33"/>
      <c r="B836" s="33"/>
      <c r="C836" s="221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>
      <c r="A837" s="33"/>
      <c r="B837" s="33"/>
      <c r="C837" s="221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>
      <c r="A838" s="33"/>
      <c r="B838" s="33"/>
      <c r="C838" s="221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>
      <c r="A839" s="33"/>
      <c r="B839" s="33"/>
      <c r="C839" s="221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>
      <c r="A840" s="33"/>
      <c r="B840" s="33"/>
      <c r="C840" s="221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>
      <c r="A841" s="33"/>
      <c r="B841" s="33"/>
      <c r="C841" s="221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>
      <c r="A842" s="33"/>
      <c r="B842" s="33"/>
      <c r="C842" s="221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>
      <c r="A843" s="33"/>
      <c r="B843" s="33"/>
      <c r="C843" s="221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>
      <c r="A844" s="33"/>
      <c r="B844" s="33"/>
      <c r="C844" s="221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>
      <c r="A845" s="33"/>
      <c r="B845" s="33"/>
      <c r="C845" s="221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>
      <c r="A846" s="33"/>
      <c r="B846" s="33"/>
      <c r="C846" s="221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>
      <c r="A847" s="33"/>
      <c r="B847" s="33"/>
      <c r="C847" s="221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>
      <c r="A848" s="33"/>
      <c r="B848" s="33"/>
      <c r="C848" s="221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>
      <c r="A849" s="33"/>
      <c r="B849" s="33"/>
      <c r="C849" s="221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>
      <c r="A850" s="33"/>
      <c r="B850" s="33"/>
      <c r="C850" s="221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>
      <c r="A851" s="33"/>
      <c r="B851" s="33"/>
      <c r="C851" s="221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>
      <c r="A852" s="33"/>
      <c r="B852" s="33"/>
      <c r="C852" s="221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>
      <c r="A853" s="33"/>
      <c r="B853" s="33"/>
      <c r="C853" s="221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>
      <c r="A854" s="33"/>
      <c r="B854" s="33"/>
      <c r="C854" s="221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>
      <c r="A855" s="33"/>
      <c r="B855" s="33"/>
      <c r="C855" s="221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>
      <c r="A856" s="33"/>
      <c r="B856" s="33"/>
      <c r="C856" s="221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>
      <c r="A857" s="33"/>
      <c r="B857" s="33"/>
      <c r="C857" s="221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>
      <c r="A858" s="33"/>
      <c r="B858" s="33"/>
      <c r="C858" s="221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>
      <c r="A859" s="33"/>
      <c r="B859" s="33"/>
      <c r="C859" s="221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>
      <c r="A860" s="33"/>
      <c r="B860" s="33"/>
      <c r="C860" s="221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>
      <c r="A861" s="33"/>
      <c r="B861" s="33"/>
      <c r="C861" s="221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>
      <c r="A862" s="33"/>
      <c r="B862" s="33"/>
      <c r="C862" s="221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>
      <c r="A863" s="33"/>
      <c r="B863" s="33"/>
      <c r="C863" s="221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>
      <c r="A864" s="33"/>
      <c r="B864" s="33"/>
      <c r="C864" s="221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>
      <c r="A865" s="33"/>
      <c r="B865" s="33"/>
      <c r="C865" s="221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>
      <c r="A866" s="33"/>
      <c r="B866" s="33"/>
      <c r="C866" s="221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>
      <c r="A867" s="33"/>
      <c r="B867" s="33"/>
      <c r="C867" s="221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>
      <c r="A868" s="33"/>
      <c r="B868" s="33"/>
      <c r="C868" s="221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>
      <c r="A869" s="33"/>
      <c r="B869" s="33"/>
      <c r="C869" s="221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>
      <c r="A870" s="33"/>
      <c r="B870" s="33"/>
      <c r="C870" s="221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>
      <c r="A871" s="33"/>
      <c r="B871" s="33"/>
      <c r="C871" s="221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>
      <c r="A872" s="33"/>
      <c r="B872" s="33"/>
      <c r="C872" s="221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>
      <c r="A873" s="33"/>
      <c r="B873" s="33"/>
      <c r="C873" s="221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>
      <c r="A874" s="33"/>
      <c r="B874" s="33"/>
      <c r="C874" s="221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>
      <c r="A875" s="33"/>
      <c r="B875" s="33"/>
      <c r="C875" s="221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>
      <c r="A876" s="33"/>
      <c r="B876" s="33"/>
      <c r="C876" s="221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>
      <c r="A877" s="33"/>
      <c r="B877" s="33"/>
      <c r="C877" s="221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>
      <c r="A878" s="33"/>
      <c r="B878" s="33"/>
      <c r="C878" s="221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>
      <c r="A879" s="33"/>
      <c r="B879" s="33"/>
      <c r="C879" s="221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>
      <c r="A880" s="33"/>
      <c r="B880" s="33"/>
      <c r="C880" s="221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>
      <c r="A881" s="33"/>
      <c r="B881" s="33"/>
      <c r="C881" s="221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>
      <c r="A882" s="33"/>
      <c r="B882" s="33"/>
      <c r="C882" s="221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>
      <c r="A883" s="33"/>
      <c r="B883" s="33"/>
      <c r="C883" s="221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>
      <c r="A884" s="33"/>
      <c r="B884" s="33"/>
      <c r="C884" s="221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>
      <c r="A885" s="33"/>
      <c r="B885" s="33"/>
      <c r="C885" s="221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>
      <c r="A886" s="33"/>
      <c r="B886" s="33"/>
      <c r="C886" s="221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>
      <c r="A887" s="33"/>
      <c r="B887" s="33"/>
      <c r="C887" s="221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>
      <c r="A888" s="33"/>
      <c r="B888" s="33"/>
      <c r="C888" s="221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>
      <c r="A889" s="33"/>
      <c r="B889" s="33"/>
      <c r="C889" s="221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>
      <c r="A890" s="33"/>
      <c r="B890" s="33"/>
      <c r="C890" s="221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>
      <c r="A891" s="33"/>
      <c r="B891" s="33"/>
      <c r="C891" s="221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>
      <c r="A892" s="33"/>
      <c r="B892" s="33"/>
      <c r="C892" s="221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>
      <c r="A893" s="33"/>
      <c r="B893" s="33"/>
      <c r="C893" s="221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>
      <c r="A894" s="33"/>
      <c r="B894" s="33"/>
      <c r="C894" s="221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>
      <c r="A895" s="33"/>
      <c r="B895" s="33"/>
      <c r="C895" s="221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>
      <c r="A896" s="33"/>
      <c r="B896" s="33"/>
      <c r="C896" s="221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>
      <c r="A897" s="33"/>
      <c r="B897" s="33"/>
      <c r="C897" s="221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>
      <c r="A898" s="33"/>
      <c r="B898" s="33"/>
      <c r="C898" s="221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>
      <c r="A899" s="33"/>
      <c r="B899" s="33"/>
      <c r="C899" s="221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>
      <c r="A900" s="33"/>
      <c r="B900" s="33"/>
      <c r="C900" s="221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>
      <c r="A901" s="33"/>
      <c r="B901" s="33"/>
      <c r="C901" s="221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>
      <c r="A902" s="33"/>
      <c r="B902" s="33"/>
      <c r="C902" s="221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>
      <c r="A903" s="33"/>
      <c r="B903" s="33"/>
      <c r="C903" s="221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>
      <c r="A904" s="33"/>
      <c r="B904" s="33"/>
      <c r="C904" s="221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>
      <c r="A905" s="33"/>
      <c r="B905" s="33"/>
      <c r="C905" s="221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>
      <c r="A906" s="33"/>
      <c r="B906" s="33"/>
      <c r="C906" s="221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>
      <c r="A907" s="33"/>
      <c r="B907" s="33"/>
      <c r="C907" s="221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>
      <c r="A908" s="33"/>
      <c r="B908" s="33"/>
      <c r="C908" s="221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>
      <c r="A909" s="33"/>
      <c r="B909" s="33"/>
      <c r="C909" s="221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>
      <c r="A910" s="33"/>
      <c r="B910" s="33"/>
      <c r="C910" s="221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>
      <c r="A911" s="33"/>
      <c r="B911" s="33"/>
      <c r="C911" s="221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>
      <c r="A912" s="33"/>
      <c r="B912" s="33"/>
      <c r="C912" s="221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>
      <c r="A913" s="33"/>
      <c r="B913" s="33"/>
      <c r="C913" s="221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>
      <c r="A914" s="33"/>
      <c r="B914" s="33"/>
      <c r="C914" s="221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>
      <c r="A915" s="33"/>
      <c r="B915" s="33"/>
      <c r="C915" s="221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>
      <c r="A916" s="33"/>
      <c r="B916" s="33"/>
      <c r="C916" s="221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>
      <c r="A917" s="33"/>
      <c r="B917" s="33"/>
      <c r="C917" s="221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>
      <c r="A918" s="33"/>
      <c r="B918" s="33"/>
      <c r="C918" s="221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>
      <c r="A919" s="33"/>
      <c r="B919" s="33"/>
      <c r="C919" s="221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>
      <c r="A920" s="33"/>
      <c r="B920" s="33"/>
      <c r="C920" s="221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>
      <c r="A921" s="33"/>
      <c r="B921" s="33"/>
      <c r="C921" s="221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>
      <c r="A922" s="33"/>
      <c r="B922" s="33"/>
      <c r="C922" s="221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>
      <c r="A923" s="33"/>
      <c r="B923" s="33"/>
      <c r="C923" s="221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>
      <c r="A924" s="33"/>
      <c r="B924" s="33"/>
      <c r="C924" s="221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>
      <c r="A925" s="33"/>
      <c r="B925" s="33"/>
      <c r="C925" s="221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>
      <c r="A926" s="33"/>
      <c r="B926" s="33"/>
      <c r="C926" s="221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>
      <c r="A927" s="33"/>
      <c r="B927" s="33"/>
      <c r="C927" s="221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>
      <c r="A928" s="33"/>
      <c r="B928" s="33"/>
      <c r="C928" s="221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>
      <c r="A929" s="33"/>
      <c r="B929" s="33"/>
      <c r="C929" s="221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>
      <c r="A930" s="33"/>
      <c r="B930" s="33"/>
      <c r="C930" s="221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>
      <c r="A931" s="33"/>
      <c r="B931" s="33"/>
      <c r="C931" s="221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>
      <c r="A932" s="33"/>
      <c r="B932" s="33"/>
      <c r="C932" s="221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>
      <c r="A933" s="33"/>
      <c r="B933" s="33"/>
      <c r="C933" s="221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>
      <c r="A934" s="33"/>
      <c r="B934" s="33"/>
      <c r="C934" s="221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>
      <c r="A935" s="33"/>
      <c r="B935" s="33"/>
      <c r="C935" s="221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>
      <c r="A936" s="33"/>
      <c r="B936" s="33"/>
      <c r="C936" s="221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>
      <c r="A937" s="33"/>
      <c r="B937" s="33"/>
      <c r="C937" s="221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>
      <c r="A938" s="33"/>
      <c r="B938" s="33"/>
      <c r="C938" s="221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>
      <c r="A939" s="33"/>
      <c r="B939" s="33"/>
      <c r="C939" s="221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>
      <c r="A940" s="33"/>
      <c r="B940" s="33"/>
      <c r="C940" s="221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>
      <c r="A941" s="33"/>
      <c r="B941" s="33"/>
      <c r="C941" s="221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>
      <c r="A942" s="33"/>
      <c r="B942" s="33"/>
      <c r="C942" s="221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>
      <c r="A943" s="33"/>
      <c r="B943" s="33"/>
      <c r="C943" s="221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>
      <c r="A944" s="33"/>
      <c r="B944" s="33"/>
      <c r="C944" s="221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>
      <c r="A945" s="33"/>
      <c r="B945" s="33"/>
      <c r="C945" s="221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>
      <c r="A946" s="33"/>
      <c r="B946" s="33"/>
      <c r="C946" s="221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>
      <c r="A947" s="33"/>
      <c r="B947" s="33"/>
      <c r="C947" s="221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>
      <c r="A948" s="33"/>
      <c r="B948" s="33"/>
      <c r="C948" s="221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>
      <c r="A949" s="33"/>
      <c r="B949" s="33"/>
      <c r="C949" s="221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>
      <c r="A950" s="33"/>
      <c r="B950" s="33"/>
      <c r="C950" s="221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>
      <c r="A951" s="33"/>
      <c r="B951" s="33"/>
      <c r="C951" s="221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>
      <c r="A952" s="33"/>
      <c r="B952" s="33"/>
      <c r="C952" s="221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>
      <c r="A953" s="33"/>
      <c r="B953" s="33"/>
      <c r="C953" s="221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>
      <c r="A954" s="33"/>
      <c r="B954" s="33"/>
      <c r="C954" s="221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>
      <c r="A955" s="33"/>
      <c r="B955" s="33"/>
      <c r="C955" s="221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>
      <c r="A956" s="33"/>
      <c r="B956" s="33"/>
      <c r="C956" s="221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>
      <c r="A957" s="33"/>
      <c r="B957" s="33"/>
      <c r="C957" s="221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>
      <c r="A958" s="33"/>
      <c r="B958" s="33"/>
      <c r="C958" s="221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>
      <c r="A959" s="33"/>
      <c r="B959" s="33"/>
      <c r="C959" s="221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>
      <c r="A960" s="33"/>
      <c r="B960" s="33"/>
      <c r="C960" s="221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>
      <c r="A961" s="33"/>
      <c r="B961" s="33"/>
      <c r="C961" s="221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>
      <c r="A962" s="33"/>
      <c r="B962" s="33"/>
      <c r="C962" s="221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>
      <c r="A963" s="33"/>
      <c r="B963" s="33"/>
      <c r="C963" s="221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>
      <c r="A964" s="33"/>
      <c r="B964" s="33"/>
      <c r="C964" s="221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>
      <c r="A965" s="33"/>
      <c r="B965" s="33"/>
      <c r="C965" s="221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>
      <c r="A966" s="33"/>
      <c r="B966" s="33"/>
      <c r="C966" s="221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>
      <c r="A967" s="33"/>
      <c r="B967" s="33"/>
      <c r="C967" s="221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>
      <c r="A968" s="33"/>
      <c r="B968" s="33"/>
      <c r="C968" s="221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>
      <c r="A969" s="33"/>
      <c r="B969" s="33"/>
      <c r="C969" s="221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>
      <c r="A970" s="33"/>
      <c r="B970" s="33"/>
      <c r="C970" s="221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>
      <c r="A971" s="33"/>
      <c r="B971" s="33"/>
      <c r="C971" s="221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>
      <c r="A972" s="33"/>
      <c r="B972" s="33"/>
      <c r="C972" s="221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>
      <c r="A973" s="33"/>
      <c r="B973" s="33"/>
      <c r="C973" s="221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>
      <c r="A974" s="33"/>
      <c r="B974" s="33"/>
      <c r="C974" s="221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>
      <c r="A975" s="33"/>
      <c r="B975" s="33"/>
      <c r="C975" s="221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>
      <c r="A976" s="33"/>
      <c r="B976" s="33"/>
      <c r="C976" s="221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>
      <c r="A977" s="33"/>
      <c r="B977" s="33"/>
      <c r="C977" s="221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>
      <c r="A978" s="33"/>
      <c r="B978" s="33"/>
      <c r="C978" s="221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>
      <c r="A979" s="33"/>
      <c r="B979" s="33"/>
      <c r="C979" s="221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>
      <c r="A980" s="33"/>
      <c r="B980" s="33"/>
      <c r="C980" s="221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>
      <c r="A981" s="33"/>
      <c r="B981" s="33"/>
      <c r="C981" s="221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>
      <c r="A982" s="33"/>
      <c r="B982" s="33"/>
      <c r="C982" s="221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>
      <c r="A983" s="33"/>
      <c r="B983" s="33"/>
      <c r="C983" s="221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>
      <c r="A984" s="33"/>
      <c r="B984" s="33"/>
      <c r="C984" s="221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>
      <c r="A985" s="33"/>
      <c r="B985" s="33"/>
      <c r="C985" s="221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>
      <c r="A986" s="33"/>
      <c r="B986" s="33"/>
      <c r="C986" s="221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>
      <c r="A987" s="33"/>
      <c r="B987" s="33"/>
      <c r="C987" s="221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>
      <c r="A988" s="33"/>
      <c r="B988" s="33"/>
      <c r="C988" s="221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>
      <c r="A989" s="33"/>
      <c r="B989" s="33"/>
      <c r="C989" s="221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>
      <c r="A990" s="33"/>
      <c r="B990" s="33"/>
      <c r="C990" s="221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>
      <c r="A991" s="33"/>
      <c r="B991" s="33"/>
      <c r="C991" s="221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>
      <c r="A992" s="33"/>
      <c r="B992" s="33"/>
      <c r="C992" s="221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>
      <c r="A993" s="33"/>
      <c r="B993" s="33"/>
      <c r="C993" s="221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>
      <c r="A994" s="33"/>
      <c r="B994" s="33"/>
      <c r="C994" s="221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>
      <c r="A995" s="33"/>
      <c r="B995" s="33"/>
      <c r="C995" s="221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>
      <c r="A996" s="33"/>
      <c r="B996" s="33"/>
      <c r="C996" s="221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>
      <c r="A997" s="33"/>
      <c r="B997" s="33"/>
      <c r="C997" s="221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>
      <c r="A998" s="33"/>
      <c r="B998" s="33"/>
      <c r="C998" s="221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>
      <c r="A999" s="33"/>
      <c r="B999" s="33"/>
      <c r="C999" s="221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>
      <c r="A1000" s="33"/>
      <c r="B1000" s="33"/>
      <c r="C1000" s="221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  <row r="1001" spans="1:26" ht="15.75" customHeight="1">
      <c r="A1001" s="33"/>
      <c r="B1001" s="33"/>
      <c r="C1001" s="221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</row>
    <row r="1002" spans="1:26" ht="15.75" customHeight="1">
      <c r="A1002" s="33"/>
      <c r="B1002" s="33"/>
      <c r="C1002" s="221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</row>
    <row r="1003" spans="1:26" ht="15.75" customHeight="1">
      <c r="A1003" s="33"/>
      <c r="B1003" s="33"/>
      <c r="C1003" s="221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</row>
    <row r="1004" spans="1:26" ht="15.75" customHeight="1">
      <c r="A1004" s="33"/>
      <c r="B1004" s="33"/>
      <c r="C1004" s="221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</row>
    <row r="1005" spans="1:26" ht="15.75" customHeight="1">
      <c r="A1005" s="33"/>
      <c r="B1005" s="33"/>
      <c r="C1005" s="221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</row>
    <row r="1006" spans="1:26" ht="15.75" customHeight="1">
      <c r="A1006" s="33"/>
      <c r="B1006" s="33"/>
      <c r="C1006" s="221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</row>
    <row r="1007" spans="1:26" ht="15.75" customHeight="1">
      <c r="A1007" s="33"/>
      <c r="B1007" s="33"/>
      <c r="C1007" s="221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</row>
    <row r="1008" spans="1:26" ht="15.75" customHeight="1">
      <c r="A1008" s="33"/>
      <c r="B1008" s="33"/>
      <c r="C1008" s="221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</row>
  </sheetData>
  <autoFilter ref="A8:N72" xr:uid="{00000000-0009-0000-0000-000000000000}">
    <filterColumn colId="2">
      <customFilters>
        <customFilter operator="notEqual" val=" "/>
      </customFilters>
    </filterColumn>
  </autoFilter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K1001"/>
  <sheetViews>
    <sheetView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R7" sqref="R7"/>
    </sheetView>
  </sheetViews>
  <sheetFormatPr baseColWidth="10" defaultColWidth="11.1640625" defaultRowHeight="15" customHeight="1"/>
  <cols>
    <col min="1" max="1" width="22" hidden="1" customWidth="1"/>
    <col min="2" max="2" width="36.33203125" customWidth="1"/>
    <col min="3" max="57" width="12.5" customWidth="1"/>
    <col min="58" max="63" width="13.5" customWidth="1"/>
  </cols>
  <sheetData>
    <row r="1" spans="1:63" ht="30">
      <c r="A1" s="2"/>
      <c r="B1" s="15"/>
      <c r="C1" s="17" t="s">
        <v>4</v>
      </c>
      <c r="D1" s="18"/>
      <c r="E1" s="20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22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1:63" ht="15.75" customHeight="1">
      <c r="A2" s="16"/>
      <c r="B2" s="28"/>
      <c r="C2" s="9" t="s">
        <v>2</v>
      </c>
      <c r="D2" s="21"/>
      <c r="E2" s="21"/>
      <c r="F2" s="21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</row>
    <row r="3" spans="1:63" ht="15.75" customHeight="1">
      <c r="A3" s="16"/>
      <c r="B3" s="3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ht="42">
      <c r="A4" s="34"/>
      <c r="B4" s="35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37" t="s">
        <v>12</v>
      </c>
      <c r="J4" s="37" t="s">
        <v>13</v>
      </c>
      <c r="K4" s="37" t="s">
        <v>14</v>
      </c>
      <c r="L4" s="37" t="s">
        <v>15</v>
      </c>
      <c r="M4" s="37" t="s">
        <v>16</v>
      </c>
      <c r="N4" s="37" t="s">
        <v>17</v>
      </c>
      <c r="O4" s="37" t="s">
        <v>18</v>
      </c>
      <c r="P4" s="37" t="s">
        <v>19</v>
      </c>
      <c r="Q4" s="37" t="s">
        <v>20</v>
      </c>
      <c r="R4" s="39" t="s">
        <v>21</v>
      </c>
      <c r="S4" s="37" t="s">
        <v>22</v>
      </c>
      <c r="T4" s="37" t="s">
        <v>23</v>
      </c>
      <c r="U4" s="37" t="s">
        <v>24</v>
      </c>
      <c r="V4" s="37" t="s">
        <v>25</v>
      </c>
      <c r="W4" s="37" t="s">
        <v>26</v>
      </c>
      <c r="X4" s="37" t="s">
        <v>27</v>
      </c>
      <c r="Y4" s="37" t="s">
        <v>28</v>
      </c>
      <c r="Z4" s="37" t="s">
        <v>29</v>
      </c>
      <c r="AA4" s="37" t="s">
        <v>30</v>
      </c>
      <c r="AB4" s="37" t="s">
        <v>31</v>
      </c>
      <c r="AC4" s="37" t="s">
        <v>32</v>
      </c>
      <c r="AD4" s="37" t="s">
        <v>33</v>
      </c>
      <c r="AE4" s="37" t="s">
        <v>34</v>
      </c>
      <c r="AF4" s="37" t="s">
        <v>35</v>
      </c>
      <c r="AG4" s="37" t="s">
        <v>36</v>
      </c>
      <c r="AH4" s="37" t="s">
        <v>37</v>
      </c>
      <c r="AI4" s="37" t="s">
        <v>38</v>
      </c>
      <c r="AJ4" s="37" t="s">
        <v>39</v>
      </c>
      <c r="AK4" s="37" t="s">
        <v>40</v>
      </c>
      <c r="AL4" s="37" t="s">
        <v>41</v>
      </c>
      <c r="AM4" s="37" t="s">
        <v>42</v>
      </c>
      <c r="AN4" s="37" t="s">
        <v>43</v>
      </c>
      <c r="AO4" s="37" t="s">
        <v>44</v>
      </c>
      <c r="AP4" s="37" t="s">
        <v>45</v>
      </c>
      <c r="AQ4" s="37" t="s">
        <v>46</v>
      </c>
      <c r="AR4" s="37" t="s">
        <v>47</v>
      </c>
      <c r="AS4" s="37" t="s">
        <v>48</v>
      </c>
      <c r="AT4" s="39" t="s">
        <v>49</v>
      </c>
      <c r="AU4" s="37" t="s">
        <v>50</v>
      </c>
      <c r="AV4" s="37" t="s">
        <v>51</v>
      </c>
      <c r="AW4" s="37" t="s">
        <v>52</v>
      </c>
      <c r="AX4" s="37" t="s">
        <v>53</v>
      </c>
      <c r="AY4" s="37" t="s">
        <v>54</v>
      </c>
      <c r="AZ4" s="37" t="s">
        <v>55</v>
      </c>
      <c r="BA4" s="37" t="s">
        <v>56</v>
      </c>
      <c r="BB4" s="37" t="s">
        <v>57</v>
      </c>
      <c r="BC4" s="37" t="s">
        <v>58</v>
      </c>
      <c r="BD4" s="45" t="s">
        <v>59</v>
      </c>
      <c r="BE4" s="45" t="s">
        <v>60</v>
      </c>
      <c r="BF4" s="34"/>
      <c r="BG4" s="34"/>
      <c r="BH4" s="34"/>
      <c r="BI4" s="34"/>
      <c r="BJ4" s="34"/>
      <c r="BK4" s="34"/>
    </row>
    <row r="5" spans="1:63" ht="48.75" customHeight="1">
      <c r="A5" s="16"/>
      <c r="B5" s="47" t="s">
        <v>66</v>
      </c>
      <c r="C5" s="49" t="s">
        <v>67</v>
      </c>
      <c r="D5" s="51" t="s">
        <v>69</v>
      </c>
      <c r="E5" s="51" t="s">
        <v>71</v>
      </c>
      <c r="F5" s="51" t="s">
        <v>72</v>
      </c>
      <c r="G5" s="51" t="s">
        <v>73</v>
      </c>
      <c r="H5" s="51" t="s">
        <v>74</v>
      </c>
      <c r="I5" s="51" t="s">
        <v>75</v>
      </c>
      <c r="J5" s="51" t="s">
        <v>76</v>
      </c>
      <c r="K5" s="51" t="s">
        <v>77</v>
      </c>
      <c r="L5" s="51" t="s">
        <v>78</v>
      </c>
      <c r="M5" s="51" t="s">
        <v>79</v>
      </c>
      <c r="N5" s="51" t="s">
        <v>76</v>
      </c>
      <c r="O5" s="51" t="s">
        <v>80</v>
      </c>
      <c r="P5" s="51" t="s">
        <v>81</v>
      </c>
      <c r="Q5" s="51" t="s">
        <v>82</v>
      </c>
      <c r="R5" s="51" t="s">
        <v>83</v>
      </c>
      <c r="S5" s="51" t="s">
        <v>75</v>
      </c>
      <c r="T5" s="51" t="s">
        <v>84</v>
      </c>
      <c r="U5" s="51" t="s">
        <v>69</v>
      </c>
      <c r="V5" s="51" t="s">
        <v>85</v>
      </c>
      <c r="W5" s="53" t="s">
        <v>86</v>
      </c>
      <c r="X5" s="51" t="s">
        <v>87</v>
      </c>
      <c r="Y5" s="51" t="s">
        <v>88</v>
      </c>
      <c r="Z5" s="51" t="s">
        <v>89</v>
      </c>
      <c r="AA5" s="51" t="s">
        <v>79</v>
      </c>
      <c r="AB5" s="51" t="s">
        <v>90</v>
      </c>
      <c r="AC5" s="51" t="s">
        <v>91</v>
      </c>
      <c r="AD5" s="51" t="s">
        <v>81</v>
      </c>
      <c r="AE5" s="53" t="s">
        <v>92</v>
      </c>
      <c r="AF5" s="53" t="s">
        <v>86</v>
      </c>
      <c r="AG5" s="51" t="s">
        <v>93</v>
      </c>
      <c r="AH5" s="51" t="s">
        <v>94</v>
      </c>
      <c r="AI5" s="51" t="s">
        <v>73</v>
      </c>
      <c r="AJ5" s="51" t="s">
        <v>73</v>
      </c>
      <c r="AK5" s="51" t="s">
        <v>95</v>
      </c>
      <c r="AL5" s="51" t="s">
        <v>95</v>
      </c>
      <c r="AM5" s="51" t="s">
        <v>96</v>
      </c>
      <c r="AN5" s="53" t="s">
        <v>97</v>
      </c>
      <c r="AO5" s="53" t="s">
        <v>98</v>
      </c>
      <c r="AP5" s="53" t="s">
        <v>99</v>
      </c>
      <c r="AQ5" s="53" t="s">
        <v>100</v>
      </c>
      <c r="AR5" s="53" t="s">
        <v>101</v>
      </c>
      <c r="AS5" s="53" t="s">
        <v>102</v>
      </c>
      <c r="AT5" s="51" t="s">
        <v>103</v>
      </c>
      <c r="AU5" s="51" t="s">
        <v>104</v>
      </c>
      <c r="AV5" s="51" t="s">
        <v>105</v>
      </c>
      <c r="AW5" s="53" t="s">
        <v>106</v>
      </c>
      <c r="AX5" s="53" t="s">
        <v>107</v>
      </c>
      <c r="AY5" s="53" t="s">
        <v>108</v>
      </c>
      <c r="AZ5" s="53" t="s">
        <v>109</v>
      </c>
      <c r="BA5" s="53" t="s">
        <v>110</v>
      </c>
      <c r="BB5" s="55" t="s">
        <v>111</v>
      </c>
      <c r="BC5" s="55" t="s">
        <v>113</v>
      </c>
      <c r="BD5" s="62" t="s">
        <v>114</v>
      </c>
      <c r="BE5" s="62" t="s">
        <v>142</v>
      </c>
      <c r="BF5" s="16"/>
      <c r="BG5" s="16"/>
      <c r="BH5" s="16"/>
      <c r="BI5" s="16"/>
      <c r="BJ5" s="16"/>
      <c r="BK5" s="16"/>
    </row>
    <row r="6" spans="1:63" ht="15.75" customHeight="1">
      <c r="A6" s="16"/>
      <c r="B6" s="67" t="s">
        <v>143</v>
      </c>
      <c r="C6" s="71">
        <f>10000000+(1*'Raw Data'!B44*C49)</f>
        <v>10270000</v>
      </c>
      <c r="D6" s="73">
        <v>1000000</v>
      </c>
      <c r="E6" s="68">
        <v>100000</v>
      </c>
      <c r="F6" s="68">
        <v>12500</v>
      </c>
      <c r="G6" s="68">
        <v>2000000</v>
      </c>
      <c r="H6" s="68">
        <v>1000</v>
      </c>
      <c r="I6" s="68">
        <v>6000000</v>
      </c>
      <c r="J6" s="68">
        <v>1000000</v>
      </c>
      <c r="K6" s="68">
        <v>4500000</v>
      </c>
      <c r="L6" s="68">
        <v>1520000</v>
      </c>
      <c r="M6" s="68">
        <v>10000</v>
      </c>
      <c r="N6" s="68">
        <v>1000000</v>
      </c>
      <c r="O6" s="68">
        <v>1250000</v>
      </c>
      <c r="P6" s="68">
        <v>40000</v>
      </c>
      <c r="Q6" s="68">
        <v>1800000</v>
      </c>
      <c r="R6" s="68">
        <f>100000+(6*'Raw Data'!Q20)</f>
        <v>249142</v>
      </c>
      <c r="S6" s="68">
        <v>6000000</v>
      </c>
      <c r="T6" s="68">
        <v>5000000</v>
      </c>
      <c r="U6" s="68">
        <v>1000000</v>
      </c>
      <c r="V6" s="68">
        <v>50000</v>
      </c>
      <c r="W6" s="68">
        <f>12000000+(50*'Raw Data'!V44*W49)</f>
        <v>41940000</v>
      </c>
      <c r="X6" s="68">
        <v>2000</v>
      </c>
      <c r="Y6" s="68">
        <v>3000000</v>
      </c>
      <c r="Z6" s="68">
        <v>30000</v>
      </c>
      <c r="AA6" s="73">
        <v>10000</v>
      </c>
      <c r="AB6" s="68">
        <v>1400000</v>
      </c>
      <c r="AC6" s="73">
        <v>323250</v>
      </c>
      <c r="AD6" s="68">
        <v>40000</v>
      </c>
      <c r="AE6" s="68">
        <f>150+(10*'Raw Data'!AD44*AE49)+(1000*'Raw Data'!AD49*AE49)</f>
        <v>80095</v>
      </c>
      <c r="AF6" s="68">
        <f>12000000+(50*'Raw Data'!AE44*AF49)</f>
        <v>41940000</v>
      </c>
      <c r="AG6" s="68">
        <f>3000+(3*'Raw Data'!AF44*AG49)</f>
        <v>5020.95</v>
      </c>
      <c r="AH6" s="68">
        <v>15000</v>
      </c>
      <c r="AI6" s="68">
        <v>2000000</v>
      </c>
      <c r="AJ6" s="68">
        <v>2000000</v>
      </c>
      <c r="AK6" s="68">
        <v>100000</v>
      </c>
      <c r="AL6" s="68">
        <f t="shared" ref="AL6:AL7" si="0">100000</f>
        <v>100000</v>
      </c>
      <c r="AM6" s="68">
        <v>200000</v>
      </c>
      <c r="AN6" s="68">
        <f>24+(2500*'Raw Data'!AM44*AN49)+(25*'Raw Data'!AM49*AN49)</f>
        <v>89.664772727272748</v>
      </c>
      <c r="AO6" s="68">
        <f>50+(5000*'Raw Data'!AN44)+(30*'Raw Data'!AN49*AO49)</f>
        <v>650.46500000000003</v>
      </c>
      <c r="AP6" s="68">
        <f>500+(30*'Raw Data'!AO44*AP49)</f>
        <v>1651.5384615384614</v>
      </c>
      <c r="AQ6" s="68">
        <f>(2000*'Raw Data'!AP49)+(20*'Raw Data'!AP44*AQ49)+30</f>
        <v>38.930379310344826</v>
      </c>
      <c r="AR6" s="68">
        <f>12+(16*'Raw Data'!AQ44*AR49)</f>
        <v>39.677866666666667</v>
      </c>
      <c r="AS6" s="68">
        <f>68+(17500*'Raw Data'!AR44*AS49)</f>
        <v>207.72</v>
      </c>
      <c r="AT6" s="68">
        <f>50+(5000*'Raw Data'!AS44*AT49)+(23*'Raw Data'!AS49*AT49)</f>
        <v>168.67000000000002</v>
      </c>
      <c r="AU6" s="73">
        <v>250000</v>
      </c>
      <c r="AV6" s="68">
        <f>80000+(5*'Raw Data'!AU44*AV49)</f>
        <v>575993.97590361442</v>
      </c>
      <c r="AW6" s="68">
        <v>15000</v>
      </c>
      <c r="AX6" s="68">
        <f>1000000+(20*'Raw Data'!AW44*AX49)</f>
        <v>15970000</v>
      </c>
      <c r="AY6" s="68">
        <f>35000+(1*'Raw Data'!AX44*AY49)</f>
        <v>334700</v>
      </c>
      <c r="AZ6" s="68">
        <f>5000+(10*'Raw Data'!AY44*AZ49)</f>
        <v>254500</v>
      </c>
      <c r="BA6" s="68">
        <v>800</v>
      </c>
      <c r="BB6" s="68">
        <f>4000000+(200*'Raw Data'!BA44*BB49)</f>
        <v>9988000</v>
      </c>
      <c r="BC6" s="68">
        <f>BC7+(100*'Raw Data'!BB44*BC49)</f>
        <v>266333.33333333337</v>
      </c>
      <c r="BD6" s="91">
        <v>400000</v>
      </c>
      <c r="BE6" s="91">
        <v>10000000</v>
      </c>
      <c r="BF6" s="16"/>
      <c r="BG6" s="16"/>
      <c r="BH6" s="16"/>
      <c r="BI6" s="16"/>
      <c r="BJ6" s="16"/>
      <c r="BK6" s="16"/>
    </row>
    <row r="7" spans="1:63" ht="15.75" customHeight="1">
      <c r="A7" s="16"/>
      <c r="B7" s="67" t="s">
        <v>160</v>
      </c>
      <c r="C7" s="71">
        <f>10000000</f>
        <v>10000000</v>
      </c>
      <c r="D7" s="73">
        <v>1000000</v>
      </c>
      <c r="E7" s="68">
        <v>100000</v>
      </c>
      <c r="F7" s="68">
        <v>12500</v>
      </c>
      <c r="G7" s="68">
        <v>2000000</v>
      </c>
      <c r="H7" s="68">
        <v>1000</v>
      </c>
      <c r="I7" s="68">
        <v>6000000</v>
      </c>
      <c r="J7" s="68">
        <v>1000000</v>
      </c>
      <c r="K7" s="68">
        <v>4500000</v>
      </c>
      <c r="L7" s="68">
        <v>1520000</v>
      </c>
      <c r="M7" s="68">
        <v>10000</v>
      </c>
      <c r="N7" s="68">
        <v>1000000</v>
      </c>
      <c r="O7" s="68">
        <v>1250000</v>
      </c>
      <c r="P7" s="68">
        <v>40000</v>
      </c>
      <c r="Q7" s="68">
        <v>1800000</v>
      </c>
      <c r="R7" s="68">
        <v>100000</v>
      </c>
      <c r="S7" s="68">
        <v>6000000</v>
      </c>
      <c r="T7" s="68">
        <v>5000000</v>
      </c>
      <c r="U7" s="68">
        <v>1000000</v>
      </c>
      <c r="V7" s="68">
        <v>50000</v>
      </c>
      <c r="W7" s="68">
        <f>12000000</f>
        <v>12000000</v>
      </c>
      <c r="X7" s="68">
        <v>2000</v>
      </c>
      <c r="Y7" s="68">
        <v>3000000</v>
      </c>
      <c r="Z7" s="68">
        <v>30000</v>
      </c>
      <c r="AA7" s="73">
        <v>10000</v>
      </c>
      <c r="AB7" s="68">
        <v>1400000</v>
      </c>
      <c r="AC7" s="73">
        <v>323250</v>
      </c>
      <c r="AD7" s="68">
        <v>40000</v>
      </c>
      <c r="AE7" s="68">
        <f>150</f>
        <v>150</v>
      </c>
      <c r="AF7" s="68">
        <f>12000000</f>
        <v>12000000</v>
      </c>
      <c r="AG7" s="68">
        <f>3000</f>
        <v>3000</v>
      </c>
      <c r="AH7" s="68">
        <v>15000</v>
      </c>
      <c r="AI7" s="68">
        <v>2000000</v>
      </c>
      <c r="AJ7" s="68">
        <v>2000000</v>
      </c>
      <c r="AK7" s="68">
        <v>100000</v>
      </c>
      <c r="AL7" s="68">
        <f t="shared" si="0"/>
        <v>100000</v>
      </c>
      <c r="AM7" s="68">
        <v>200000</v>
      </c>
      <c r="AN7" s="68">
        <f>30</f>
        <v>30</v>
      </c>
      <c r="AO7" s="68">
        <f>50</f>
        <v>50</v>
      </c>
      <c r="AP7" s="68">
        <f>500</f>
        <v>500</v>
      </c>
      <c r="AQ7" s="73">
        <v>30</v>
      </c>
      <c r="AR7" s="73">
        <v>12</v>
      </c>
      <c r="AS7" s="68">
        <v>68</v>
      </c>
      <c r="AT7" s="73">
        <v>50</v>
      </c>
      <c r="AU7" s="73">
        <v>250000</v>
      </c>
      <c r="AV7" s="68">
        <v>80000</v>
      </c>
      <c r="AW7" s="68">
        <v>15000</v>
      </c>
      <c r="AX7" s="68">
        <v>1000000</v>
      </c>
      <c r="AY7" s="68">
        <v>35000</v>
      </c>
      <c r="AZ7" s="68">
        <v>5000</v>
      </c>
      <c r="BA7" s="68">
        <v>800</v>
      </c>
      <c r="BB7" s="68">
        <v>4000000</v>
      </c>
      <c r="BC7" s="68">
        <v>100000</v>
      </c>
      <c r="BD7" s="83">
        <v>400000</v>
      </c>
      <c r="BE7" s="91">
        <v>10000000</v>
      </c>
      <c r="BF7" s="16"/>
      <c r="BG7" s="16"/>
      <c r="BH7" s="16"/>
      <c r="BI7" s="16"/>
      <c r="BJ7" s="16"/>
      <c r="BK7" s="16"/>
    </row>
    <row r="8" spans="1:63" ht="15.75" customHeight="1">
      <c r="A8" s="16"/>
      <c r="B8" s="94"/>
      <c r="C8" s="95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9"/>
      <c r="BE8" s="99"/>
      <c r="BF8" s="16"/>
      <c r="BG8" s="16"/>
      <c r="BH8" s="16"/>
      <c r="BI8" s="16"/>
      <c r="BJ8" s="16"/>
      <c r="BK8" s="16"/>
    </row>
    <row r="9" spans="1:63" ht="15.75" customHeight="1">
      <c r="A9" s="16"/>
      <c r="B9" s="101" t="s">
        <v>163</v>
      </c>
      <c r="C9" s="66">
        <v>1</v>
      </c>
      <c r="D9" s="82">
        <v>1</v>
      </c>
      <c r="E9" s="82">
        <v>1</v>
      </c>
      <c r="F9" s="82">
        <v>1</v>
      </c>
      <c r="G9" s="82">
        <v>1</v>
      </c>
      <c r="H9" s="82">
        <f>24/24</f>
        <v>1</v>
      </c>
      <c r="I9" s="82">
        <v>1</v>
      </c>
      <c r="J9" s="82">
        <v>1</v>
      </c>
      <c r="K9" s="82">
        <v>1</v>
      </c>
      <c r="L9" s="82">
        <v>1</v>
      </c>
      <c r="M9" s="82">
        <v>0.3</v>
      </c>
      <c r="N9" s="82">
        <v>1</v>
      </c>
      <c r="O9" s="82">
        <v>1</v>
      </c>
      <c r="P9" s="82">
        <v>1</v>
      </c>
      <c r="Q9" s="82">
        <v>1</v>
      </c>
      <c r="R9" s="82">
        <v>1</v>
      </c>
      <c r="S9" s="82">
        <v>0.1</v>
      </c>
      <c r="T9" s="82">
        <v>12</v>
      </c>
      <c r="U9" s="82">
        <v>1</v>
      </c>
      <c r="V9" s="82">
        <v>1</v>
      </c>
      <c r="W9" s="82">
        <v>1</v>
      </c>
      <c r="X9" s="82">
        <v>1</v>
      </c>
      <c r="Y9" s="82">
        <v>1</v>
      </c>
      <c r="Z9" s="82">
        <v>1</v>
      </c>
      <c r="AA9" s="82">
        <v>1</v>
      </c>
      <c r="AB9" s="82">
        <v>1</v>
      </c>
      <c r="AC9" s="82">
        <v>1</v>
      </c>
      <c r="AD9" s="82">
        <v>1</v>
      </c>
      <c r="AE9" s="82">
        <v>1</v>
      </c>
      <c r="AF9" s="82">
        <v>1</v>
      </c>
      <c r="AG9" s="82">
        <f>24/(10*2)</f>
        <v>1.2</v>
      </c>
      <c r="AH9" s="82">
        <v>1</v>
      </c>
      <c r="AI9" s="82">
        <v>1</v>
      </c>
      <c r="AJ9" s="82">
        <f>24/24</f>
        <v>1</v>
      </c>
      <c r="AK9" s="82">
        <v>1</v>
      </c>
      <c r="AL9" s="82">
        <v>1</v>
      </c>
      <c r="AM9" s="82">
        <v>1</v>
      </c>
      <c r="AN9" s="82">
        <v>1</v>
      </c>
      <c r="AO9" s="82">
        <v>1</v>
      </c>
      <c r="AP9" s="104">
        <f>24/22</f>
        <v>1.0909090909090908</v>
      </c>
      <c r="AQ9" s="104">
        <f>24/21</f>
        <v>1.1428571428571428</v>
      </c>
      <c r="AR9" s="82">
        <v>1</v>
      </c>
      <c r="AS9" s="82">
        <v>1</v>
      </c>
      <c r="AT9" s="80">
        <f>24/23</f>
        <v>1.0434782608695652</v>
      </c>
      <c r="AU9" s="82">
        <f>24/(5*4)</f>
        <v>1.2</v>
      </c>
      <c r="AV9" s="78">
        <f>24/24</f>
        <v>1</v>
      </c>
      <c r="AW9" s="82">
        <v>1</v>
      </c>
      <c r="AX9" s="82">
        <v>1</v>
      </c>
      <c r="AY9" s="82">
        <v>1</v>
      </c>
      <c r="AZ9" s="82">
        <v>1</v>
      </c>
      <c r="BA9" s="82">
        <v>1</v>
      </c>
      <c r="BB9" s="82">
        <v>1</v>
      </c>
      <c r="BC9" s="82">
        <f>24/24</f>
        <v>1</v>
      </c>
      <c r="BD9" s="108">
        <v>1</v>
      </c>
      <c r="BE9" s="110">
        <f>24/3</f>
        <v>8</v>
      </c>
      <c r="BF9" s="16"/>
      <c r="BG9" s="16"/>
      <c r="BH9" s="16"/>
      <c r="BI9" s="16"/>
      <c r="BJ9" s="16"/>
      <c r="BK9" s="16"/>
    </row>
    <row r="10" spans="1:63" ht="15.75" customHeight="1">
      <c r="A10" s="16"/>
      <c r="B10" s="94" t="s">
        <v>174</v>
      </c>
      <c r="C10" s="66">
        <f>IFERROR(IF(C9&lt;(24/Outputs!$C$5),1,C9/24*Outputs!$C$5),"N/A")</f>
        <v>1</v>
      </c>
      <c r="D10" s="82">
        <f>IFERROR(IF(D9&lt;(24/Outputs!$C$5),1,D9/24*Outputs!$C$5),"N/A")</f>
        <v>1</v>
      </c>
      <c r="E10" s="82">
        <f>IFERROR(IF(E9&lt;(24/Outputs!$C$5),1,E9/24*Outputs!$C$5),"N/A")</f>
        <v>1</v>
      </c>
      <c r="F10" s="82">
        <f>IFERROR(IF(F9&lt;(24/Outputs!$C$5),1,F9/24*Outputs!$C$5),"N/A")</f>
        <v>1</v>
      </c>
      <c r="G10" s="82">
        <f>IFERROR(IF(G9&lt;(24/Outputs!$C$5),1,G9/24*Outputs!$C$5),"N/A")</f>
        <v>1</v>
      </c>
      <c r="H10" s="82">
        <f>IFERROR(IF(H9&lt;(24/Outputs!$C$5),1,H9/24*Outputs!$C$5),"N/A")</f>
        <v>1</v>
      </c>
      <c r="I10" s="82">
        <f>IFERROR(IF(I9&lt;(24/Outputs!$C$5),1,I9/24*Outputs!$C$5),"N/A")</f>
        <v>1</v>
      </c>
      <c r="J10" s="82">
        <f>IFERROR(IF(J9&lt;(24/Outputs!$C$5),1,J9/24*Outputs!$C$5),"N/A")</f>
        <v>1</v>
      </c>
      <c r="K10" s="82">
        <f>IFERROR(IF(K9&lt;(24/Outputs!$C$5),1,K9/24*Outputs!$C$5),"N/A")</f>
        <v>1</v>
      </c>
      <c r="L10" s="82">
        <f>IFERROR(IF(L9&lt;(24/Outputs!$C$5),1,L9/24*Outputs!$C$5),"N/A")</f>
        <v>1</v>
      </c>
      <c r="M10" s="82">
        <f>IFERROR(IF(M9&lt;(24/Outputs!$C$5),1,M9/24*Outputs!$C$5),"N/A")</f>
        <v>1</v>
      </c>
      <c r="N10" s="82">
        <f>IFERROR(IF(N9&lt;(24/Outputs!$C$5),1,N9/24*Outputs!$C$5),"N/A")</f>
        <v>1</v>
      </c>
      <c r="O10" s="82">
        <f>IFERROR(IF(O9&lt;(24/Outputs!$C$5),1,O9/24*Outputs!$C$5),"N/A")</f>
        <v>1</v>
      </c>
      <c r="P10" s="82">
        <f>IFERROR(IF(P9&lt;(24/Outputs!$C$5),1,P9/24*Outputs!$C$5),"N/A")</f>
        <v>1</v>
      </c>
      <c r="Q10" s="82">
        <f>IFERROR(IF(Q9&lt;(24/Outputs!$C$5),1,Q9/24*Outputs!$C$5),"N/A")</f>
        <v>1</v>
      </c>
      <c r="R10" s="82">
        <f>IFERROR(IF(R9&lt;(24/Outputs!$C$5),1,R9/24*Outputs!$C$5),"N/A")</f>
        <v>1</v>
      </c>
      <c r="S10" s="82">
        <f>IFERROR(IF(S9&lt;(24/Outputs!$C$5),1,S9/24*Outputs!$C$5),"N/A")</f>
        <v>1</v>
      </c>
      <c r="T10" s="82">
        <f>IFERROR(IF(T9&lt;(24/Outputs!$C$5),1,T9/24*Outputs!$C$5),"N/A")</f>
        <v>2</v>
      </c>
      <c r="U10" s="82">
        <f>IFERROR(IF(U9&lt;(24/Outputs!$C$5),1,U9/24*Outputs!$C$5),"N/A")</f>
        <v>1</v>
      </c>
      <c r="V10" s="82">
        <f>IFERROR(IF(V9&lt;(24/Outputs!$C$5),1,V9/24*Outputs!$C$5),"N/A")</f>
        <v>1</v>
      </c>
      <c r="W10" s="82">
        <f>IFERROR(IF(W9&lt;(24/Outputs!$C$5),1,W9/24*Outputs!$C$5),"N/A")</f>
        <v>1</v>
      </c>
      <c r="X10" s="82">
        <f>IFERROR(IF(X9&lt;(24/Outputs!$C$5),1,X9/24*Outputs!$C$5),"N/A")</f>
        <v>1</v>
      </c>
      <c r="Y10" s="82">
        <f>IFERROR(IF(Y9&lt;(24/Outputs!$C$5),1,Y9/24*Outputs!$C$5),"N/A")</f>
        <v>1</v>
      </c>
      <c r="Z10" s="82">
        <f>IFERROR(IF(Z9&lt;(24/Outputs!$C$5),1,Z9/24*Outputs!$C$5),"N/A")</f>
        <v>1</v>
      </c>
      <c r="AA10" s="82">
        <f>IFERROR(IF(AA9&lt;(24/Outputs!$C$5),1,AA9/24*Outputs!$C$5),"N/A")</f>
        <v>1</v>
      </c>
      <c r="AB10" s="82">
        <f>IFERROR(IF(AB9&lt;(24/Outputs!$C$5),1,AB9/24*Outputs!$C$5),"N/A")</f>
        <v>1</v>
      </c>
      <c r="AC10" s="82">
        <f>IFERROR(IF(AC9&lt;(24/Outputs!$C$5),1,AC9/24*Outputs!$C$5),"N/A")</f>
        <v>1</v>
      </c>
      <c r="AD10" s="82">
        <f>IFERROR(IF(AD9&lt;(24/Outputs!$C$5),1,AD9/24*Outputs!$C$5),"N/A")</f>
        <v>1</v>
      </c>
      <c r="AE10" s="82">
        <f>IFERROR(IF(AE9&lt;(24/Outputs!$C$5),1,AE9/24*Outputs!$C$5),"N/A")</f>
        <v>1</v>
      </c>
      <c r="AF10" s="82">
        <f>IFERROR(IF(AF9&lt;(24/Outputs!$C$5),1,AF9/24*Outputs!$C$5),"N/A")</f>
        <v>1</v>
      </c>
      <c r="AG10" s="82">
        <f>IFERROR(IF(AG9&lt;(24/Outputs!$C$5),1,AG9/24*Outputs!$C$5),"N/A")</f>
        <v>1</v>
      </c>
      <c r="AH10" s="82">
        <f>IFERROR(IF(AH9&lt;(24/Outputs!$C$5),1,AH9/24*Outputs!$C$5),"N/A")</f>
        <v>1</v>
      </c>
      <c r="AI10" s="82">
        <f>IFERROR(IF(AI9&lt;(24/Outputs!$C$5),1,AI9/24*Outputs!$C$5),"N/A")</f>
        <v>1</v>
      </c>
      <c r="AJ10" s="82">
        <f>IFERROR(IF(AJ9&lt;(24/Outputs!$C$5),1,AJ9/24*Outputs!$C$5),"N/A")</f>
        <v>1</v>
      </c>
      <c r="AK10" s="82">
        <f>IFERROR(IF(AK9&lt;(24/Outputs!$C$5),1,AK9/24*Outputs!$C$5),"N/A")</f>
        <v>1</v>
      </c>
      <c r="AL10" s="82">
        <f>IFERROR(IF(AL9&lt;(24/Outputs!$C$5),1,AL9/24*Outputs!$C$5),"N/A")</f>
        <v>1</v>
      </c>
      <c r="AM10" s="82">
        <f>IFERROR(IF(AM9&lt;(24/Outputs!$C$5),1,AM9/24*Outputs!$C$5),"N/A")</f>
        <v>1</v>
      </c>
      <c r="AN10" s="82">
        <f>IFERROR(IF(AN9&lt;(24/Outputs!$C$5),1,AN9/24*Outputs!$C$5),"N/A")</f>
        <v>1</v>
      </c>
      <c r="AO10" s="82">
        <f>IFERROR(IF(AO9&lt;(24/Outputs!$C$5),1,AO9/24*Outputs!$C$5),"N/A")</f>
        <v>1</v>
      </c>
      <c r="AP10" s="82">
        <f>IFERROR(IF(AP9&lt;(24/Outputs!$C$5),1,AP9/24*Outputs!$C$5),"N/A")</f>
        <v>1</v>
      </c>
      <c r="AQ10" s="82">
        <f>IFERROR(IF(AQ9&lt;(24/Outputs!$C$5),1,AQ9/24*Outputs!$C$5),"N/A")</f>
        <v>1</v>
      </c>
      <c r="AR10" s="82">
        <f>IFERROR(IF(AR9&lt;(24/Outputs!$C$5),1,AR9/24*Outputs!$C$5),"N/A")</f>
        <v>1</v>
      </c>
      <c r="AS10" s="82">
        <f>IFERROR(IF(AS9&lt;(24/Outputs!$C$5),1,AS9/24*Outputs!$C$5),"N/A")</f>
        <v>1</v>
      </c>
      <c r="AT10" s="82">
        <f>IFERROR(IF(AT9&lt;(24/Outputs!$C$5),1,AT9/24*Outputs!$C$5),"N/A")</f>
        <v>1</v>
      </c>
      <c r="AU10" s="82">
        <f>IFERROR(IF(AU9&lt;(24/Outputs!$C$5),1,AU9/24*Outputs!$C$5),"N/A")</f>
        <v>1</v>
      </c>
      <c r="AV10" s="82">
        <f>IFERROR(IF(AV9&lt;(24/Outputs!$C$5),1,AV9/24*Outputs!$C$5),"N/A")</f>
        <v>1</v>
      </c>
      <c r="AW10" s="82">
        <f>IFERROR(IF(AW9&lt;(24/Outputs!$C$5),1,AW9/24*Outputs!$C$5),"N/A")</f>
        <v>1</v>
      </c>
      <c r="AX10" s="82">
        <f>IFERROR(IF(AX9&lt;(24/Outputs!$C$5),1,AX9/24*Outputs!$C$5),"N/A")</f>
        <v>1</v>
      </c>
      <c r="AY10" s="82">
        <f>IFERROR(IF(AY9&lt;(24/Outputs!$C$5),1,AY9/24*Outputs!$C$5),"N/A")</f>
        <v>1</v>
      </c>
      <c r="AZ10" s="82">
        <f>IFERROR(IF(AZ9&lt;(24/Outputs!$C$5),1,AZ9/24*Outputs!$C$5),"N/A")</f>
        <v>1</v>
      </c>
      <c r="BA10" s="82">
        <f>IFERROR(IF(BA9&lt;(24/Outputs!$C$5),1,BA9/24*Outputs!$C$5),"N/A")</f>
        <v>1</v>
      </c>
      <c r="BB10" s="82">
        <f>IFERROR(IF(BB9&lt;(24/Outputs!$C$5),1,BB9/24*Outputs!$C$5),"N/A")</f>
        <v>1</v>
      </c>
      <c r="BC10" s="82">
        <f>IFERROR(IF(BC9&lt;(24/Outputs!$C$5),1,BC9/24*Outputs!$C$5),"N/A")</f>
        <v>1</v>
      </c>
      <c r="BD10" s="107">
        <f>IFERROR(IF(BD9&lt;(24/Outputs!$C$5),1,BD9/24*Outputs!$C$5),"N/A")</f>
        <v>1</v>
      </c>
      <c r="BE10" s="121">
        <f>IFERROR(IF(BE9&lt;(24/Outputs!$C$5),1,BE9/24*Outputs!$C$5),"N/A")</f>
        <v>1.3333333333333333</v>
      </c>
      <c r="BF10" s="16"/>
      <c r="BG10" s="16"/>
      <c r="BH10" s="16"/>
      <c r="BI10" s="16"/>
      <c r="BJ10" s="16"/>
      <c r="BK10" s="16"/>
    </row>
    <row r="11" spans="1:63" ht="15.75" customHeight="1">
      <c r="A11" s="16"/>
      <c r="B11" s="94" t="s">
        <v>219</v>
      </c>
      <c r="C11" s="71">
        <f>IFERROR(AVERAGE('Raw Data'!B6:B10),0)</f>
        <v>808000</v>
      </c>
      <c r="D11" s="68">
        <f>IFERROR(AVERAGE('Raw Data'!C6:C10),0)</f>
        <v>178000</v>
      </c>
      <c r="E11" s="68">
        <f>IFERROR(AVERAGE('Raw Data'!D6:D10),0)</f>
        <v>42600</v>
      </c>
      <c r="F11" s="68">
        <f>IFERROR(AVERAGE('Raw Data'!E6:E10),0)</f>
        <v>10890</v>
      </c>
      <c r="G11" s="68">
        <f>IFERROR(AVERAGE('Raw Data'!F6:F10),0)</f>
        <v>41800</v>
      </c>
      <c r="H11" s="68">
        <f>IFERROR(AVERAGE('Raw Data'!G6:G10),0)</f>
        <v>500</v>
      </c>
      <c r="I11" s="68">
        <f>IFERROR(AVERAGE('Raw Data'!H6:H10),0)</f>
        <v>1002400</v>
      </c>
      <c r="J11" s="68">
        <f>IFERROR(AVERAGE('Raw Data'!I6:I10),0)</f>
        <v>172400</v>
      </c>
      <c r="K11" s="68">
        <f>IFERROR(AVERAGE('Raw Data'!J6:J10),0)</f>
        <v>361000</v>
      </c>
      <c r="L11" s="68">
        <f>IFERROR(AVERAGE('Raw Data'!K6:K10),0)</f>
        <v>130000</v>
      </c>
      <c r="M11" s="68">
        <f>IFERROR(AVERAGE('Raw Data'!L6:L10),0)</f>
        <v>780</v>
      </c>
      <c r="N11" s="68">
        <f>IFERROR(AVERAGE('Raw Data'!M6:M10),0)</f>
        <v>1252500</v>
      </c>
      <c r="O11" s="68">
        <f>IFERROR(AVERAGE('Raw Data'!N6:N10),0)</f>
        <v>188260</v>
      </c>
      <c r="P11" s="68">
        <f>IFERROR(AVERAGE('Raw Data'!O6:O10),0)</f>
        <v>7500</v>
      </c>
      <c r="Q11" s="68">
        <f>IFERROR(AVERAGE('Raw Data'!P6:P10),0)</f>
        <v>314000</v>
      </c>
      <c r="R11" s="68">
        <f>IFERROR(AVERAGE('Raw Data'!Q6:Q10),0)</f>
        <v>40208.6</v>
      </c>
      <c r="S11" s="68">
        <f>IFERROR(AVERAGE('Raw Data'!R6:R10),0)</f>
        <v>1200000</v>
      </c>
      <c r="T11" s="68">
        <f>IFERROR(AVERAGE('Raw Data'!S6:S10),0)</f>
        <v>640000</v>
      </c>
      <c r="U11" s="68">
        <f>IFERROR(AVERAGE('Raw Data'!T6:T10),0)</f>
        <v>390000</v>
      </c>
      <c r="V11" s="68">
        <f>IFERROR(AVERAGE('Raw Data'!U6:U10),0)</f>
        <v>0</v>
      </c>
      <c r="W11" s="68">
        <f>IFERROR(AVERAGE('Raw Data'!V6:V10),0)</f>
        <v>360000</v>
      </c>
      <c r="X11" s="68">
        <f>IFERROR(AVERAGE('Raw Data'!W6:W10),0)</f>
        <v>1500</v>
      </c>
      <c r="Y11" s="68">
        <f>IFERROR(AVERAGE('Raw Data'!X6:X10),0)</f>
        <v>1700000</v>
      </c>
      <c r="Z11" s="68">
        <f>IFERROR(AVERAGE('Raw Data'!Y6:Y10),0)</f>
        <v>30000</v>
      </c>
      <c r="AA11" s="68">
        <f>IFERROR(AVERAGE('Raw Data'!Z6:Z10),0)</f>
        <v>1220</v>
      </c>
      <c r="AB11" s="68">
        <f>IFERROR(AVERAGE('Raw Data'!AA6:AA10),0)</f>
        <v>94500</v>
      </c>
      <c r="AC11" s="68">
        <f>IFERROR(AVERAGE('Raw Data'!AB6:AB10),0)</f>
        <v>486.8</v>
      </c>
      <c r="AD11" s="68">
        <f>IFERROR(AVERAGE('Raw Data'!AC6:AC10),0)</f>
        <v>6820</v>
      </c>
      <c r="AE11" s="68">
        <f>IFERROR(AVERAGE('Raw Data'!AD6:AD10),0)</f>
        <v>1000</v>
      </c>
      <c r="AF11" s="68">
        <f>IFERROR(AVERAGE('Raw Data'!AE6:AE10),0)</f>
        <v>462000</v>
      </c>
      <c r="AG11" s="68">
        <f>IFERROR(AVERAGE('Raw Data'!AF6:AF10),0)</f>
        <v>560</v>
      </c>
      <c r="AH11" s="68">
        <f>IFERROR(AVERAGE('Raw Data'!AG6:AG10),0)</f>
        <v>3400</v>
      </c>
      <c r="AI11" s="68">
        <f>IFERROR(AVERAGE('Raw Data'!AH6:AH10),0)</f>
        <v>514000</v>
      </c>
      <c r="AJ11" s="68">
        <f>IFERROR(AVERAGE('Raw Data'!AI6:AI10),0)</f>
        <v>222000</v>
      </c>
      <c r="AK11" s="68">
        <f>IFERROR(AVERAGE('Raw Data'!AJ6:AJ10),0)</f>
        <v>98800</v>
      </c>
      <c r="AL11" s="68">
        <f>IFERROR(AVERAGE('Raw Data'!AK6:AK10),0)</f>
        <v>1992000</v>
      </c>
      <c r="AM11" s="68">
        <f>IFERROR(AVERAGE('Raw Data'!AL6:AL10),0)</f>
        <v>30000</v>
      </c>
      <c r="AN11" s="68">
        <f>IFERROR(AVERAGE('Raw Data'!AM6:AM10),0)</f>
        <v>7.4848636363636372</v>
      </c>
      <c r="AO11" s="68">
        <f>IFERROR(AVERAGE('Raw Data'!AN6:AN10),0)</f>
        <v>55.204000000000008</v>
      </c>
      <c r="AP11" s="68">
        <f>IFERROR(AVERAGE('Raw Data'!AO6:AO10),0)</f>
        <v>226.76923076923077</v>
      </c>
      <c r="AQ11" s="68">
        <f>IFERROR(AVERAGE('Raw Data'!AP6:AP10),0)</f>
        <v>20</v>
      </c>
      <c r="AR11" s="68">
        <f>IFERROR(AVERAGE('Raw Data'!AQ6:AQ10),0)</f>
        <v>3.8919466666666667</v>
      </c>
      <c r="AS11" s="68">
        <f>IFERROR(AVERAGE('Raw Data'!AR6:AR10),0)</f>
        <v>14</v>
      </c>
      <c r="AT11" s="68">
        <f>IFERROR(AVERAGE('Raw Data'!AS6:AS10),0)</f>
        <v>16.396000000000001</v>
      </c>
      <c r="AU11" s="68">
        <f>IFERROR(AVERAGE('Raw Data'!AT6:AT10),0)</f>
        <v>265000</v>
      </c>
      <c r="AV11" s="68">
        <f>IFERROR(AVERAGE(#REF!),0)</f>
        <v>0</v>
      </c>
      <c r="AW11" s="68">
        <f>IFERROR(AVERAGE('Raw Data'!AV6:AV10),0)</f>
        <v>1000</v>
      </c>
      <c r="AX11" s="68">
        <f>IFERROR(AVERAGE('Raw Data'!AW6:AW10),0)</f>
        <v>66000</v>
      </c>
      <c r="AY11" s="68">
        <f>IFERROR(AVERAGE('Raw Data'!AX6:AX10),0)</f>
        <v>35500</v>
      </c>
      <c r="AZ11" s="68">
        <f>IFERROR(AVERAGE('Raw Data'!AY6:AY10),0)</f>
        <v>5400</v>
      </c>
      <c r="BA11" s="68">
        <f>IFERROR(AVERAGE('Raw Data'!AZ6:AZ10),0)</f>
        <v>522</v>
      </c>
      <c r="BB11" s="68">
        <f>IFERROR(AVERAGE('Raw Data'!BA6:BA10),0)</f>
        <v>1135157.2</v>
      </c>
      <c r="BC11" s="68">
        <f>IFERROR(AVERAGE('Raw Data'!BB6:BB10),0)</f>
        <v>145619.93047508691</v>
      </c>
      <c r="BD11" s="83">
        <f>IFERROR(AVERAGE('Raw Data'!BC6:BC10),0)</f>
        <v>50000</v>
      </c>
      <c r="BE11" s="83">
        <f>IFERROR(AVERAGE('Raw Data'!BD6:BD10),0)</f>
        <v>233000</v>
      </c>
      <c r="BF11" s="16"/>
      <c r="BG11" s="16"/>
      <c r="BH11" s="16"/>
      <c r="BI11" s="16"/>
      <c r="BJ11" s="16"/>
      <c r="BK11" s="16"/>
    </row>
    <row r="12" spans="1:63" ht="15.75" customHeight="1">
      <c r="A12" s="16"/>
      <c r="B12" s="94"/>
      <c r="C12" s="95"/>
      <c r="D12" s="97"/>
      <c r="E12" s="97"/>
      <c r="F12" s="97"/>
      <c r="G12" s="12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9"/>
      <c r="BE12" s="99"/>
      <c r="BF12" s="16"/>
      <c r="BG12" s="16"/>
      <c r="BH12" s="16"/>
      <c r="BI12" s="16"/>
      <c r="BJ12" s="16"/>
      <c r="BK12" s="16"/>
    </row>
    <row r="13" spans="1:63" ht="15.75" customHeight="1">
      <c r="A13" s="128"/>
      <c r="B13" s="101" t="s">
        <v>222</v>
      </c>
      <c r="C13" s="129">
        <v>3</v>
      </c>
      <c r="D13" s="80">
        <v>0</v>
      </c>
      <c r="E13" s="80">
        <v>1.2</v>
      </c>
      <c r="F13" s="80">
        <v>24</v>
      </c>
      <c r="G13" s="104">
        <f>24/3</f>
        <v>8</v>
      </c>
      <c r="H13" s="82">
        <v>1.6</v>
      </c>
      <c r="I13" s="119">
        <v>24</v>
      </c>
      <c r="J13" s="80">
        <v>2</v>
      </c>
      <c r="K13" s="80">
        <v>1</v>
      </c>
      <c r="L13" s="119">
        <f>24/2</f>
        <v>12</v>
      </c>
      <c r="M13" s="80">
        <v>1</v>
      </c>
      <c r="N13" s="80">
        <v>2.4</v>
      </c>
      <c r="O13" s="119">
        <v>12</v>
      </c>
      <c r="P13" s="80">
        <v>1</v>
      </c>
      <c r="Q13" s="80">
        <v>12</v>
      </c>
      <c r="R13" s="80">
        <v>1</v>
      </c>
      <c r="S13" s="80">
        <v>1</v>
      </c>
      <c r="T13" s="80">
        <v>0</v>
      </c>
      <c r="U13" s="80">
        <v>2.2000000000000002</v>
      </c>
      <c r="V13" s="80">
        <v>1</v>
      </c>
      <c r="W13" s="80">
        <v>24</v>
      </c>
      <c r="X13" s="80">
        <v>24</v>
      </c>
      <c r="Y13" s="80">
        <v>2.4</v>
      </c>
      <c r="Z13" s="80">
        <f>24/2</f>
        <v>12</v>
      </c>
      <c r="AA13" s="80">
        <v>6</v>
      </c>
      <c r="AB13" s="80">
        <v>8</v>
      </c>
      <c r="AC13" s="80">
        <f t="shared" ref="AC13:AD13" si="1">24/4</f>
        <v>6</v>
      </c>
      <c r="AD13" s="80">
        <f t="shared" si="1"/>
        <v>6</v>
      </c>
      <c r="AE13" s="80">
        <v>1</v>
      </c>
      <c r="AF13" s="80">
        <v>24</v>
      </c>
      <c r="AG13" s="80">
        <f>24/2</f>
        <v>12</v>
      </c>
      <c r="AH13" s="80">
        <v>24</v>
      </c>
      <c r="AI13" s="80">
        <f>24/2</f>
        <v>12</v>
      </c>
      <c r="AJ13" s="80">
        <f>24/3</f>
        <v>8</v>
      </c>
      <c r="AK13" s="80">
        <v>12</v>
      </c>
      <c r="AL13" s="80">
        <f>(24*60)/15</f>
        <v>96</v>
      </c>
      <c r="AM13" s="80">
        <v>1</v>
      </c>
      <c r="AN13" s="80">
        <v>1.2</v>
      </c>
      <c r="AO13" s="80">
        <v>1.04</v>
      </c>
      <c r="AP13" s="80">
        <v>0</v>
      </c>
      <c r="AQ13" s="80">
        <v>1.1399999999999999</v>
      </c>
      <c r="AR13" s="80">
        <v>1</v>
      </c>
      <c r="AS13" s="80">
        <v>0</v>
      </c>
      <c r="AT13" s="80">
        <f>24/24</f>
        <v>1</v>
      </c>
      <c r="AU13" s="80">
        <f>24/4</f>
        <v>6</v>
      </c>
      <c r="AV13" s="80">
        <f>24/6</f>
        <v>4</v>
      </c>
      <c r="AW13" s="104">
        <f>24/20</f>
        <v>1.2</v>
      </c>
      <c r="AX13" s="80">
        <v>1</v>
      </c>
      <c r="AY13" s="80">
        <v>1</v>
      </c>
      <c r="AZ13" s="80">
        <v>0</v>
      </c>
      <c r="BA13" s="80">
        <v>0</v>
      </c>
      <c r="BB13" s="80">
        <v>0</v>
      </c>
      <c r="BC13" s="80">
        <v>24</v>
      </c>
      <c r="BD13" s="108">
        <f>24/2</f>
        <v>12</v>
      </c>
      <c r="BE13" s="110">
        <v>0</v>
      </c>
      <c r="BF13" s="128"/>
      <c r="BG13" s="128"/>
      <c r="BH13" s="128"/>
      <c r="BI13" s="128"/>
      <c r="BJ13" s="128"/>
      <c r="BK13" s="128"/>
    </row>
    <row r="14" spans="1:63" ht="15.75" customHeight="1">
      <c r="A14" s="16"/>
      <c r="B14" s="94" t="s">
        <v>174</v>
      </c>
      <c r="C14" s="136">
        <f>IFERROR(IF(C13&lt;(24/Outputs!$C$5),1,C13/24*Outputs!$C$5),"N/A")</f>
        <v>1</v>
      </c>
      <c r="D14" s="104">
        <f>IFERROR(IF(D13&lt;(24/Outputs!$C$5),1,D13/24*Outputs!$C$5),"N/A")</f>
        <v>1</v>
      </c>
      <c r="E14" s="104">
        <f>IFERROR(IF(E13&lt;(24/Outputs!$C$5),1,E13/24*Outputs!$C$5),"N/A")</f>
        <v>1</v>
      </c>
      <c r="F14" s="104">
        <f>IFERROR(IF(F13&lt;(24/Outputs!$C$5),1,F13/24*Outputs!$C$5),"N/A")</f>
        <v>4</v>
      </c>
      <c r="G14" s="104">
        <f>IFERROR(IF(G13&lt;(24/Outputs!$C$5),1,G13/24*Outputs!$C$5),"N/A")</f>
        <v>1.3333333333333333</v>
      </c>
      <c r="H14" s="104">
        <f>IFERROR(IF(H13&lt;(24/Outputs!$C$5),1,H13/24*Outputs!$C$5),"N/A")</f>
        <v>1</v>
      </c>
      <c r="I14" s="104">
        <f>IFERROR(IF(I13&lt;(24/Outputs!$C$5),1,I13/24*Outputs!$C$5),"N/A")</f>
        <v>4</v>
      </c>
      <c r="J14" s="104">
        <f>IFERROR(IF(J13&lt;(24/Outputs!$C$5),1,J13/24*Outputs!$C$5),"N/A")</f>
        <v>1</v>
      </c>
      <c r="K14" s="104">
        <f>IFERROR(IF(K13&lt;(24/Outputs!$C$5),1,K13/24*Outputs!$C$5),"N/A")</f>
        <v>1</v>
      </c>
      <c r="L14" s="104">
        <f>IFERROR(IF(L13&lt;(24/Outputs!$C$5),1,L13/24*Outputs!$C$5),"N/A")</f>
        <v>2</v>
      </c>
      <c r="M14" s="104">
        <f>IFERROR(IF(M13&lt;(24/Outputs!$C$5),1,M13/24*Outputs!$C$5),"N/A")</f>
        <v>1</v>
      </c>
      <c r="N14" s="104">
        <f>IFERROR(IF(N13&lt;(24/Outputs!$C$5),1,N13/24*Outputs!$C$5),"N/A")</f>
        <v>1</v>
      </c>
      <c r="O14" s="104">
        <f>IFERROR(IF(O13&lt;(24/Outputs!$C$5),1,O13/24*Outputs!$C$5),"N/A")</f>
        <v>2</v>
      </c>
      <c r="P14" s="104">
        <f>IFERROR(IF(P13&lt;(24/Outputs!$C$5),1,P13/24*Outputs!$C$5),"N/A")</f>
        <v>1</v>
      </c>
      <c r="Q14" s="104">
        <f>IFERROR(IF(Q13&lt;(24/Outputs!$C$5),1,Q13/24*Outputs!$C$5),"N/A")</f>
        <v>2</v>
      </c>
      <c r="R14" s="104">
        <f>IFERROR(IF(R13&lt;(24/Outputs!$C$5),1,R13/24*Outputs!$C$5),"N/A")</f>
        <v>1</v>
      </c>
      <c r="S14" s="104">
        <f>IFERROR(IF(S13&lt;(24/Outputs!$C$5),1,S13/24*Outputs!$C$5),"N/A")</f>
        <v>1</v>
      </c>
      <c r="T14" s="104">
        <f>IFERROR(IF(T13&lt;(24/Outputs!$C$5),1,T13/24*Outputs!$C$5),"N/A")</f>
        <v>1</v>
      </c>
      <c r="U14" s="104">
        <f>IFERROR(IF(U13&lt;(24/Outputs!$C$5),1,U13/24*Outputs!$C$5),"N/A")</f>
        <v>1</v>
      </c>
      <c r="V14" s="104">
        <f>IFERROR(IF(V13&lt;(24/Outputs!$C$5),1,V13/24*Outputs!$C$5),"N/A")</f>
        <v>1</v>
      </c>
      <c r="W14" s="104">
        <f>IFERROR(IF(W13&lt;(24/Outputs!$C$5),1,W13/24*Outputs!$C$5),"N/A")</f>
        <v>4</v>
      </c>
      <c r="X14" s="104">
        <f>IFERROR(IF(X13&lt;(24/Outputs!$C$5),1,X13/24*Outputs!$C$5),"N/A")</f>
        <v>4</v>
      </c>
      <c r="Y14" s="104">
        <f>IFERROR(IF(Y13&lt;(24/Outputs!$C$5),1,Y13/24*Outputs!$C$5),"N/A")</f>
        <v>1</v>
      </c>
      <c r="Z14" s="104">
        <f>IFERROR(IF(Z13&lt;(24/Outputs!$C$5),1,Z13/24*Outputs!$C$5),"N/A")</f>
        <v>2</v>
      </c>
      <c r="AA14" s="104">
        <f>IFERROR(IF(AA13&lt;(24/Outputs!$C$5),1,AA13/24*Outputs!$C$5),"N/A")</f>
        <v>1</v>
      </c>
      <c r="AB14" s="104">
        <f>IFERROR(IF(AB13&lt;(24/Outputs!$C$5),1,AB13/24*Outputs!$C$5),"N/A")</f>
        <v>1.3333333333333333</v>
      </c>
      <c r="AC14" s="104">
        <f>IFERROR(IF(AC13&lt;(24/Outputs!$C$5),1,AC13/24*Outputs!$C$5),"N/A")</f>
        <v>1</v>
      </c>
      <c r="AD14" s="104">
        <f>IFERROR(IF(AD13&lt;(24/Outputs!$C$5),1,AD13/24*Outputs!$C$5),"N/A")</f>
        <v>1</v>
      </c>
      <c r="AE14" s="104">
        <f>IFERROR(IF(AE13&lt;(24/Outputs!$C$5),1,AE13/24*Outputs!$C$5),"N/A")</f>
        <v>1</v>
      </c>
      <c r="AF14" s="104">
        <f>IFERROR(IF(AF13&lt;(24/Outputs!$C$5),1,AF13/24*Outputs!$C$5),"N/A")</f>
        <v>4</v>
      </c>
      <c r="AG14" s="104">
        <f>IFERROR(IF(AG13&lt;(24/Outputs!$C$5),1,AG13/24*Outputs!$C$5),"N/A")</f>
        <v>2</v>
      </c>
      <c r="AH14" s="104">
        <f>IFERROR(IF(AH13&lt;(24/Outputs!$C$5),1,AH13/24*Outputs!$C$5),"N/A")</f>
        <v>4</v>
      </c>
      <c r="AI14" s="104">
        <f>IFERROR(IF(AI13&lt;(24/Outputs!$C$5),1,AI13/24*Outputs!$C$5),"N/A")</f>
        <v>2</v>
      </c>
      <c r="AJ14" s="104">
        <f>IFERROR(IF(AJ13&lt;(24/Outputs!$C$5),1,AJ13/24*Outputs!$C$5),"N/A")</f>
        <v>1.3333333333333333</v>
      </c>
      <c r="AK14" s="104">
        <f>IFERROR(IF(AK13&lt;(24/Outputs!$C$5),1,AK13/24*Outputs!$C$5),"N/A")</f>
        <v>2</v>
      </c>
      <c r="AL14" s="104">
        <f>IFERROR(IF(AL13&lt;(24/Outputs!$C$5),1,AL13/24*Outputs!$C$5),"N/A")</f>
        <v>16</v>
      </c>
      <c r="AM14" s="104">
        <f>IFERROR(IF(AM13&lt;(24/Outputs!$C$5),1,AM13/24*Outputs!$C$5),"N/A")</f>
        <v>1</v>
      </c>
      <c r="AN14" s="104">
        <f>IFERROR(IF(AN13&lt;(24/Outputs!$C$5),1,AN13/24*Outputs!$C$5),"N/A")</f>
        <v>1</v>
      </c>
      <c r="AO14" s="104">
        <f>IFERROR(IF(AO13&lt;(24/Outputs!$C$5),1,AO13/24*Outputs!$C$5),"N/A")</f>
        <v>1</v>
      </c>
      <c r="AP14" s="104">
        <f>IFERROR(IF(AP13&lt;(24/Outputs!$C$5),1,AP13/24*Outputs!$C$5),"N/A")</f>
        <v>1</v>
      </c>
      <c r="AQ14" s="104">
        <f>IFERROR(IF(AQ13&lt;(24/Outputs!$C$5),1,AQ13/24*Outputs!$C$5),"N/A")</f>
        <v>1</v>
      </c>
      <c r="AR14" s="104">
        <f>IFERROR(IF(AR13&lt;(24/Outputs!$C$5),1,AR13/24*Outputs!$C$5),"N/A")</f>
        <v>1</v>
      </c>
      <c r="AS14" s="104">
        <f>IFERROR(IF(AS13&lt;(24/Outputs!$C$5),1,AS13/24*Outputs!$C$5),"N/A")</f>
        <v>1</v>
      </c>
      <c r="AT14" s="104">
        <f>IFERROR(IF(AT13&lt;(24/Outputs!$C$5),1,AT13/24*Outputs!$C$5),"N/A")</f>
        <v>1</v>
      </c>
      <c r="AU14" s="104">
        <f>IFERROR(IF(AU13&lt;(24/Outputs!$C$5),1,AU13/24*Outputs!$C$5),"N/A")</f>
        <v>1</v>
      </c>
      <c r="AV14" s="104">
        <f>IFERROR(IF(AV13&lt;(24/Outputs!$C$5),1,AV13/24*Outputs!$C$5),"N/A")</f>
        <v>1</v>
      </c>
      <c r="AW14" s="104">
        <f>IFERROR(IF(AW13&lt;(24/Outputs!$C$5),1,AW13/24*Outputs!$C$5),"N/A")</f>
        <v>1</v>
      </c>
      <c r="AX14" s="104">
        <f>IFERROR(IF(AX13&lt;(24/Outputs!$C$5),1,AX13/24*Outputs!$C$5),"N/A")</f>
        <v>1</v>
      </c>
      <c r="AY14" s="104">
        <f>IFERROR(IF(AY13&lt;(24/Outputs!$C$5),1,AY13/24*Outputs!$C$5),"N/A")</f>
        <v>1</v>
      </c>
      <c r="AZ14" s="104">
        <f>IFERROR(IF(AZ13&lt;(24/Outputs!$C$5),1,AZ13/24*Outputs!$C$5),"N/A")</f>
        <v>1</v>
      </c>
      <c r="BA14" s="104">
        <f>IFERROR(IF(BA13&lt;(24/Outputs!$C$5),1,BA13/24*Outputs!$C$5),"N/A")</f>
        <v>1</v>
      </c>
      <c r="BB14" s="104">
        <f>IFERROR(IF(BB13&lt;(24/Outputs!$C$5),1,BB13/24*Outputs!$C$5),"N/A")</f>
        <v>1</v>
      </c>
      <c r="BC14" s="104">
        <f>IFERROR(IF(BC13&lt;(24/Outputs!$C$5),1,BC13/24*Outputs!$C$5),"N/A")</f>
        <v>4</v>
      </c>
      <c r="BD14" s="121">
        <f>IFERROR(IF(BD13&lt;(24/Outputs!$C$5),1,BD13/24*Outputs!$C$5),"N/A")</f>
        <v>2</v>
      </c>
      <c r="BE14" s="121">
        <f>IFERROR(IF(BE13&lt;(24/Outputs!$C$5),1,BE13/24*Outputs!$C$5),"N/A")</f>
        <v>1</v>
      </c>
      <c r="BF14" s="16"/>
      <c r="BG14" s="16"/>
      <c r="BH14" s="16"/>
      <c r="BI14" s="16"/>
      <c r="BJ14" s="16"/>
      <c r="BK14" s="16"/>
    </row>
    <row r="15" spans="1:63" ht="15.75" customHeight="1">
      <c r="A15" s="16"/>
      <c r="B15" s="94" t="s">
        <v>281</v>
      </c>
      <c r="C15" s="71">
        <f>IFERROR(AVERAGE('Raw Data'!B13:B17),0)</f>
        <v>100000</v>
      </c>
      <c r="D15" s="68">
        <f>IFERROR(AVERAGE('Raw Data'!C13:C17),0)</f>
        <v>0</v>
      </c>
      <c r="E15" s="68">
        <f>IFERROR(AVERAGE('Raw Data'!D13:D17),0)</f>
        <v>7350</v>
      </c>
      <c r="F15" s="68">
        <f>IFERROR(AVERAGE('Raw Data'!E13:E17),0)</f>
        <v>5820</v>
      </c>
      <c r="G15" s="68">
        <f>IFERROR(AVERAGE('Raw Data'!F13:F17),0)</f>
        <v>30000</v>
      </c>
      <c r="H15" s="68">
        <f>IFERROR(AVERAGE('Raw Data'!G13:G17),0)</f>
        <v>420</v>
      </c>
      <c r="I15" s="68">
        <f>IFERROR(AVERAGE('Raw Data'!H13:H17),0)</f>
        <v>50000</v>
      </c>
      <c r="J15" s="68">
        <f>IFERROR(AVERAGE('Raw Data'!I13:I17),0)</f>
        <v>82000</v>
      </c>
      <c r="K15" s="68">
        <f>IFERROR(AVERAGE('Raw Data'!J13:J17),0)</f>
        <v>600000</v>
      </c>
      <c r="L15" s="68">
        <f>IFERROR(AVERAGE('Raw Data'!K13:K17),0)</f>
        <v>486000</v>
      </c>
      <c r="M15" s="68">
        <f>IFERROR(AVERAGE('Raw Data'!L13:L17),0)</f>
        <v>1000</v>
      </c>
      <c r="N15" s="68">
        <f>IFERROR(AVERAGE('Raw Data'!M13:M17),0)</f>
        <v>550000</v>
      </c>
      <c r="O15" s="68">
        <f>IFERROR(AVERAGE('Raw Data'!N13:N17),0)</f>
        <v>68000</v>
      </c>
      <c r="P15" s="68">
        <f>IFERROR(AVERAGE('Raw Data'!O13:O17),0)</f>
        <v>18940</v>
      </c>
      <c r="Q15" s="68">
        <f>IFERROR(AVERAGE('Raw Data'!P13:P17),0)</f>
        <v>1676000</v>
      </c>
      <c r="R15" s="68">
        <f>IFERROR(AVERAGE('Raw Data'!Q13:Q17),0)</f>
        <v>8000</v>
      </c>
      <c r="S15" s="68">
        <f>IFERROR(AVERAGE('Raw Data'!R13:R17),0)</f>
        <v>300000</v>
      </c>
      <c r="T15" s="68">
        <f>IFERROR(AVERAGE('Raw Data'!S13:S17),0)</f>
        <v>0</v>
      </c>
      <c r="U15" s="68">
        <f>IFERROR(AVERAGE('Raw Data'!T13:T17),0)</f>
        <v>193750</v>
      </c>
      <c r="V15" s="68">
        <f>IFERROR(AVERAGE('Raw Data'!U13:U17),0)</f>
        <v>2000</v>
      </c>
      <c r="W15" s="68">
        <f>IFERROR(AVERAGE('Raw Data'!V13:V17),0)</f>
        <v>982400</v>
      </c>
      <c r="X15" s="68">
        <f>IFERROR(AVERAGE('Raw Data'!W13:W17),0)</f>
        <v>500</v>
      </c>
      <c r="Y15" s="68">
        <f>IFERROR(AVERAGE('Raw Data'!X13:X17),0)</f>
        <v>1618750</v>
      </c>
      <c r="Z15" s="68">
        <f>IFERROR(AVERAGE('Raw Data'!Y13:Y17),0)</f>
        <v>7500</v>
      </c>
      <c r="AA15" s="68">
        <f>IFERROR(AVERAGE('Raw Data'!Z13:Z17),0)</f>
        <v>60</v>
      </c>
      <c r="AB15" s="68">
        <f>IFERROR(AVERAGE('Raw Data'!AA13:AA17),0)</f>
        <v>120000</v>
      </c>
      <c r="AC15" s="68">
        <f>IFERROR(AVERAGE('Raw Data'!AB13:AB17),0)</f>
        <v>200</v>
      </c>
      <c r="AD15" s="68">
        <f>IFERROR(AVERAGE('Raw Data'!AC13:AC17),0)</f>
        <v>4140</v>
      </c>
      <c r="AE15" s="68">
        <f>IFERROR(AVERAGE('Raw Data'!AD13:AD17),0)</f>
        <v>2000</v>
      </c>
      <c r="AF15" s="68">
        <f>IFERROR(AVERAGE('Raw Data'!AE13:AE17),0)</f>
        <v>1415000</v>
      </c>
      <c r="AG15" s="68">
        <f>IFERROR(AVERAGE('Raw Data'!AF13:AF17),0)</f>
        <v>500</v>
      </c>
      <c r="AH15" s="68">
        <f>IFERROR(AVERAGE('Raw Data'!AG13:AG17),0)</f>
        <v>100</v>
      </c>
      <c r="AI15" s="68">
        <f>IFERROR(AVERAGE('Raw Data'!AH13:AH17),0)</f>
        <v>150000</v>
      </c>
      <c r="AJ15" s="68">
        <f>IFERROR(AVERAGE('Raw Data'!AI13:AI17),0)</f>
        <v>38000</v>
      </c>
      <c r="AK15" s="68">
        <f>IFERROR(AVERAGE('Raw Data'!AJ13:AJ17),0)</f>
        <v>350000</v>
      </c>
      <c r="AL15" s="68">
        <f>IFERROR(AVERAGE('Raw Data'!AK13:AK17),0)</f>
        <v>50000</v>
      </c>
      <c r="AM15" s="68">
        <f>IFERROR(AVERAGE('Raw Data'!AL13:AL17),0)</f>
        <v>268000</v>
      </c>
      <c r="AN15" s="68">
        <f>IFERROR(AVERAGE('Raw Data'!AM13:AM17),0)</f>
        <v>16</v>
      </c>
      <c r="AO15" s="68">
        <f>IFERROR(AVERAGE('Raw Data'!AN13:AN17),0)</f>
        <v>20.995999999999999</v>
      </c>
      <c r="AP15" s="68">
        <f>IFERROR(AVERAGE('Raw Data'!AO13:AO17),0)</f>
        <v>0</v>
      </c>
      <c r="AQ15" s="68">
        <f>IFERROR(AVERAGE('Raw Data'!AP13:AP17),0)</f>
        <v>1.37225</v>
      </c>
      <c r="AR15" s="68">
        <f>IFERROR(AVERAGE('Raw Data'!AQ13:AQ17),0)</f>
        <v>7</v>
      </c>
      <c r="AS15" s="68">
        <f>IFERROR(AVERAGE('Raw Data'!AR13:AR17),0)</f>
        <v>0</v>
      </c>
      <c r="AT15" s="68">
        <f>IFERROR(AVERAGE('Raw Data'!AS13:AS17),0)</f>
        <v>22.990000000000002</v>
      </c>
      <c r="AU15" s="68">
        <f>IFERROR(AVERAGE('Raw Data'!AT13:AT17),0)</f>
        <v>50000</v>
      </c>
      <c r="AV15" s="68">
        <f>IFERROR(AVERAGE('Raw Data'!AU6:AU10),0)</f>
        <v>366045</v>
      </c>
      <c r="AW15" s="68">
        <f>IFERROR(AVERAGE('Raw Data'!AV13:AV17),0)</f>
        <v>7440</v>
      </c>
      <c r="AX15" s="68">
        <f>IFERROR(AVERAGE('Raw Data'!AW13:AW17),0)</f>
        <v>4090000</v>
      </c>
      <c r="AY15" s="68">
        <f>IFERROR(AVERAGE('Raw Data'!AX13:AX17),0)</f>
        <v>22400</v>
      </c>
      <c r="AZ15" s="68">
        <f>IFERROR(AVERAGE('Raw Data'!AY13:AY17),0)</f>
        <v>0</v>
      </c>
      <c r="BA15" s="68">
        <f>IFERROR(AVERAGE('Raw Data'!AZ13:AZ17),0)</f>
        <v>0</v>
      </c>
      <c r="BB15" s="68">
        <f>IFERROR(AVERAGE('Raw Data'!BA13:BA17),0)</f>
        <v>330000</v>
      </c>
      <c r="BC15" s="68">
        <f>IFERROR(AVERAGE('Raw Data'!BB13:BB17),0)</f>
        <v>35000</v>
      </c>
      <c r="BD15" s="83">
        <f>IFERROR(AVERAGE('Raw Data'!BC13:BC17),0)</f>
        <v>25000</v>
      </c>
      <c r="BE15" s="83">
        <f>IFERROR(AVERAGE('Raw Data'!BD13:BD17),0)</f>
        <v>0</v>
      </c>
      <c r="BF15" s="16"/>
      <c r="BG15" s="16"/>
      <c r="BH15" s="16"/>
      <c r="BI15" s="16"/>
      <c r="BJ15" s="16"/>
      <c r="BK15" s="16"/>
    </row>
    <row r="16" spans="1:63" ht="15.75" customHeight="1">
      <c r="A16" s="16"/>
      <c r="B16" s="94"/>
      <c r="C16" s="95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9"/>
      <c r="BE16" s="99"/>
      <c r="BF16" s="16"/>
      <c r="BG16" s="16"/>
      <c r="BH16" s="16"/>
      <c r="BI16" s="16"/>
      <c r="BJ16" s="16"/>
      <c r="BK16" s="16"/>
    </row>
    <row r="17" spans="1:63" ht="15.75" customHeight="1">
      <c r="A17" s="128"/>
      <c r="B17" s="101" t="s">
        <v>350</v>
      </c>
      <c r="C17" s="129">
        <v>4</v>
      </c>
      <c r="D17" s="80">
        <v>0</v>
      </c>
      <c r="E17" s="80">
        <v>6</v>
      </c>
      <c r="F17" s="80">
        <v>0</v>
      </c>
      <c r="G17" s="80">
        <v>0</v>
      </c>
      <c r="H17" s="119">
        <v>8</v>
      </c>
      <c r="I17" s="80">
        <v>0</v>
      </c>
      <c r="J17" s="80">
        <v>2</v>
      </c>
      <c r="K17" s="80">
        <v>24</v>
      </c>
      <c r="L17" s="80">
        <v>0</v>
      </c>
      <c r="M17" s="80">
        <v>1.6</v>
      </c>
      <c r="N17" s="80">
        <v>12</v>
      </c>
      <c r="O17" s="119">
        <v>0</v>
      </c>
      <c r="P17" s="80">
        <v>1.6</v>
      </c>
      <c r="Q17" s="80">
        <v>0</v>
      </c>
      <c r="R17" s="80">
        <f>24/4</f>
        <v>6</v>
      </c>
      <c r="S17" s="80">
        <v>2</v>
      </c>
      <c r="T17" s="80">
        <v>0</v>
      </c>
      <c r="U17" s="80">
        <v>6</v>
      </c>
      <c r="V17" s="80">
        <f>24/4</f>
        <v>6</v>
      </c>
      <c r="W17" s="80">
        <v>0</v>
      </c>
      <c r="X17" s="80">
        <v>0</v>
      </c>
      <c r="Y17" s="80">
        <f>24/2</f>
        <v>12</v>
      </c>
      <c r="Z17" s="80">
        <v>0</v>
      </c>
      <c r="AA17" s="80">
        <v>0</v>
      </c>
      <c r="AB17" s="80">
        <v>0</v>
      </c>
      <c r="AC17" s="119">
        <v>0</v>
      </c>
      <c r="AD17" s="80">
        <v>0</v>
      </c>
      <c r="AE17" s="104">
        <f>24/(2*5)</f>
        <v>2.4</v>
      </c>
      <c r="AF17" s="80">
        <v>0</v>
      </c>
      <c r="AG17" s="80">
        <v>0</v>
      </c>
      <c r="AH17" s="80">
        <v>0</v>
      </c>
      <c r="AI17" s="80">
        <v>0</v>
      </c>
      <c r="AJ17" s="80">
        <f>(24*60)/15</f>
        <v>96</v>
      </c>
      <c r="AK17" s="80">
        <v>0</v>
      </c>
      <c r="AL17" s="80">
        <v>0</v>
      </c>
      <c r="AM17" s="80">
        <v>24</v>
      </c>
      <c r="AN17" s="80">
        <v>0</v>
      </c>
      <c r="AO17" s="119">
        <v>0</v>
      </c>
      <c r="AP17" s="80">
        <v>0</v>
      </c>
      <c r="AQ17" s="80">
        <v>0</v>
      </c>
      <c r="AR17" s="80">
        <v>24</v>
      </c>
      <c r="AS17" s="80">
        <v>0</v>
      </c>
      <c r="AT17" s="80">
        <v>0</v>
      </c>
      <c r="AU17" s="80">
        <v>0</v>
      </c>
      <c r="AV17" s="80">
        <v>0</v>
      </c>
      <c r="AW17" s="80">
        <f>24/4</f>
        <v>6</v>
      </c>
      <c r="AX17" s="80">
        <v>24</v>
      </c>
      <c r="AY17" s="80">
        <v>24</v>
      </c>
      <c r="AZ17" s="80">
        <v>0</v>
      </c>
      <c r="BA17" s="80">
        <v>0</v>
      </c>
      <c r="BB17" s="80">
        <v>0</v>
      </c>
      <c r="BC17" s="80">
        <v>0</v>
      </c>
      <c r="BD17" s="108">
        <v>0</v>
      </c>
      <c r="BE17" s="108">
        <v>0</v>
      </c>
      <c r="BF17" s="128"/>
      <c r="BG17" s="128"/>
      <c r="BH17" s="128"/>
      <c r="BI17" s="128"/>
      <c r="BJ17" s="128"/>
      <c r="BK17" s="128"/>
    </row>
    <row r="18" spans="1:63" ht="15.75" customHeight="1">
      <c r="A18" s="16"/>
      <c r="B18" s="94" t="s">
        <v>174</v>
      </c>
      <c r="C18" s="136">
        <f>IFERROR(IF(C17&lt;(24/Outputs!$C$5),1,C17/24*Outputs!$C$5),"N/A")</f>
        <v>1</v>
      </c>
      <c r="D18" s="104">
        <f>IFERROR(IF(D17&lt;(24/Outputs!$C$5),1,D17/24*Outputs!$C$5),"N/A")</f>
        <v>1</v>
      </c>
      <c r="E18" s="104">
        <f>IFERROR(IF(E17&lt;(24/Outputs!$C$5),1,E17/24*Outputs!$C$5),"N/A")</f>
        <v>1</v>
      </c>
      <c r="F18" s="104">
        <f>IFERROR(IF(F17&lt;(24/Outputs!$C$5),1,F17/24*Outputs!$C$5),"N/A")</f>
        <v>1</v>
      </c>
      <c r="G18" s="104">
        <f>IFERROR(IF(G17&lt;(24/Outputs!$C$5),1,G17/24*Outputs!$C$5),"N/A")</f>
        <v>1</v>
      </c>
      <c r="H18" s="104">
        <f>IFERROR(IF(H17&lt;(24/Outputs!$C$5),1,H17/24*Outputs!$C$5),"N/A")</f>
        <v>1.3333333333333333</v>
      </c>
      <c r="I18" s="104">
        <f>IFERROR(IF(I17&lt;(24/Outputs!$C$5),1,I17/24*Outputs!$C$5),"N/A")</f>
        <v>1</v>
      </c>
      <c r="J18" s="104">
        <f>IFERROR(IF(J17&lt;(24/Outputs!$C$5),1,J17/24*Outputs!$C$5),"N/A")</f>
        <v>1</v>
      </c>
      <c r="K18" s="104">
        <f>IFERROR(IF(K17&lt;(24/Outputs!$C$5),1,K17/24*Outputs!$C$5),"N/A")</f>
        <v>4</v>
      </c>
      <c r="L18" s="104">
        <f>IFERROR(IF(L17&lt;(24/Outputs!$C$5),1,L17/24*Outputs!$C$5),"N/A")</f>
        <v>1</v>
      </c>
      <c r="M18" s="104">
        <f>IFERROR(IF(M17&lt;(24/Outputs!$C$5),1,M17/24*Outputs!$C$5),"N/A")</f>
        <v>1</v>
      </c>
      <c r="N18" s="104">
        <f>IFERROR(IF(N17&lt;(24/Outputs!$C$5),1,N17/24*Outputs!$C$5),"N/A")</f>
        <v>2</v>
      </c>
      <c r="O18" s="104">
        <f>IFERROR(IF(O17&lt;(24/Outputs!$C$5),1,O17/24*Outputs!$C$5),"N/A")</f>
        <v>1</v>
      </c>
      <c r="P18" s="104">
        <f>IFERROR(IF(P17&lt;(24/Outputs!$C$5),1,P17/24*Outputs!$C$5),"N/A")</f>
        <v>1</v>
      </c>
      <c r="Q18" s="104">
        <f>IFERROR(IF(Q17&lt;(24/Outputs!$C$5),1,Q17/24*Outputs!$C$5),"N/A")</f>
        <v>1</v>
      </c>
      <c r="R18" s="104">
        <f>IFERROR(IF(R17&lt;(24/Outputs!$C$5),1,R17/24*Outputs!$C$5),"N/A")</f>
        <v>1</v>
      </c>
      <c r="S18" s="104">
        <f>IFERROR(IF(S17&lt;(24/Outputs!$C$5),1,S17/24*Outputs!$C$5),"N/A")</f>
        <v>1</v>
      </c>
      <c r="T18" s="104">
        <f>IFERROR(IF(T17&lt;(24/Outputs!$C$5),1,T17/24*Outputs!$C$5),"N/A")</f>
        <v>1</v>
      </c>
      <c r="U18" s="104">
        <f>IFERROR(IF(U17&lt;(24/Outputs!$C$5),1,U17/24*Outputs!$C$5),"N/A")</f>
        <v>1</v>
      </c>
      <c r="V18" s="104">
        <f>IFERROR(IF(V17&lt;(24/Outputs!$C$5),1,V17/24*Outputs!$C$5),"N/A")</f>
        <v>1</v>
      </c>
      <c r="W18" s="104">
        <f>IFERROR(IF(W17&lt;(24/Outputs!$C$5),1,W17/24*Outputs!$C$5),"N/A")</f>
        <v>1</v>
      </c>
      <c r="X18" s="104">
        <f>IFERROR(IF(X17&lt;(24/Outputs!$C$5),1,X17/24*Outputs!$C$5),"N/A")</f>
        <v>1</v>
      </c>
      <c r="Y18" s="104">
        <f>IFERROR(IF(Y17&lt;(24/Outputs!$C$5),1,Y17/24*Outputs!$C$5),"N/A")</f>
        <v>2</v>
      </c>
      <c r="Z18" s="104">
        <f>IFERROR(IF(Z17&lt;(24/Outputs!$C$5),1,Z17/24*Outputs!$C$5),"N/A")</f>
        <v>1</v>
      </c>
      <c r="AA18" s="104">
        <f>IFERROR(IF(AA17&lt;(24/Outputs!$C$5),1,AA17/24*Outputs!$C$5),"N/A")</f>
        <v>1</v>
      </c>
      <c r="AB18" s="104">
        <f>IFERROR(IF(AB17&lt;(24/Outputs!$C$5),1,AB17/24*Outputs!$C$5),"N/A")</f>
        <v>1</v>
      </c>
      <c r="AC18" s="104">
        <f>IFERROR(IF(AC17&lt;(24/Outputs!$C$5),1,AC17/24*Outputs!$C$5),"N/A")</f>
        <v>1</v>
      </c>
      <c r="AD18" s="104">
        <f>IFERROR(IF(AD17&lt;(24/Outputs!$C$5),1,AD17/24*Outputs!$C$5),"N/A")</f>
        <v>1</v>
      </c>
      <c r="AE18" s="104">
        <f>IFERROR(IF(AE17&lt;(24/Outputs!$C$5),1,AE17/24*Outputs!$C$5),"N/A")</f>
        <v>1</v>
      </c>
      <c r="AF18" s="104">
        <f>IFERROR(IF(AF17&lt;(24/Outputs!$C$5),1,AF17/24*Outputs!$C$5),"N/A")</f>
        <v>1</v>
      </c>
      <c r="AG18" s="104">
        <f>IFERROR(IF(AG17&lt;(24/Outputs!$C$5),1,AG17/24*Outputs!$C$5),"N/A")</f>
        <v>1</v>
      </c>
      <c r="AH18" s="104">
        <f>IFERROR(IF(AH17&lt;(24/Outputs!$C$5),1,AH17/24*Outputs!$C$5),"N/A")</f>
        <v>1</v>
      </c>
      <c r="AI18" s="104">
        <f>IFERROR(IF(AI17&lt;(24/Outputs!$C$5),1,AI17/24*Outputs!$C$5),"N/A")</f>
        <v>1</v>
      </c>
      <c r="AJ18" s="104">
        <f>IFERROR(IF(AJ17&lt;(24/Outputs!$C$5),1,AJ17/24*Outputs!$C$5),"N/A")</f>
        <v>16</v>
      </c>
      <c r="AK18" s="104">
        <f>IFERROR(IF(AK17&lt;(24/Outputs!$C$5),1,AK17/24*Outputs!$C$5),"N/A")</f>
        <v>1</v>
      </c>
      <c r="AL18" s="104">
        <f>IFERROR(IF(AL17&lt;(24/Outputs!$C$5),1,AL17/24*Outputs!$C$5),"N/A")</f>
        <v>1</v>
      </c>
      <c r="AM18" s="104">
        <f>IFERROR(IF(AM17&lt;(24/Outputs!$C$5),1,AM17/24*Outputs!$C$5),"N/A")</f>
        <v>4</v>
      </c>
      <c r="AN18" s="104">
        <f>IFERROR(IF(AN17&lt;(24/Outputs!$C$5),1,AN17/24*Outputs!$C$5),"N/A")</f>
        <v>1</v>
      </c>
      <c r="AO18" s="104">
        <f>IFERROR(IF(AO17&lt;(24/Outputs!$C$5),1,AO17/24*Outputs!$C$5),"N/A")</f>
        <v>1</v>
      </c>
      <c r="AP18" s="104">
        <f>IFERROR(IF(AP17&lt;(24/Outputs!$C$5),1,AP17/24*Outputs!$C$5),"N/A")</f>
        <v>1</v>
      </c>
      <c r="AQ18" s="104">
        <f>IFERROR(IF(AQ17&lt;(24/Outputs!$C$5),1,AQ17/24*Outputs!$C$5),"N/A")</f>
        <v>1</v>
      </c>
      <c r="AR18" s="104">
        <f>IFERROR(IF(AR17&lt;(24/Outputs!$C$5),1,AR17/24*Outputs!$C$5),"N/A")</f>
        <v>4</v>
      </c>
      <c r="AS18" s="104">
        <f>IFERROR(IF(AS17&lt;(24/Outputs!$C$5),1,AS17/24*Outputs!$C$5),"N/A")</f>
        <v>1</v>
      </c>
      <c r="AT18" s="104">
        <f>IFERROR(IF(AT17&lt;(24/Outputs!$C$5),1,AT17/24*Outputs!$C$5),"N/A")</f>
        <v>1</v>
      </c>
      <c r="AU18" s="104">
        <f>IFERROR(IF(AU17&lt;(24/Outputs!$C$5),1,AU17/24*Outputs!$C$5),"N/A")</f>
        <v>1</v>
      </c>
      <c r="AV18" s="104">
        <f>IFERROR(IF(AV17&lt;(24/Outputs!$C$5),1,AV17/24*Outputs!$C$5),"N/A")</f>
        <v>1</v>
      </c>
      <c r="AW18" s="104">
        <f>IFERROR(IF(AW17&lt;(24/Outputs!$C$5),1,AW17/24*Outputs!$C$5),"N/A")</f>
        <v>1</v>
      </c>
      <c r="AX18" s="104">
        <f>IFERROR(IF(AX17&lt;(24/Outputs!$C$5),1,AX17/24*Outputs!$C$5),"N/A")</f>
        <v>4</v>
      </c>
      <c r="AY18" s="104">
        <f>IFERROR(IF(AY17&lt;(24/Outputs!$C$5),1,AY17/24*Outputs!$C$5),"N/A")</f>
        <v>4</v>
      </c>
      <c r="AZ18" s="104">
        <f>IFERROR(IF(AZ17&lt;(24/Outputs!$C$5),1,AZ17/24*Outputs!$C$5),"N/A")</f>
        <v>1</v>
      </c>
      <c r="BA18" s="104">
        <f>IFERROR(IF(BA17&lt;(24/Outputs!$C$5),1,BA17/24*Outputs!$C$5),"N/A")</f>
        <v>1</v>
      </c>
      <c r="BB18" s="104">
        <f>IFERROR(IF(BB17&lt;(24/Outputs!$C$5),1,BB17/24*Outputs!$C$5),"N/A")</f>
        <v>1</v>
      </c>
      <c r="BC18" s="104">
        <f>IFERROR(IF(BC17&lt;(24/Outputs!$C$5),1,BC17/24*Outputs!$C$5),"N/A")</f>
        <v>1</v>
      </c>
      <c r="BD18" s="121">
        <f>IFERROR(IF(BD17&lt;(24/Outputs!$C$5),1,BD17/24*Outputs!$C$5),"N/A")</f>
        <v>1</v>
      </c>
      <c r="BE18" s="121">
        <f>IFERROR(IF(BE17&lt;(24/Outputs!$C$5),1,BE17/24*Outputs!$C$5),"N/A")</f>
        <v>1</v>
      </c>
      <c r="BF18" s="171"/>
      <c r="BG18" s="171"/>
      <c r="BH18" s="171"/>
      <c r="BI18" s="171"/>
      <c r="BJ18" s="171"/>
      <c r="BK18" s="171"/>
    </row>
    <row r="19" spans="1:63" ht="15.75" customHeight="1">
      <c r="A19" s="16"/>
      <c r="B19" s="94" t="s">
        <v>351</v>
      </c>
      <c r="C19" s="71">
        <f>IFERROR(AVERAGE('Raw Data'!B20:B24),0)</f>
        <v>270000</v>
      </c>
      <c r="D19" s="68">
        <f>IFERROR(AVERAGE('Raw Data'!C20:C24),0)</f>
        <v>0</v>
      </c>
      <c r="E19" s="68">
        <f>IFERROR(AVERAGE('Raw Data'!D20:D24),0)</f>
        <v>2500</v>
      </c>
      <c r="F19" s="68">
        <f>IFERROR(AVERAGE('Raw Data'!E20:E24),0)</f>
        <v>0</v>
      </c>
      <c r="G19" s="68">
        <f>IFERROR(AVERAGE('Raw Data'!F20:F24),0)</f>
        <v>0</v>
      </c>
      <c r="H19" s="68">
        <f>IFERROR(AVERAGE('Raw Data'!G20:G24),0)</f>
        <v>140</v>
      </c>
      <c r="I19" s="68">
        <f>IFERROR(AVERAGE('Raw Data'!H20:H24),0)</f>
        <v>0</v>
      </c>
      <c r="J19" s="68">
        <f>IFERROR(AVERAGE('Raw Data'!I20:I24),0)</f>
        <v>484000</v>
      </c>
      <c r="K19" s="68">
        <f>IFERROR(AVERAGE('Raw Data'!J20:J24),0)</f>
        <v>1200000</v>
      </c>
      <c r="L19" s="68">
        <f>IFERROR(AVERAGE('Raw Data'!K20:K24),0)</f>
        <v>0</v>
      </c>
      <c r="M19" s="68">
        <f>IFERROR(AVERAGE('Raw Data'!L20:L24),0)</f>
        <v>638</v>
      </c>
      <c r="N19" s="68">
        <f>IFERROR(AVERAGE('Raw Data'!M20:M24),0)</f>
        <v>250000</v>
      </c>
      <c r="O19" s="68">
        <f>IFERROR(AVERAGE('Raw Data'!N20:N24),0)</f>
        <v>0</v>
      </c>
      <c r="P19" s="68">
        <f>IFERROR(AVERAGE('Raw Data'!O20:O24),0)</f>
        <v>6290</v>
      </c>
      <c r="Q19" s="68">
        <f>IFERROR(AVERAGE('Raw Data'!P20:P24),0)</f>
        <v>2500000</v>
      </c>
      <c r="R19" s="68">
        <f>IFERROR(AVERAGE('Raw Data'!Q20:Q24),0)</f>
        <v>24857</v>
      </c>
      <c r="S19" s="68">
        <f>IFERROR(AVERAGE('Raw Data'!R20:R24),0)</f>
        <v>712857</v>
      </c>
      <c r="T19" s="68">
        <f>IFERROR(AVERAGE('Raw Data'!S20:S24),0)</f>
        <v>0</v>
      </c>
      <c r="U19" s="68">
        <f>IFERROR(AVERAGE('Raw Data'!T20:T24),0)</f>
        <v>87750</v>
      </c>
      <c r="V19" s="68">
        <f>IFERROR(AVERAGE('Raw Data'!U20:U24),0)</f>
        <v>33000</v>
      </c>
      <c r="W19" s="68">
        <f>IFERROR(AVERAGE('Raw Data'!V20:V24),0)</f>
        <v>0</v>
      </c>
      <c r="X19" s="68">
        <f>IFERROR(AVERAGE('Raw Data'!W20:W24),0)</f>
        <v>0</v>
      </c>
      <c r="Y19" s="68">
        <f>IFERROR(AVERAGE('Raw Data'!X20:X24),0)</f>
        <v>400000</v>
      </c>
      <c r="Z19" s="68">
        <f>IFERROR(AVERAGE('Raw Data'!Y20:Y24),0)</f>
        <v>0</v>
      </c>
      <c r="AA19" s="68">
        <f>IFERROR(AVERAGE('Raw Data'!Z20:Z24),0)</f>
        <v>0</v>
      </c>
      <c r="AB19" s="68">
        <f>IFERROR(AVERAGE('Raw Data'!AA20:AA24),0)</f>
        <v>0</v>
      </c>
      <c r="AC19" s="68">
        <f>IFERROR(AVERAGE('Raw Data'!AB20:AB24),0)</f>
        <v>0</v>
      </c>
      <c r="AD19" s="68">
        <f>IFERROR(AVERAGE('Raw Data'!AC20:AC24),0)</f>
        <v>0</v>
      </c>
      <c r="AE19" s="68">
        <f>IFERROR(AVERAGE('Raw Data'!AD20:AD24),0)</f>
        <v>3480</v>
      </c>
      <c r="AF19" s="68">
        <f>IFERROR(AVERAGE('Raw Data'!AE20:AE24),0)</f>
        <v>0</v>
      </c>
      <c r="AG19" s="68">
        <f>IFERROR(AVERAGE('Raw Data'!AF20:AF24),0)</f>
        <v>0</v>
      </c>
      <c r="AH19" s="68">
        <f>IFERROR(AVERAGE('Raw Data'!AG20:AG24),0)</f>
        <v>0</v>
      </c>
      <c r="AI19" s="68">
        <f>IFERROR(AVERAGE('Raw Data'!AH20:AH24),0)</f>
        <v>0</v>
      </c>
      <c r="AJ19" s="68">
        <f>IFERROR(AVERAGE('Raw Data'!AI20:AI24),0)</f>
        <v>38400</v>
      </c>
      <c r="AK19" s="68">
        <f>IFERROR(AVERAGE('Raw Data'!AJ20:AJ24),0)</f>
        <v>0</v>
      </c>
      <c r="AL19" s="68">
        <f>IFERROR(AVERAGE('Raw Data'!AK20:AK24),0)</f>
        <v>0</v>
      </c>
      <c r="AM19" s="68">
        <f>IFERROR(AVERAGE('Raw Data'!AL20:AL24),0)</f>
        <v>20000</v>
      </c>
      <c r="AN19" s="68">
        <f>IFERROR(AVERAGE('Raw Data'!AM20:AM24),0)</f>
        <v>0</v>
      </c>
      <c r="AO19" s="68">
        <f>IFERROR(AVERAGE('Raw Data'!AN20:AN24),0)</f>
        <v>0</v>
      </c>
      <c r="AP19" s="68">
        <f>IFERROR(AVERAGE('Raw Data'!AO20:AO24),0)</f>
        <v>0</v>
      </c>
      <c r="AQ19" s="68">
        <f>IFERROR(AVERAGE('Raw Data'!AP20:AP24),0)</f>
        <v>0</v>
      </c>
      <c r="AR19" s="68">
        <f>IFERROR(AVERAGE('Raw Data'!AQ20:AQ24),0)</f>
        <v>4</v>
      </c>
      <c r="AS19" s="68">
        <f>IFERROR(AVERAGE('Raw Data'!AR20:AR24),0)</f>
        <v>0</v>
      </c>
      <c r="AT19" s="68">
        <f>IFERROR(AVERAGE('Raw Data'!AS20:AS24),0)</f>
        <v>0</v>
      </c>
      <c r="AU19" s="68">
        <f>IFERROR(AVERAGE('Raw Data'!AT20:AT24),0)</f>
        <v>0</v>
      </c>
      <c r="AV19" s="68">
        <f>IFERROR(AVERAGE('Raw Data'!AU20:AU24),0)</f>
        <v>0</v>
      </c>
      <c r="AW19" s="68">
        <f>IFERROR(AVERAGE('Raw Data'!AV20:AV24),0)</f>
        <v>4100</v>
      </c>
      <c r="AX19" s="68">
        <f>IFERROR(AVERAGE('Raw Data'!AW20:AW24),0)</f>
        <v>92200</v>
      </c>
      <c r="AY19" s="68">
        <f>IFERROR(AVERAGE('Raw Data'!AX20:AX24),0)</f>
        <v>5000</v>
      </c>
      <c r="AZ19" s="68">
        <f>IFERROR(AVERAGE('Raw Data'!AY20:AY24),0)</f>
        <v>0</v>
      </c>
      <c r="BA19" s="68">
        <f>IFERROR(AVERAGE('Raw Data'!AZ20:AZ24),0)</f>
        <v>0</v>
      </c>
      <c r="BB19" s="68">
        <f>IFERROR(AVERAGE('Raw Data'!BA20:BA24),0)</f>
        <v>0</v>
      </c>
      <c r="BC19" s="68">
        <f>IFERROR(AVERAGE('Raw Data'!BB20:BB24),0)</f>
        <v>0</v>
      </c>
      <c r="BD19" s="83">
        <f>IFERROR(AVERAGE('Raw Data'!BC20:BC24),0)</f>
        <v>0</v>
      </c>
      <c r="BE19" s="83">
        <f>IFERROR(AVERAGE('Raw Data'!BD20:BD24),0)</f>
        <v>0</v>
      </c>
      <c r="BF19" s="16"/>
      <c r="BG19" s="16"/>
      <c r="BH19" s="16"/>
      <c r="BI19" s="16"/>
      <c r="BJ19" s="16"/>
      <c r="BK19" s="16"/>
    </row>
    <row r="20" spans="1:63" ht="15.75" customHeight="1">
      <c r="A20" s="16"/>
      <c r="B20" s="94"/>
      <c r="C20" s="95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9"/>
      <c r="BE20" s="99"/>
      <c r="BF20" s="16"/>
      <c r="BG20" s="16"/>
      <c r="BH20" s="16"/>
      <c r="BI20" s="16"/>
      <c r="BJ20" s="16"/>
      <c r="BK20" s="16"/>
    </row>
    <row r="21" spans="1:63" ht="15.75" customHeight="1">
      <c r="A21" s="128"/>
      <c r="B21" s="101" t="s">
        <v>353</v>
      </c>
      <c r="C21" s="129">
        <v>96</v>
      </c>
      <c r="D21" s="80">
        <v>0</v>
      </c>
      <c r="E21" s="80">
        <v>48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6</v>
      </c>
      <c r="N21" s="80">
        <v>0</v>
      </c>
      <c r="O21" s="80">
        <v>0</v>
      </c>
      <c r="P21" s="80">
        <v>8</v>
      </c>
      <c r="Q21" s="80">
        <v>0</v>
      </c>
      <c r="R21" s="80">
        <v>0</v>
      </c>
      <c r="S21" s="80">
        <v>12</v>
      </c>
      <c r="T21" s="80">
        <v>0</v>
      </c>
      <c r="U21" s="80">
        <v>48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12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108">
        <v>0</v>
      </c>
      <c r="BE21" s="108">
        <v>0</v>
      </c>
      <c r="BF21" s="128"/>
      <c r="BG21" s="128"/>
      <c r="BH21" s="128"/>
      <c r="BI21" s="128"/>
      <c r="BJ21" s="128"/>
      <c r="BK21" s="128"/>
    </row>
    <row r="22" spans="1:63" ht="15.75" customHeight="1">
      <c r="A22" s="16"/>
      <c r="B22" s="94" t="s">
        <v>174</v>
      </c>
      <c r="C22" s="136">
        <f>IFERROR(IF(C21&lt;(24/Outputs!$C$5),1,C21/24*Outputs!$C$5),"N/A")</f>
        <v>16</v>
      </c>
      <c r="D22" s="104">
        <f>IFERROR(IF(D21&lt;(24/Outputs!$C$5),1,D21/24*Outputs!$C$5),"N/A")</f>
        <v>1</v>
      </c>
      <c r="E22" s="104">
        <f>IFERROR(IF(E21&lt;(24/Outputs!$C$5),1,E21/24*Outputs!$C$5),"N/A")</f>
        <v>8</v>
      </c>
      <c r="F22" s="104">
        <f>IFERROR(IF(F21&lt;(24/Outputs!$C$5),1,F21/24*Outputs!$C$5),"N/A")</f>
        <v>1</v>
      </c>
      <c r="G22" s="104">
        <f>IFERROR(IF(G21&lt;(24/Outputs!$C$5),1,G21/24*Outputs!$C$5),"N/A")</f>
        <v>1</v>
      </c>
      <c r="H22" s="104">
        <f>IFERROR(IF(H21&lt;(24/Outputs!$C$5),1,H21/24*Outputs!$C$5),"N/A")</f>
        <v>1</v>
      </c>
      <c r="I22" s="104">
        <f>IFERROR(IF(I21&lt;(24/Outputs!$C$5),1,I21/24*Outputs!$C$5),"N/A")</f>
        <v>1</v>
      </c>
      <c r="J22" s="104">
        <f>IFERROR(IF(J21&lt;(24/Outputs!$C$5),1,J21/24*Outputs!$C$5),"N/A")</f>
        <v>1</v>
      </c>
      <c r="K22" s="104">
        <f>IFERROR(IF(K21&lt;(24/Outputs!$C$5),1,K21/24*Outputs!$C$5),"N/A")</f>
        <v>1</v>
      </c>
      <c r="L22" s="104">
        <f>IFERROR(IF(L21&lt;(24/Outputs!$C$5),1,L21/24*Outputs!$C$5),"N/A")</f>
        <v>1</v>
      </c>
      <c r="M22" s="104">
        <f>IFERROR(IF(M21&lt;(24/Outputs!$C$5),1,M21/24*Outputs!$C$5),"N/A")</f>
        <v>1</v>
      </c>
      <c r="N22" s="104">
        <f>IFERROR(IF(N21&lt;(24/Outputs!$C$5),1,N21/24*Outputs!$C$5),"N/A")</f>
        <v>1</v>
      </c>
      <c r="O22" s="104">
        <f>IFERROR(IF(O21&lt;(24/Outputs!$C$5),1,O21/24*Outputs!$C$5),"N/A")</f>
        <v>1</v>
      </c>
      <c r="P22" s="104">
        <f>IFERROR(IF(P21&lt;(24/Outputs!$C$5),1,P21/24*Outputs!$C$5),"N/A")</f>
        <v>1.3333333333333333</v>
      </c>
      <c r="Q22" s="104">
        <f>IFERROR(IF(Q21&lt;(24/Outputs!$C$5),1,Q21/24*Outputs!$C$5),"N/A")</f>
        <v>1</v>
      </c>
      <c r="R22" s="104">
        <f>IFERROR(IF(R21&lt;(24/Outputs!$C$5),1,R21/24*Outputs!$C$5),"N/A")</f>
        <v>1</v>
      </c>
      <c r="S22" s="104">
        <f>IFERROR(IF(S21&lt;(24/Outputs!$C$5),1,S21/24*Outputs!$C$5),"N/A")</f>
        <v>2</v>
      </c>
      <c r="T22" s="104">
        <f>IFERROR(IF(T21&lt;(24/Outputs!$C$5),1,T21/24*Outputs!$C$5),"N/A")</f>
        <v>1</v>
      </c>
      <c r="U22" s="104">
        <f>IFERROR(IF(U21&lt;(24/Outputs!$C$5),1,U21/24*Outputs!$C$5),"N/A")</f>
        <v>8</v>
      </c>
      <c r="V22" s="104">
        <f>IFERROR(IF(V21&lt;(24/Outputs!$C$5),1,V21/24*Outputs!$C$5),"N/A")</f>
        <v>1</v>
      </c>
      <c r="W22" s="104">
        <f>IFERROR(IF(W21&lt;(24/Outputs!$C$5),1,W21/24*Outputs!$C$5),"N/A")</f>
        <v>1</v>
      </c>
      <c r="X22" s="104">
        <f>IFERROR(IF(X21&lt;(24/Outputs!$C$5),1,X21/24*Outputs!$C$5),"N/A")</f>
        <v>1</v>
      </c>
      <c r="Y22" s="104">
        <f>IFERROR(IF(Y21&lt;(24/Outputs!$C$5),1,Y21/24*Outputs!$C$5),"N/A")</f>
        <v>1</v>
      </c>
      <c r="Z22" s="104">
        <f>IFERROR(IF(Z21&lt;(24/Outputs!$C$5),1,Z21/24*Outputs!$C$5),"N/A")</f>
        <v>1</v>
      </c>
      <c r="AA22" s="104">
        <f>IFERROR(IF(AA21&lt;(24/Outputs!$C$5),1,AA21/24*Outputs!$C$5),"N/A")</f>
        <v>1</v>
      </c>
      <c r="AB22" s="104">
        <f>IFERROR(IF(AB21&lt;(24/Outputs!$C$5),1,AB21/24*Outputs!$C$5),"N/A")</f>
        <v>1</v>
      </c>
      <c r="AC22" s="104">
        <f>IFERROR(IF(AC21&lt;(24/Outputs!$C$5),1,AC21/24*Outputs!$C$5),"N/A")</f>
        <v>1</v>
      </c>
      <c r="AD22" s="104">
        <f>IFERROR(IF(AD21&lt;(24/Outputs!$C$5),1,AD21/24*Outputs!$C$5),"N/A")</f>
        <v>1</v>
      </c>
      <c r="AE22" s="104">
        <f>IFERROR(IF(AE21&lt;(24/Outputs!$C$5),1,AE21/24*Outputs!$C$5),"N/A")</f>
        <v>2</v>
      </c>
      <c r="AF22" s="104">
        <f>IFERROR(IF(AF21&lt;(24/Outputs!$C$5),1,AF21/24*Outputs!$C$5),"N/A")</f>
        <v>1</v>
      </c>
      <c r="AG22" s="104">
        <f>IFERROR(IF(AG21&lt;(24/Outputs!$C$5),1,AG21/24*Outputs!$C$5),"N/A")</f>
        <v>1</v>
      </c>
      <c r="AH22" s="104">
        <f>IFERROR(IF(AH21&lt;(24/Outputs!$C$5),1,AH21/24*Outputs!$C$5),"N/A")</f>
        <v>1</v>
      </c>
      <c r="AI22" s="104">
        <f>IFERROR(IF(AI21&lt;(24/Outputs!$C$5),1,AI21/24*Outputs!$C$5),"N/A")</f>
        <v>1</v>
      </c>
      <c r="AJ22" s="104">
        <f>IFERROR(IF(AJ21&lt;(24/Outputs!$C$5),1,AJ21/24*Outputs!$C$5),"N/A")</f>
        <v>1</v>
      </c>
      <c r="AK22" s="104">
        <f>IFERROR(IF(AK21&lt;(24/Outputs!$C$5),1,AK21/24*Outputs!$C$5),"N/A")</f>
        <v>1</v>
      </c>
      <c r="AL22" s="104">
        <f>IFERROR(IF(AL21&lt;(24/Outputs!$C$5),1,AL21/24*Outputs!$C$5),"N/A")</f>
        <v>1</v>
      </c>
      <c r="AM22" s="104">
        <f>IFERROR(IF(AM21&lt;(24/Outputs!$C$5),1,AM21/24*Outputs!$C$5),"N/A")</f>
        <v>1</v>
      </c>
      <c r="AN22" s="104">
        <f>IFERROR(IF(AN21&lt;(24/Outputs!$C$5),1,AN21/24*Outputs!$C$5),"N/A")</f>
        <v>1</v>
      </c>
      <c r="AO22" s="104">
        <f>IFERROR(IF(AO21&lt;(24/Outputs!$C$5),1,AO21/24*Outputs!$C$5),"N/A")</f>
        <v>1</v>
      </c>
      <c r="AP22" s="104">
        <f>IFERROR(IF(AP21&lt;(24/Outputs!$C$5),1,AP21/24*Outputs!$C$5),"N/A")</f>
        <v>1</v>
      </c>
      <c r="AQ22" s="104">
        <f>IFERROR(IF(AQ21&lt;(24/Outputs!$C$5),1,AQ21/24*Outputs!$C$5),"N/A")</f>
        <v>1</v>
      </c>
      <c r="AR22" s="104">
        <f>IFERROR(IF(AR21&lt;(24/Outputs!$C$5),1,AR21/24*Outputs!$C$5),"N/A")</f>
        <v>1</v>
      </c>
      <c r="AS22" s="104">
        <f>IFERROR(IF(AS21&lt;(24/Outputs!$C$5),1,AS21/24*Outputs!$C$5),"N/A")</f>
        <v>1</v>
      </c>
      <c r="AT22" s="104">
        <f>IFERROR(IF(AT21&lt;(24/Outputs!$C$5),1,AT21/24*Outputs!$C$5),"N/A")</f>
        <v>1</v>
      </c>
      <c r="AU22" s="104">
        <f>IFERROR(IF(AU21&lt;(24/Outputs!$C$5),1,AU21/24*Outputs!$C$5),"N/A")</f>
        <v>1</v>
      </c>
      <c r="AV22" s="104">
        <f>IFERROR(IF(AV21&lt;(24/Outputs!$C$5),1,AV21/24*Outputs!$C$5),"N/A")</f>
        <v>1</v>
      </c>
      <c r="AW22" s="104">
        <f>IFERROR(IF(AW21&lt;(24/Outputs!$C$5),1,AW21/24*Outputs!$C$5),"N/A")</f>
        <v>1</v>
      </c>
      <c r="AX22" s="104">
        <f>IFERROR(IF(AX21&lt;(24/Outputs!$C$5),1,AX21/24*Outputs!$C$5),"N/A")</f>
        <v>1</v>
      </c>
      <c r="AY22" s="104">
        <f>IFERROR(IF(AY21&lt;(24/Outputs!$C$5),1,AY21/24*Outputs!$C$5),"N/A")</f>
        <v>1</v>
      </c>
      <c r="AZ22" s="104">
        <f>IFERROR(IF(AZ21&lt;(24/Outputs!$C$5),1,AZ21/24*Outputs!$C$5),"N/A")</f>
        <v>1</v>
      </c>
      <c r="BA22" s="104">
        <f>IFERROR(IF(BA21&lt;(24/Outputs!$C$5),1,BA21/24*Outputs!$C$5),"N/A")</f>
        <v>1</v>
      </c>
      <c r="BB22" s="104">
        <f>IFERROR(IF(BB21&lt;(24/Outputs!$C$5),1,BB21/24*Outputs!$C$5),"N/A")</f>
        <v>1</v>
      </c>
      <c r="BC22" s="104">
        <f>IFERROR(IF(BC21&lt;(24/Outputs!$C$5),1,BC21/24*Outputs!$C$5),"N/A")</f>
        <v>1</v>
      </c>
      <c r="BD22" s="121">
        <f>IFERROR(IF(BD21&lt;(24/Outputs!$C$5),1,BD21/24*Outputs!$C$5),"N/A")</f>
        <v>1</v>
      </c>
      <c r="BE22" s="121">
        <f>IFERROR(IF(BE21&lt;(24/Outputs!$C$5),1,BE21/24*Outputs!$C$5),"N/A")</f>
        <v>1</v>
      </c>
      <c r="BF22" s="171"/>
      <c r="BG22" s="171"/>
      <c r="BH22" s="171"/>
      <c r="BI22" s="171"/>
      <c r="BJ22" s="171"/>
      <c r="BK22" s="171"/>
    </row>
    <row r="23" spans="1:63" ht="15.75" customHeight="1">
      <c r="A23" s="172"/>
      <c r="B23" s="173" t="s">
        <v>355</v>
      </c>
      <c r="C23" s="71">
        <f>IFERROR(AVERAGE('Raw Data'!B27:B31),0)</f>
        <v>100000</v>
      </c>
      <c r="D23" s="68">
        <f>IFERROR(AVERAGE('Raw Data'!C27:C31),0)</f>
        <v>0</v>
      </c>
      <c r="E23" s="68">
        <f>IFERROR(AVERAGE('Raw Data'!D27:D31),0)</f>
        <v>2070</v>
      </c>
      <c r="F23" s="68">
        <f>IFERROR(AVERAGE('Raw Data'!E27:E31),0)</f>
        <v>0</v>
      </c>
      <c r="G23" s="68">
        <f>IFERROR(AVERAGE('Raw Data'!F27:F31),0)</f>
        <v>0</v>
      </c>
      <c r="H23" s="68">
        <f>IFERROR(AVERAGE('Raw Data'!G27:G31),0)</f>
        <v>0</v>
      </c>
      <c r="I23" s="68">
        <f>IFERROR(AVERAGE('Raw Data'!H27:H31),0)</f>
        <v>0</v>
      </c>
      <c r="J23" s="68">
        <f>IFERROR(AVERAGE('Raw Data'!I27:I31),0)</f>
        <v>0</v>
      </c>
      <c r="K23" s="68">
        <f>IFERROR(AVERAGE('Raw Data'!J27:J31),0)</f>
        <v>0</v>
      </c>
      <c r="L23" s="68">
        <f>IFERROR(AVERAGE('Raw Data'!K27:K31),0)</f>
        <v>0</v>
      </c>
      <c r="M23" s="68">
        <f>IFERROR(AVERAGE('Raw Data'!L27:L31),0)</f>
        <v>100</v>
      </c>
      <c r="N23" s="68">
        <f>IFERROR(AVERAGE('Raw Data'!M27:M31),0)</f>
        <v>0</v>
      </c>
      <c r="O23" s="68">
        <f>IFERROR(AVERAGE('Raw Data'!N27:N31),0)</f>
        <v>0</v>
      </c>
      <c r="P23" s="68">
        <f>IFERROR(AVERAGE('Raw Data'!O27:O31),0)</f>
        <v>1000</v>
      </c>
      <c r="Q23" s="68">
        <f>IFERROR(AVERAGE('Raw Data'!P27:P31),0)</f>
        <v>0</v>
      </c>
      <c r="R23" s="68">
        <f>IFERROR(AVERAGE('Raw Data'!Q27:Q31),0)</f>
        <v>0</v>
      </c>
      <c r="S23" s="68">
        <f>IFERROR(AVERAGE('Raw Data'!R27:R31),0)</f>
        <v>600000</v>
      </c>
      <c r="T23" s="68">
        <f>IFERROR(AVERAGE('Raw Data'!S27:S31),0)</f>
        <v>0</v>
      </c>
      <c r="U23" s="68">
        <f>IFERROR(AVERAGE('Raw Data'!T27:T31),0)</f>
        <v>49500</v>
      </c>
      <c r="V23" s="68">
        <f>IFERROR(AVERAGE('Raw Data'!U27:U31),0)</f>
        <v>0</v>
      </c>
      <c r="W23" s="68">
        <f>IFERROR(AVERAGE('Raw Data'!V27:V31),0)</f>
        <v>0</v>
      </c>
      <c r="X23" s="68">
        <f>IFERROR(AVERAGE('Raw Data'!W27:W31),0)</f>
        <v>0</v>
      </c>
      <c r="Y23" s="68">
        <f>IFERROR(AVERAGE('Raw Data'!X27:X31),0)</f>
        <v>0</v>
      </c>
      <c r="Z23" s="68">
        <f>IFERROR(AVERAGE('Raw Data'!Y27:Y31),0)</f>
        <v>0</v>
      </c>
      <c r="AA23" s="68">
        <f>IFERROR(AVERAGE('Raw Data'!Z27:Z31),0)</f>
        <v>0</v>
      </c>
      <c r="AB23" s="68">
        <f>IFERROR(AVERAGE('Raw Data'!AA27:AA31),0)</f>
        <v>0</v>
      </c>
      <c r="AC23" s="68">
        <f>IFERROR(AVERAGE('Raw Data'!AB27:AB31),0)</f>
        <v>0</v>
      </c>
      <c r="AD23" s="68">
        <f>IFERROR(AVERAGE('Raw Data'!AC27:AC31),0)</f>
        <v>0</v>
      </c>
      <c r="AE23" s="68">
        <f>IFERROR(AVERAGE('Raw Data'!AD27:AD31),0)</f>
        <v>500</v>
      </c>
      <c r="AF23" s="68">
        <f>IFERROR(AVERAGE('Raw Data'!AE27:AE31),0)</f>
        <v>0</v>
      </c>
      <c r="AG23" s="68">
        <f>IFERROR(AVERAGE('Raw Data'!AF27:AF31),0)</f>
        <v>0</v>
      </c>
      <c r="AH23" s="68">
        <f>IFERROR(AVERAGE('Raw Data'!AG27:AG31),0)</f>
        <v>0</v>
      </c>
      <c r="AI23" s="68">
        <f>IFERROR(AVERAGE('Raw Data'!AH27:AH31),0)</f>
        <v>0</v>
      </c>
      <c r="AJ23" s="68">
        <f>IFERROR(AVERAGE('Raw Data'!AI27:AI31),0)</f>
        <v>0</v>
      </c>
      <c r="AK23" s="68">
        <f>IFERROR(AVERAGE('Raw Data'!AJ27:AJ31),0)</f>
        <v>0</v>
      </c>
      <c r="AL23" s="68">
        <f>IFERROR(AVERAGE('Raw Data'!AK27:AK31),0)</f>
        <v>0</v>
      </c>
      <c r="AM23" s="68">
        <f>IFERROR(AVERAGE('Raw Data'!AL27:AL31),0)</f>
        <v>0</v>
      </c>
      <c r="AN23" s="68">
        <f>IFERROR(AVERAGE('Raw Data'!AM27:AM31),0)</f>
        <v>0</v>
      </c>
      <c r="AO23" s="68">
        <f>IFERROR(AVERAGE('Raw Data'!AN27:AN31),0)</f>
        <v>0</v>
      </c>
      <c r="AP23" s="68">
        <f>IFERROR(AVERAGE('Raw Data'!AO27:AO31),0)</f>
        <v>0</v>
      </c>
      <c r="AQ23" s="68">
        <f>IFERROR(AVERAGE('Raw Data'!AP27:AP31),0)</f>
        <v>0</v>
      </c>
      <c r="AR23" s="68">
        <f>IFERROR(AVERAGE('Raw Data'!AQ27:AQ31),0)</f>
        <v>0</v>
      </c>
      <c r="AS23" s="68">
        <f>IFERROR(AVERAGE('Raw Data'!AR27:AR31),0)</f>
        <v>0</v>
      </c>
      <c r="AT23" s="68">
        <f>IFERROR(AVERAGE('Raw Data'!AS27:AS31),0)</f>
        <v>0</v>
      </c>
      <c r="AU23" s="68">
        <f>IFERROR(AVERAGE('Raw Data'!AT27:AT31),0)</f>
        <v>0</v>
      </c>
      <c r="AV23" s="68">
        <f>IFERROR(AVERAGE('Raw Data'!AU27:AU31),0)</f>
        <v>0</v>
      </c>
      <c r="AW23" s="68">
        <f>IFERROR(AVERAGE('Raw Data'!AV27:AV31),0)</f>
        <v>0</v>
      </c>
      <c r="AX23" s="68">
        <f>IFERROR(AVERAGE('Raw Data'!AW27:AW31),0)</f>
        <v>0</v>
      </c>
      <c r="AY23" s="68">
        <f>IFERROR(AVERAGE('Raw Data'!AX27:AX31),0)</f>
        <v>0</v>
      </c>
      <c r="AZ23" s="68">
        <f>IFERROR(AVERAGE('Raw Data'!AY27:AY31),0)</f>
        <v>0</v>
      </c>
      <c r="BA23" s="68">
        <f>IFERROR(AVERAGE('Raw Data'!AZ27:AZ31),0)</f>
        <v>0</v>
      </c>
      <c r="BB23" s="68">
        <f>IFERROR(AVERAGE('Raw Data'!BA27:BA31),0)</f>
        <v>0</v>
      </c>
      <c r="BC23" s="68">
        <f>IFERROR(AVERAGE('Raw Data'!BB27:BB31),0)</f>
        <v>0</v>
      </c>
      <c r="BD23" s="83">
        <f>IFERROR(AVERAGE('Raw Data'!BC27:BC31),0)</f>
        <v>0</v>
      </c>
      <c r="BE23" s="83">
        <f>IFERROR(AVERAGE('Raw Data'!BD27:BD31),0)</f>
        <v>0</v>
      </c>
      <c r="BF23" s="172"/>
      <c r="BG23" s="172"/>
      <c r="BH23" s="172"/>
      <c r="BI23" s="172"/>
      <c r="BJ23" s="172"/>
      <c r="BK23" s="172"/>
    </row>
    <row r="24" spans="1:63" ht="15.75" customHeight="1">
      <c r="A24" s="16"/>
      <c r="B24" s="94"/>
      <c r="C24" s="95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9"/>
      <c r="BE24" s="99"/>
      <c r="BF24" s="16"/>
      <c r="BG24" s="16"/>
      <c r="BH24" s="16"/>
      <c r="BI24" s="16"/>
      <c r="BJ24" s="16"/>
      <c r="BK24" s="16"/>
    </row>
    <row r="25" spans="1:63" ht="15.75" customHeight="1">
      <c r="A25" s="16"/>
      <c r="B25" s="174" t="s">
        <v>356</v>
      </c>
      <c r="C25" s="71">
        <v>9000000</v>
      </c>
      <c r="D25" s="68">
        <v>1000000</v>
      </c>
      <c r="E25" s="68">
        <v>55000</v>
      </c>
      <c r="F25" s="73">
        <v>114000</v>
      </c>
      <c r="G25" s="68">
        <v>900000</v>
      </c>
      <c r="H25" s="68">
        <v>20000</v>
      </c>
      <c r="I25" s="68">
        <v>10000000</v>
      </c>
      <c r="J25" s="68">
        <v>1500000</v>
      </c>
      <c r="K25" s="68">
        <v>55000000</v>
      </c>
      <c r="L25" s="68">
        <v>475000</v>
      </c>
      <c r="M25" s="73">
        <v>15000</v>
      </c>
      <c r="N25" s="68">
        <v>3000000</v>
      </c>
      <c r="O25" s="68">
        <v>5000000</v>
      </c>
      <c r="P25" s="68">
        <v>200000</v>
      </c>
      <c r="Q25" s="68">
        <v>6000000</v>
      </c>
      <c r="R25" s="68">
        <v>1200000</v>
      </c>
      <c r="S25" s="68">
        <v>5000000</v>
      </c>
      <c r="T25" s="73">
        <v>10532000</v>
      </c>
      <c r="U25" s="68">
        <v>1000000</v>
      </c>
      <c r="V25" s="68">
        <v>262500</v>
      </c>
      <c r="W25" s="68">
        <v>12000000</v>
      </c>
      <c r="X25" s="68">
        <v>7500</v>
      </c>
      <c r="Y25" s="68">
        <v>9000000</v>
      </c>
      <c r="Z25" s="68">
        <v>450000</v>
      </c>
      <c r="AA25" s="73">
        <v>144000</v>
      </c>
      <c r="AB25" s="68">
        <v>1600000</v>
      </c>
      <c r="AC25" s="73">
        <v>180000</v>
      </c>
      <c r="AD25" s="68">
        <v>41400</v>
      </c>
      <c r="AE25" s="68">
        <v>25000</v>
      </c>
      <c r="AF25" s="68">
        <v>12000000</v>
      </c>
      <c r="AG25" s="73">
        <v>16200</v>
      </c>
      <c r="AH25" s="68">
        <v>10000</v>
      </c>
      <c r="AI25" s="68">
        <v>7875000</v>
      </c>
      <c r="AJ25" s="68">
        <v>2000000</v>
      </c>
      <c r="AK25" s="68">
        <v>1925000</v>
      </c>
      <c r="AL25" s="68">
        <v>20000000</v>
      </c>
      <c r="AM25" s="68">
        <v>2500000</v>
      </c>
      <c r="AN25" s="68">
        <v>75</v>
      </c>
      <c r="AO25" s="73">
        <v>200</v>
      </c>
      <c r="AP25" s="68">
        <v>500</v>
      </c>
      <c r="AQ25" s="68">
        <v>33</v>
      </c>
      <c r="AR25" s="68">
        <v>52</v>
      </c>
      <c r="AS25" s="68">
        <v>40</v>
      </c>
      <c r="AT25" s="73">
        <v>50</v>
      </c>
      <c r="AU25" s="73">
        <v>7500000</v>
      </c>
      <c r="AV25" s="68">
        <v>8250000</v>
      </c>
      <c r="AW25" s="68">
        <v>100000</v>
      </c>
      <c r="AX25" s="68">
        <v>15000000</v>
      </c>
      <c r="AY25" s="68">
        <v>15000000</v>
      </c>
      <c r="AZ25" s="68">
        <v>10000000</v>
      </c>
      <c r="BA25" s="68">
        <v>200000</v>
      </c>
      <c r="BB25" s="68">
        <v>7500000</v>
      </c>
      <c r="BC25" s="68">
        <v>2000000</v>
      </c>
      <c r="BD25" s="83">
        <v>900000</v>
      </c>
      <c r="BE25" s="91">
        <v>1000000</v>
      </c>
      <c r="BF25" s="16"/>
      <c r="BG25" s="16"/>
      <c r="BH25" s="16"/>
      <c r="BI25" s="16"/>
      <c r="BJ25" s="16"/>
      <c r="BK25" s="16"/>
    </row>
    <row r="26" spans="1:63" ht="15.75" customHeight="1">
      <c r="A26" s="16"/>
      <c r="B26" s="174" t="s">
        <v>357</v>
      </c>
      <c r="C26" s="176">
        <v>5</v>
      </c>
      <c r="D26" s="177">
        <v>8</v>
      </c>
      <c r="E26" s="177">
        <v>5</v>
      </c>
      <c r="F26" s="177">
        <v>10</v>
      </c>
      <c r="G26" s="177">
        <v>9</v>
      </c>
      <c r="H26" s="177">
        <v>5</v>
      </c>
      <c r="I26" s="177">
        <v>5</v>
      </c>
      <c r="J26" s="177">
        <v>5</v>
      </c>
      <c r="K26" s="177">
        <v>5</v>
      </c>
      <c r="L26" s="177">
        <v>5</v>
      </c>
      <c r="M26" s="177">
        <v>5</v>
      </c>
      <c r="N26" s="177">
        <v>5</v>
      </c>
      <c r="O26" s="177">
        <v>5</v>
      </c>
      <c r="P26" s="177">
        <v>5</v>
      </c>
      <c r="Q26" s="177">
        <v>5</v>
      </c>
      <c r="R26" s="177">
        <v>5</v>
      </c>
      <c r="S26" s="177">
        <v>5</v>
      </c>
      <c r="T26" s="177">
        <v>5</v>
      </c>
      <c r="U26" s="177">
        <v>5</v>
      </c>
      <c r="V26" s="177">
        <v>5</v>
      </c>
      <c r="W26" s="177">
        <v>5</v>
      </c>
      <c r="X26" s="177">
        <v>5</v>
      </c>
      <c r="Y26" s="177">
        <v>5</v>
      </c>
      <c r="Z26" s="177">
        <v>5</v>
      </c>
      <c r="AA26" s="177">
        <v>5</v>
      </c>
      <c r="AB26" s="177">
        <v>5</v>
      </c>
      <c r="AC26" s="178">
        <v>5</v>
      </c>
      <c r="AD26" s="177">
        <v>5</v>
      </c>
      <c r="AE26" s="177">
        <v>5</v>
      </c>
      <c r="AF26" s="177">
        <v>5</v>
      </c>
      <c r="AG26" s="177">
        <v>5</v>
      </c>
      <c r="AH26" s="177">
        <v>5</v>
      </c>
      <c r="AI26" s="177">
        <v>5</v>
      </c>
      <c r="AJ26" s="177">
        <v>5</v>
      </c>
      <c r="AK26" s="177">
        <v>5</v>
      </c>
      <c r="AL26" s="177">
        <v>8</v>
      </c>
      <c r="AM26" s="177">
        <v>5</v>
      </c>
      <c r="AN26" s="177">
        <v>5</v>
      </c>
      <c r="AO26" s="177">
        <v>10</v>
      </c>
      <c r="AP26" s="177">
        <v>5</v>
      </c>
      <c r="AQ26" s="177">
        <v>5</v>
      </c>
      <c r="AR26" s="177">
        <v>5</v>
      </c>
      <c r="AS26" s="177">
        <v>5</v>
      </c>
      <c r="AT26" s="178">
        <v>5</v>
      </c>
      <c r="AU26" s="177">
        <v>6</v>
      </c>
      <c r="AV26" s="177">
        <v>5</v>
      </c>
      <c r="AW26" s="177">
        <v>5</v>
      </c>
      <c r="AX26" s="177">
        <v>5</v>
      </c>
      <c r="AY26" s="177">
        <v>5</v>
      </c>
      <c r="AZ26" s="177">
        <v>10</v>
      </c>
      <c r="BA26" s="177">
        <v>5</v>
      </c>
      <c r="BB26" s="177">
        <v>5</v>
      </c>
      <c r="BC26" s="177">
        <v>10</v>
      </c>
      <c r="BD26" s="179">
        <v>5</v>
      </c>
      <c r="BE26" s="180">
        <v>5</v>
      </c>
      <c r="BF26" s="16"/>
      <c r="BG26" s="16"/>
      <c r="BH26" s="16"/>
      <c r="BI26" s="16"/>
      <c r="BJ26" s="16"/>
      <c r="BK26" s="16"/>
    </row>
    <row r="27" spans="1:63" ht="15.75" customHeight="1">
      <c r="A27" s="16"/>
      <c r="B27" s="94"/>
      <c r="C27" s="95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68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9"/>
      <c r="BE27" s="99"/>
      <c r="BF27" s="16"/>
      <c r="BG27" s="16"/>
      <c r="BH27" s="16"/>
      <c r="BI27" s="16"/>
      <c r="BJ27" s="16"/>
      <c r="BK27" s="16"/>
    </row>
    <row r="28" spans="1:63" ht="15.75" customHeight="1">
      <c r="A28" s="16"/>
      <c r="B28" s="181" t="s">
        <v>358</v>
      </c>
      <c r="C28" s="71">
        <v>100000</v>
      </c>
      <c r="D28" s="73">
        <v>10000</v>
      </c>
      <c r="E28" s="68">
        <v>625</v>
      </c>
      <c r="F28" s="73">
        <v>400</v>
      </c>
      <c r="G28" s="68" t="s">
        <v>359</v>
      </c>
      <c r="H28" s="68">
        <v>9</v>
      </c>
      <c r="I28" s="73">
        <v>144000</v>
      </c>
      <c r="J28" s="68" t="s">
        <v>359</v>
      </c>
      <c r="K28" s="68">
        <v>50000</v>
      </c>
      <c r="L28" s="68">
        <v>34200</v>
      </c>
      <c r="M28" s="68">
        <v>9</v>
      </c>
      <c r="N28" s="68">
        <v>26250</v>
      </c>
      <c r="O28" s="68">
        <v>24000</v>
      </c>
      <c r="P28" s="68">
        <v>10</v>
      </c>
      <c r="Q28" s="68">
        <v>36000</v>
      </c>
      <c r="R28" s="68">
        <v>6000</v>
      </c>
      <c r="S28" s="68">
        <v>21000</v>
      </c>
      <c r="T28" s="68">
        <v>16000</v>
      </c>
      <c r="U28" s="68">
        <v>2500</v>
      </c>
      <c r="V28" s="68">
        <v>1500</v>
      </c>
      <c r="W28" s="68">
        <v>40000</v>
      </c>
      <c r="X28" s="68">
        <v>50</v>
      </c>
      <c r="Y28" s="68">
        <v>60000</v>
      </c>
      <c r="Z28" s="68">
        <v>600</v>
      </c>
      <c r="AA28" s="73">
        <v>100</v>
      </c>
      <c r="AB28" s="73">
        <v>40000</v>
      </c>
      <c r="AC28" s="73">
        <v>10000</v>
      </c>
      <c r="AD28" s="68">
        <v>2</v>
      </c>
      <c r="AE28" s="68">
        <v>25</v>
      </c>
      <c r="AF28" s="68">
        <v>40000</v>
      </c>
      <c r="AG28" s="68">
        <v>30</v>
      </c>
      <c r="AH28" s="73">
        <v>50</v>
      </c>
      <c r="AI28" s="68">
        <v>45030</v>
      </c>
      <c r="AJ28" s="68" t="s">
        <v>359</v>
      </c>
      <c r="AK28" s="68">
        <v>10000</v>
      </c>
      <c r="AL28" s="68">
        <v>20000</v>
      </c>
      <c r="AM28" s="68">
        <v>300</v>
      </c>
      <c r="AN28" s="182" t="s">
        <v>359</v>
      </c>
      <c r="AO28" s="182" t="s">
        <v>359</v>
      </c>
      <c r="AP28" s="182" t="s">
        <v>359</v>
      </c>
      <c r="AQ28" s="182" t="s">
        <v>359</v>
      </c>
      <c r="AR28" s="182" t="s">
        <v>359</v>
      </c>
      <c r="AS28" s="182" t="s">
        <v>359</v>
      </c>
      <c r="AT28" s="182" t="s">
        <v>359</v>
      </c>
      <c r="AU28" s="73">
        <v>50000</v>
      </c>
      <c r="AV28" s="68">
        <v>500</v>
      </c>
      <c r="AW28" s="68">
        <v>200</v>
      </c>
      <c r="AX28" s="68">
        <v>500000</v>
      </c>
      <c r="AY28" s="68">
        <v>100</v>
      </c>
      <c r="AZ28" s="68">
        <v>1000</v>
      </c>
      <c r="BA28" s="68">
        <v>400</v>
      </c>
      <c r="BB28" s="68">
        <v>60000</v>
      </c>
      <c r="BC28" s="68">
        <v>5000</v>
      </c>
      <c r="BD28" s="183">
        <v>10000</v>
      </c>
      <c r="BE28" s="184">
        <v>20000</v>
      </c>
      <c r="BF28" s="16"/>
      <c r="BG28" s="16"/>
      <c r="BH28" s="16"/>
      <c r="BI28" s="16"/>
      <c r="BJ28" s="16"/>
      <c r="BK28" s="16"/>
    </row>
    <row r="29" spans="1:63" ht="15.75" customHeight="1">
      <c r="A29" s="16"/>
      <c r="B29" s="181" t="s">
        <v>360</v>
      </c>
      <c r="C29" s="71">
        <v>1000</v>
      </c>
      <c r="D29" s="73">
        <v>10000</v>
      </c>
      <c r="E29" s="68">
        <v>625</v>
      </c>
      <c r="F29" s="68">
        <v>40</v>
      </c>
      <c r="G29" s="73">
        <v>5000</v>
      </c>
      <c r="H29" s="68">
        <v>9</v>
      </c>
      <c r="I29" s="68">
        <v>48000</v>
      </c>
      <c r="J29" s="68">
        <v>6000</v>
      </c>
      <c r="K29" s="68">
        <v>10000</v>
      </c>
      <c r="L29" s="68">
        <v>34200</v>
      </c>
      <c r="M29" s="68">
        <v>0.9</v>
      </c>
      <c r="N29" s="68">
        <v>14000</v>
      </c>
      <c r="O29" s="68">
        <v>8100</v>
      </c>
      <c r="P29" s="68">
        <v>10</v>
      </c>
      <c r="Q29" s="68">
        <v>12000</v>
      </c>
      <c r="R29" s="68">
        <v>6000</v>
      </c>
      <c r="S29" s="68">
        <v>21000</v>
      </c>
      <c r="T29" s="68">
        <v>16000</v>
      </c>
      <c r="U29" s="68">
        <v>2500</v>
      </c>
      <c r="V29" s="68">
        <v>1500</v>
      </c>
      <c r="W29" s="68">
        <v>40000</v>
      </c>
      <c r="X29" s="68">
        <v>50</v>
      </c>
      <c r="Y29" s="68">
        <v>60000</v>
      </c>
      <c r="Z29" s="68">
        <v>600</v>
      </c>
      <c r="AA29" s="73">
        <v>40</v>
      </c>
      <c r="AB29" s="68">
        <v>4000</v>
      </c>
      <c r="AC29" s="68">
        <v>2.5</v>
      </c>
      <c r="AD29" s="68">
        <v>1</v>
      </c>
      <c r="AE29" s="68">
        <v>25</v>
      </c>
      <c r="AF29" s="68">
        <v>40000</v>
      </c>
      <c r="AG29" s="68">
        <v>30</v>
      </c>
      <c r="AH29" s="68">
        <v>50</v>
      </c>
      <c r="AI29" s="68">
        <v>15010</v>
      </c>
      <c r="AJ29" s="68">
        <v>10000</v>
      </c>
      <c r="AK29" s="68">
        <v>10000</v>
      </c>
      <c r="AL29" s="68">
        <v>10000</v>
      </c>
      <c r="AM29" s="68">
        <v>30</v>
      </c>
      <c r="AN29" s="68">
        <v>1</v>
      </c>
      <c r="AO29" s="68">
        <v>1</v>
      </c>
      <c r="AP29" s="68">
        <v>10</v>
      </c>
      <c r="AQ29" s="68">
        <v>1</v>
      </c>
      <c r="AR29" s="68">
        <v>1</v>
      </c>
      <c r="AS29" s="68">
        <v>1</v>
      </c>
      <c r="AT29" s="73">
        <v>1</v>
      </c>
      <c r="AU29" s="73">
        <v>1000</v>
      </c>
      <c r="AV29" s="68">
        <v>25</v>
      </c>
      <c r="AW29" s="68">
        <v>100</v>
      </c>
      <c r="AX29" s="68">
        <v>25000</v>
      </c>
      <c r="AY29" s="68">
        <v>5</v>
      </c>
      <c r="AZ29" s="68">
        <v>50</v>
      </c>
      <c r="BA29" s="68">
        <v>10</v>
      </c>
      <c r="BB29" s="68">
        <v>60000</v>
      </c>
      <c r="BC29" s="68">
        <v>5000</v>
      </c>
      <c r="BD29" s="183">
        <v>1000</v>
      </c>
      <c r="BE29" s="184">
        <v>10000</v>
      </c>
      <c r="BF29" s="16"/>
      <c r="BG29" s="16"/>
      <c r="BH29" s="16"/>
      <c r="BI29" s="16"/>
      <c r="BJ29" s="16"/>
      <c r="BK29" s="16"/>
    </row>
    <row r="30" spans="1:63" ht="15.75" customHeight="1">
      <c r="A30" s="16"/>
      <c r="B30" s="94"/>
      <c r="C30" s="95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9"/>
      <c r="BE30" s="99"/>
      <c r="BF30" s="16"/>
      <c r="BG30" s="16"/>
      <c r="BH30" s="16"/>
      <c r="BI30" s="16"/>
      <c r="BJ30" s="16"/>
      <c r="BK30" s="16"/>
    </row>
    <row r="31" spans="1:63" ht="42">
      <c r="A31" s="185">
        <v>1</v>
      </c>
      <c r="B31" s="186" t="s">
        <v>361</v>
      </c>
      <c r="C31" s="187" t="str">
        <f t="shared" ref="C31:AK31" si="2">C4</f>
        <v>Huuuge Casino</v>
      </c>
      <c r="D31" s="188" t="str">
        <f t="shared" si="2"/>
        <v>DoubleDown</v>
      </c>
      <c r="E31" s="188" t="str">
        <f t="shared" si="2"/>
        <v>Big Fish Casino</v>
      </c>
      <c r="F31" s="188" t="str">
        <f t="shared" si="2"/>
        <v>GSN Casino</v>
      </c>
      <c r="G31" s="188" t="str">
        <f t="shared" si="2"/>
        <v>Heart of Vegas</v>
      </c>
      <c r="H31" s="188" t="str">
        <f t="shared" si="2"/>
        <v>House of Fun</v>
      </c>
      <c r="I31" s="188" t="str">
        <f t="shared" si="2"/>
        <v>Jackpot Party</v>
      </c>
      <c r="J31" s="188" t="str">
        <f t="shared" si="2"/>
        <v>DoubleU Casino</v>
      </c>
      <c r="K31" s="188" t="str">
        <f t="shared" si="2"/>
        <v>Wizard of Oz</v>
      </c>
      <c r="L31" s="188" t="str">
        <f t="shared" si="2"/>
        <v>Hit It Rich</v>
      </c>
      <c r="M31" s="188" t="str">
        <f t="shared" si="2"/>
        <v>Slotomania HD</v>
      </c>
      <c r="N31" s="188" t="str">
        <f t="shared" si="2"/>
        <v>Gold Fish HD</v>
      </c>
      <c r="O31" s="188" t="str">
        <f t="shared" si="2"/>
        <v>Quick Hit Slots</v>
      </c>
      <c r="P31" s="188" t="str">
        <f t="shared" si="2"/>
        <v>Caesars Slots</v>
      </c>
      <c r="Q31" s="188" t="str">
        <f t="shared" si="2"/>
        <v>Wonka Slots</v>
      </c>
      <c r="R31" s="188" t="str">
        <f t="shared" si="2"/>
        <v>my KONAMI</v>
      </c>
      <c r="S31" s="188" t="str">
        <f t="shared" si="2"/>
        <v>Black Diamond Slots</v>
      </c>
      <c r="T31" s="188" t="str">
        <f t="shared" si="2"/>
        <v>Ellen’s Road to Riches</v>
      </c>
      <c r="U31" s="188" t="str">
        <f t="shared" si="2"/>
        <v>Jackpot Magic Slots</v>
      </c>
      <c r="V31" s="188" t="str">
        <f t="shared" si="2"/>
        <v>myVEGAS</v>
      </c>
      <c r="W31" s="188" t="str">
        <f t="shared" si="2"/>
        <v>Scatter Slots</v>
      </c>
      <c r="X31" s="188" t="str">
        <f t="shared" si="2"/>
        <v>Viva Slots Las Vegas</v>
      </c>
      <c r="Y31" s="188" t="str">
        <f t="shared" si="2"/>
        <v>Infinity Slots</v>
      </c>
      <c r="Z31" s="188" t="str">
        <f t="shared" si="2"/>
        <v>POP! Slots</v>
      </c>
      <c r="AA31" s="188" t="str">
        <f t="shared" si="2"/>
        <v>High 5 Casino</v>
      </c>
      <c r="AB31" s="188" t="str">
        <f t="shared" si="2"/>
        <v>Hot Shot Casino</v>
      </c>
      <c r="AC31" s="188" t="str">
        <f t="shared" si="2"/>
        <v>Jackpotjoy Slots</v>
      </c>
      <c r="AD31" s="188" t="str">
        <f t="shared" si="2"/>
        <v>Pharaoh's Way</v>
      </c>
      <c r="AE31" s="188" t="str">
        <f t="shared" si="2"/>
        <v>Slot Bonanza HD</v>
      </c>
      <c r="AF31" s="188" t="str">
        <f t="shared" si="2"/>
        <v>Slots Era</v>
      </c>
      <c r="AG31" s="188" t="str">
        <f t="shared" si="2"/>
        <v>Xtreme Slots</v>
      </c>
      <c r="AH31" s="188" t="str">
        <f t="shared" si="2"/>
        <v>Old Vegas</v>
      </c>
      <c r="AI31" s="188" t="str">
        <f t="shared" si="2"/>
        <v>88 Fortune Slots</v>
      </c>
      <c r="AJ31" s="188" t="str">
        <f t="shared" si="2"/>
        <v>Cashman Casino</v>
      </c>
      <c r="AK31" s="188" t="str">
        <f t="shared" si="2"/>
        <v>Royal House Slots</v>
      </c>
      <c r="AL31" s="188" t="s">
        <v>41</v>
      </c>
      <c r="AM31" s="188" t="str">
        <f t="shared" ref="AM31:BA31" si="3">AM4</f>
        <v>Spin to Win Slots</v>
      </c>
      <c r="AN31" s="188" t="str">
        <f t="shared" si="3"/>
        <v>Bingo Bash</v>
      </c>
      <c r="AO31" s="188" t="str">
        <f t="shared" si="3"/>
        <v>Bingo Blitz</v>
      </c>
      <c r="AP31" s="188" t="str">
        <f t="shared" si="3"/>
        <v>Bingo Party</v>
      </c>
      <c r="AQ31" s="188" t="str">
        <f t="shared" si="3"/>
        <v>Monopoly Bingo</v>
      </c>
      <c r="AR31" s="188" t="str">
        <f t="shared" si="3"/>
        <v>Bingo Showdown</v>
      </c>
      <c r="AS31" s="188" t="str">
        <f t="shared" si="3"/>
        <v>Bingo Pop</v>
      </c>
      <c r="AT31" s="188" t="str">
        <f t="shared" si="3"/>
        <v>Bingo Drive</v>
      </c>
      <c r="AU31" s="188" t="str">
        <f t="shared" si="3"/>
        <v>WSOP</v>
      </c>
      <c r="AV31" s="188" t="str">
        <f t="shared" si="3"/>
        <v>Zynga - Texas Holdem</v>
      </c>
      <c r="AW31" s="188" t="str">
        <f t="shared" si="3"/>
        <v>Poker Heat</v>
      </c>
      <c r="AX31" s="188" t="str">
        <f t="shared" si="3"/>
        <v>Scatter HoldEm Poker</v>
      </c>
      <c r="AY31" s="188" t="str">
        <f t="shared" si="3"/>
        <v>Fresh Deck</v>
      </c>
      <c r="AZ31" s="188" t="str">
        <f t="shared" si="3"/>
        <v>Pokerist</v>
      </c>
      <c r="BA31" s="188" t="str">
        <f t="shared" si="3"/>
        <v>Texas Holdem</v>
      </c>
      <c r="BB31" s="188" t="s">
        <v>57</v>
      </c>
      <c r="BC31" s="188" t="s">
        <v>58</v>
      </c>
      <c r="BD31" s="189" t="str">
        <f t="shared" ref="BD31:BE31" si="4">BD4</f>
        <v>Monopoly Slots</v>
      </c>
      <c r="BE31" s="189" t="str">
        <f t="shared" si="4"/>
        <v>Lightning Link Casino</v>
      </c>
      <c r="BF31" s="34"/>
      <c r="BG31" s="34"/>
      <c r="BH31" s="34"/>
      <c r="BI31" s="34"/>
      <c r="BJ31" s="34"/>
      <c r="BK31" s="34"/>
    </row>
    <row r="32" spans="1:63" ht="15.75" customHeight="1">
      <c r="A32" s="190">
        <v>2</v>
      </c>
      <c r="B32" s="191" t="s">
        <v>362</v>
      </c>
      <c r="C32" s="176">
        <f t="shared" ref="C32:BE32" si="5">C6/C49</f>
        <v>5.7055555555555557</v>
      </c>
      <c r="D32" s="177">
        <f t="shared" si="5"/>
        <v>8</v>
      </c>
      <c r="E32" s="177">
        <f t="shared" si="5"/>
        <v>9.0909090909090917</v>
      </c>
      <c r="F32" s="177">
        <f t="shared" si="5"/>
        <v>1.0964912280701755</v>
      </c>
      <c r="G32" s="177">
        <f t="shared" si="5"/>
        <v>20</v>
      </c>
      <c r="H32" s="177">
        <f t="shared" si="5"/>
        <v>0.25</v>
      </c>
      <c r="I32" s="177">
        <f t="shared" si="5"/>
        <v>3</v>
      </c>
      <c r="J32" s="177">
        <f t="shared" si="5"/>
        <v>3.3333333333333335</v>
      </c>
      <c r="K32" s="177">
        <f t="shared" si="5"/>
        <v>0.40909090909090912</v>
      </c>
      <c r="L32" s="177">
        <f t="shared" si="5"/>
        <v>16</v>
      </c>
      <c r="M32" s="177">
        <f t="shared" si="5"/>
        <v>3.3333333333333335</v>
      </c>
      <c r="N32" s="177">
        <f t="shared" si="5"/>
        <v>1.6666666666666667</v>
      </c>
      <c r="O32" s="177">
        <f t="shared" si="5"/>
        <v>1.25</v>
      </c>
      <c r="P32" s="177">
        <f t="shared" si="5"/>
        <v>1</v>
      </c>
      <c r="Q32" s="177">
        <f t="shared" si="5"/>
        <v>1.5</v>
      </c>
      <c r="R32" s="177">
        <f t="shared" si="5"/>
        <v>1.0380916666666666</v>
      </c>
      <c r="S32" s="177">
        <f t="shared" si="5"/>
        <v>6</v>
      </c>
      <c r="T32" s="177">
        <f t="shared" si="5"/>
        <v>2.3737181921762249</v>
      </c>
      <c r="U32" s="177">
        <f t="shared" si="5"/>
        <v>5</v>
      </c>
      <c r="V32" s="177">
        <f t="shared" si="5"/>
        <v>0.95238095238095233</v>
      </c>
      <c r="W32" s="177">
        <f t="shared" si="5"/>
        <v>17.475000000000001</v>
      </c>
      <c r="X32" s="177">
        <f t="shared" si="5"/>
        <v>1.3333333333333333</v>
      </c>
      <c r="Y32" s="177">
        <f t="shared" si="5"/>
        <v>1.6666666666666667</v>
      </c>
      <c r="Z32" s="177">
        <f t="shared" si="5"/>
        <v>0.33333333333333331</v>
      </c>
      <c r="AA32" s="177">
        <f t="shared" si="5"/>
        <v>0.34722222222222221</v>
      </c>
      <c r="AB32" s="177">
        <f t="shared" si="5"/>
        <v>4.375</v>
      </c>
      <c r="AC32" s="177">
        <f t="shared" si="5"/>
        <v>8.9791666666666661</v>
      </c>
      <c r="AD32" s="177">
        <f t="shared" si="5"/>
        <v>4.8309178743961354</v>
      </c>
      <c r="AE32" s="177">
        <f t="shared" si="5"/>
        <v>16.018999999999998</v>
      </c>
      <c r="AF32" s="177">
        <f t="shared" si="5"/>
        <v>17.475000000000001</v>
      </c>
      <c r="AG32" s="177">
        <f t="shared" si="5"/>
        <v>1.5496759259259258</v>
      </c>
      <c r="AH32" s="177">
        <f t="shared" si="5"/>
        <v>7.5</v>
      </c>
      <c r="AI32" s="177">
        <f t="shared" si="5"/>
        <v>1.2698412698412698</v>
      </c>
      <c r="AJ32" s="177">
        <f t="shared" si="5"/>
        <v>5</v>
      </c>
      <c r="AK32" s="177">
        <f t="shared" si="5"/>
        <v>0.25974025974025972</v>
      </c>
      <c r="AL32" s="177">
        <f t="shared" si="5"/>
        <v>0.04</v>
      </c>
      <c r="AM32" s="177">
        <f t="shared" si="5"/>
        <v>0.4</v>
      </c>
      <c r="AN32" s="177">
        <f t="shared" si="5"/>
        <v>5.9776515151515168</v>
      </c>
      <c r="AO32" s="177">
        <f t="shared" si="5"/>
        <v>32.523250000000004</v>
      </c>
      <c r="AP32" s="177">
        <f t="shared" si="5"/>
        <v>16.515384615384615</v>
      </c>
      <c r="AQ32" s="177">
        <f t="shared" si="5"/>
        <v>5.8985423197492164</v>
      </c>
      <c r="AR32" s="177">
        <f t="shared" si="5"/>
        <v>3.8151794871794871</v>
      </c>
      <c r="AS32" s="177">
        <f t="shared" si="5"/>
        <v>25.965</v>
      </c>
      <c r="AT32" s="177">
        <f t="shared" si="5"/>
        <v>16.867000000000001</v>
      </c>
      <c r="AU32" s="177">
        <f t="shared" si="5"/>
        <v>0.2</v>
      </c>
      <c r="AV32" s="177">
        <f t="shared" si="5"/>
        <v>0.34908725812340269</v>
      </c>
      <c r="AW32" s="177">
        <f t="shared" si="5"/>
        <v>0.75</v>
      </c>
      <c r="AX32" s="177">
        <f t="shared" si="5"/>
        <v>5.3233333333333333</v>
      </c>
      <c r="AY32" s="177">
        <f t="shared" si="5"/>
        <v>0.11156666666666666</v>
      </c>
      <c r="AZ32" s="177">
        <f t="shared" si="5"/>
        <v>0.2545</v>
      </c>
      <c r="BA32" s="177">
        <f t="shared" si="5"/>
        <v>0.02</v>
      </c>
      <c r="BB32" s="177">
        <f t="shared" si="5"/>
        <v>6.658666666666667</v>
      </c>
      <c r="BC32" s="177">
        <f t="shared" si="5"/>
        <v>1.3316666666666668</v>
      </c>
      <c r="BD32" s="179">
        <f t="shared" si="5"/>
        <v>2.2222222222222223</v>
      </c>
      <c r="BE32" s="179">
        <f t="shared" si="5"/>
        <v>50</v>
      </c>
      <c r="BF32" s="193"/>
      <c r="BG32" s="193"/>
      <c r="BH32" s="193"/>
      <c r="BI32" s="193"/>
      <c r="BJ32" s="193"/>
      <c r="BK32" s="193"/>
    </row>
    <row r="33" spans="1:63" ht="15.75" customHeight="1">
      <c r="A33" s="190">
        <v>3</v>
      </c>
      <c r="B33" s="191"/>
      <c r="C33" s="95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9"/>
      <c r="BE33" s="99"/>
      <c r="BF33" s="16"/>
      <c r="BG33" s="16"/>
      <c r="BH33" s="16"/>
      <c r="BI33" s="16"/>
      <c r="BJ33" s="16"/>
      <c r="BK33" s="16"/>
    </row>
    <row r="34" spans="1:63" ht="15.75" customHeight="1">
      <c r="A34" s="190">
        <v>4</v>
      </c>
      <c r="B34" s="191" t="s">
        <v>363</v>
      </c>
      <c r="C34" s="71">
        <f t="shared" ref="C34:BE34" si="6">C10*C11</f>
        <v>808000</v>
      </c>
      <c r="D34" s="68">
        <f t="shared" si="6"/>
        <v>178000</v>
      </c>
      <c r="E34" s="68">
        <f t="shared" si="6"/>
        <v>42600</v>
      </c>
      <c r="F34" s="68">
        <f t="shared" si="6"/>
        <v>10890</v>
      </c>
      <c r="G34" s="68">
        <f t="shared" si="6"/>
        <v>41800</v>
      </c>
      <c r="H34" s="68">
        <f t="shared" si="6"/>
        <v>500</v>
      </c>
      <c r="I34" s="68">
        <f t="shared" si="6"/>
        <v>1002400</v>
      </c>
      <c r="J34" s="68">
        <f t="shared" si="6"/>
        <v>172400</v>
      </c>
      <c r="K34" s="68">
        <f t="shared" si="6"/>
        <v>361000</v>
      </c>
      <c r="L34" s="68">
        <f t="shared" si="6"/>
        <v>130000</v>
      </c>
      <c r="M34" s="68">
        <f t="shared" si="6"/>
        <v>780</v>
      </c>
      <c r="N34" s="68">
        <f t="shared" si="6"/>
        <v>1252500</v>
      </c>
      <c r="O34" s="68">
        <f t="shared" si="6"/>
        <v>188260</v>
      </c>
      <c r="P34" s="68">
        <f t="shared" si="6"/>
        <v>7500</v>
      </c>
      <c r="Q34" s="68">
        <f t="shared" si="6"/>
        <v>314000</v>
      </c>
      <c r="R34" s="68">
        <f t="shared" si="6"/>
        <v>40208.6</v>
      </c>
      <c r="S34" s="68">
        <f t="shared" si="6"/>
        <v>1200000</v>
      </c>
      <c r="T34" s="68">
        <f t="shared" si="6"/>
        <v>1280000</v>
      </c>
      <c r="U34" s="68">
        <f t="shared" si="6"/>
        <v>390000</v>
      </c>
      <c r="V34" s="68">
        <f t="shared" si="6"/>
        <v>0</v>
      </c>
      <c r="W34" s="68">
        <f t="shared" si="6"/>
        <v>360000</v>
      </c>
      <c r="X34" s="68">
        <f t="shared" si="6"/>
        <v>1500</v>
      </c>
      <c r="Y34" s="68">
        <f t="shared" si="6"/>
        <v>1700000</v>
      </c>
      <c r="Z34" s="68">
        <f t="shared" si="6"/>
        <v>30000</v>
      </c>
      <c r="AA34" s="68">
        <f t="shared" si="6"/>
        <v>1220</v>
      </c>
      <c r="AB34" s="68">
        <f t="shared" si="6"/>
        <v>94500</v>
      </c>
      <c r="AC34" s="68">
        <f t="shared" si="6"/>
        <v>486.8</v>
      </c>
      <c r="AD34" s="68">
        <f t="shared" si="6"/>
        <v>6820</v>
      </c>
      <c r="AE34" s="68">
        <f t="shared" si="6"/>
        <v>1000</v>
      </c>
      <c r="AF34" s="68">
        <f t="shared" si="6"/>
        <v>462000</v>
      </c>
      <c r="AG34" s="68">
        <f t="shared" si="6"/>
        <v>560</v>
      </c>
      <c r="AH34" s="68">
        <f t="shared" si="6"/>
        <v>3400</v>
      </c>
      <c r="AI34" s="68">
        <f t="shared" si="6"/>
        <v>514000</v>
      </c>
      <c r="AJ34" s="68">
        <f t="shared" si="6"/>
        <v>222000</v>
      </c>
      <c r="AK34" s="68">
        <f t="shared" si="6"/>
        <v>98800</v>
      </c>
      <c r="AL34" s="68">
        <f t="shared" si="6"/>
        <v>1992000</v>
      </c>
      <c r="AM34" s="68">
        <f t="shared" si="6"/>
        <v>30000</v>
      </c>
      <c r="AN34" s="68">
        <f t="shared" si="6"/>
        <v>7.4848636363636372</v>
      </c>
      <c r="AO34" s="68">
        <f t="shared" si="6"/>
        <v>55.204000000000008</v>
      </c>
      <c r="AP34" s="68">
        <f t="shared" si="6"/>
        <v>226.76923076923077</v>
      </c>
      <c r="AQ34" s="68">
        <f t="shared" si="6"/>
        <v>20</v>
      </c>
      <c r="AR34" s="68">
        <f t="shared" si="6"/>
        <v>3.8919466666666667</v>
      </c>
      <c r="AS34" s="68">
        <f t="shared" si="6"/>
        <v>14</v>
      </c>
      <c r="AT34" s="68">
        <f t="shared" si="6"/>
        <v>16.396000000000001</v>
      </c>
      <c r="AU34" s="68">
        <f t="shared" si="6"/>
        <v>265000</v>
      </c>
      <c r="AV34" s="68">
        <f t="shared" si="6"/>
        <v>0</v>
      </c>
      <c r="AW34" s="68">
        <f t="shared" si="6"/>
        <v>1000</v>
      </c>
      <c r="AX34" s="68">
        <f t="shared" si="6"/>
        <v>66000</v>
      </c>
      <c r="AY34" s="68">
        <f t="shared" si="6"/>
        <v>35500</v>
      </c>
      <c r="AZ34" s="68">
        <f t="shared" si="6"/>
        <v>5400</v>
      </c>
      <c r="BA34" s="68">
        <f t="shared" si="6"/>
        <v>522</v>
      </c>
      <c r="BB34" s="68">
        <f t="shared" si="6"/>
        <v>1135157.2</v>
      </c>
      <c r="BC34" s="68">
        <f t="shared" si="6"/>
        <v>145619.93047508691</v>
      </c>
      <c r="BD34" s="83">
        <f t="shared" si="6"/>
        <v>50000</v>
      </c>
      <c r="BE34" s="83">
        <f t="shared" si="6"/>
        <v>310666.66666666663</v>
      </c>
      <c r="BF34" s="193"/>
      <c r="BG34" s="193"/>
      <c r="BH34" s="193"/>
      <c r="BI34" s="193"/>
      <c r="BJ34" s="193"/>
      <c r="BK34" s="193"/>
    </row>
    <row r="35" spans="1:63" ht="15.75" customHeight="1">
      <c r="A35" s="190">
        <v>5</v>
      </c>
      <c r="B35" s="191" t="s">
        <v>364</v>
      </c>
      <c r="C35" s="176">
        <f t="shared" ref="C35:BE35" si="7">C34/C$49</f>
        <v>0.44888888888888889</v>
      </c>
      <c r="D35" s="177">
        <f t="shared" si="7"/>
        <v>1.4239999999999999</v>
      </c>
      <c r="E35" s="177">
        <f t="shared" si="7"/>
        <v>3.8727272727272726</v>
      </c>
      <c r="F35" s="177">
        <f t="shared" si="7"/>
        <v>0.95526315789473681</v>
      </c>
      <c r="G35" s="177">
        <f t="shared" si="7"/>
        <v>0.41799999999999998</v>
      </c>
      <c r="H35" s="177">
        <f t="shared" si="7"/>
        <v>0.125</v>
      </c>
      <c r="I35" s="177">
        <f t="shared" si="7"/>
        <v>0.50119999999999998</v>
      </c>
      <c r="J35" s="177">
        <f t="shared" si="7"/>
        <v>0.57466666666666666</v>
      </c>
      <c r="K35" s="177">
        <f t="shared" si="7"/>
        <v>3.2818181818181816E-2</v>
      </c>
      <c r="L35" s="177">
        <f t="shared" si="7"/>
        <v>1.368421052631579</v>
      </c>
      <c r="M35" s="177">
        <f t="shared" si="7"/>
        <v>0.26</v>
      </c>
      <c r="N35" s="177">
        <f t="shared" si="7"/>
        <v>2.0874999999999999</v>
      </c>
      <c r="O35" s="177">
        <f t="shared" si="7"/>
        <v>0.18826000000000001</v>
      </c>
      <c r="P35" s="177">
        <f t="shared" si="7"/>
        <v>0.1875</v>
      </c>
      <c r="Q35" s="177">
        <f t="shared" si="7"/>
        <v>0.26166666666666666</v>
      </c>
      <c r="R35" s="177">
        <f t="shared" si="7"/>
        <v>0.16753583333333333</v>
      </c>
      <c r="S35" s="177">
        <f t="shared" si="7"/>
        <v>1.2</v>
      </c>
      <c r="T35" s="177">
        <f t="shared" si="7"/>
        <v>0.60767185719711359</v>
      </c>
      <c r="U35" s="177">
        <f t="shared" si="7"/>
        <v>1.95</v>
      </c>
      <c r="V35" s="177">
        <f t="shared" si="7"/>
        <v>0</v>
      </c>
      <c r="W35" s="177">
        <f t="shared" si="7"/>
        <v>0.15</v>
      </c>
      <c r="X35" s="177">
        <f t="shared" si="7"/>
        <v>1</v>
      </c>
      <c r="Y35" s="177">
        <f t="shared" si="7"/>
        <v>0.94444444444444442</v>
      </c>
      <c r="Z35" s="177">
        <f t="shared" si="7"/>
        <v>0.33333333333333331</v>
      </c>
      <c r="AA35" s="177">
        <f t="shared" si="7"/>
        <v>4.2361111111111113E-2</v>
      </c>
      <c r="AB35" s="177">
        <f t="shared" si="7"/>
        <v>0.29531249999999998</v>
      </c>
      <c r="AC35" s="177">
        <f t="shared" si="7"/>
        <v>1.3522222222222222E-2</v>
      </c>
      <c r="AD35" s="177">
        <f t="shared" si="7"/>
        <v>0.82367149758454106</v>
      </c>
      <c r="AE35" s="177">
        <f t="shared" si="7"/>
        <v>0.2</v>
      </c>
      <c r="AF35" s="177">
        <f t="shared" si="7"/>
        <v>0.1925</v>
      </c>
      <c r="AG35" s="177">
        <f t="shared" si="7"/>
        <v>0.1728395061728395</v>
      </c>
      <c r="AH35" s="177">
        <f t="shared" si="7"/>
        <v>1.7</v>
      </c>
      <c r="AI35" s="177">
        <f t="shared" si="7"/>
        <v>0.32634920634920633</v>
      </c>
      <c r="AJ35" s="177">
        <f t="shared" si="7"/>
        <v>0.55500000000000005</v>
      </c>
      <c r="AK35" s="177">
        <f t="shared" si="7"/>
        <v>0.25662337662337664</v>
      </c>
      <c r="AL35" s="177">
        <f t="shared" si="7"/>
        <v>0.79679999999999995</v>
      </c>
      <c r="AM35" s="177">
        <f t="shared" si="7"/>
        <v>0.06</v>
      </c>
      <c r="AN35" s="177">
        <f t="shared" si="7"/>
        <v>0.49899090909090915</v>
      </c>
      <c r="AO35" s="177">
        <f t="shared" si="7"/>
        <v>2.7602000000000002</v>
      </c>
      <c r="AP35" s="177">
        <f t="shared" si="7"/>
        <v>2.2676923076923079</v>
      </c>
      <c r="AQ35" s="177">
        <f t="shared" si="7"/>
        <v>3.0303030303030303</v>
      </c>
      <c r="AR35" s="177">
        <f t="shared" si="7"/>
        <v>0.37422564102564099</v>
      </c>
      <c r="AS35" s="177">
        <f t="shared" si="7"/>
        <v>1.75</v>
      </c>
      <c r="AT35" s="177">
        <f t="shared" si="7"/>
        <v>1.6396000000000002</v>
      </c>
      <c r="AU35" s="177">
        <f t="shared" si="7"/>
        <v>0.21199999999999999</v>
      </c>
      <c r="AV35" s="177">
        <f t="shared" si="7"/>
        <v>0</v>
      </c>
      <c r="AW35" s="177">
        <f t="shared" si="7"/>
        <v>0.05</v>
      </c>
      <c r="AX35" s="177">
        <f t="shared" si="7"/>
        <v>2.1999999999999999E-2</v>
      </c>
      <c r="AY35" s="177">
        <f t="shared" si="7"/>
        <v>1.1833333333333333E-2</v>
      </c>
      <c r="AZ35" s="177">
        <f t="shared" si="7"/>
        <v>5.4000000000000003E-3</v>
      </c>
      <c r="BA35" s="177">
        <f t="shared" si="7"/>
        <v>1.3050000000000001E-2</v>
      </c>
      <c r="BB35" s="177">
        <f t="shared" si="7"/>
        <v>0.75677146666666661</v>
      </c>
      <c r="BC35" s="177">
        <f t="shared" si="7"/>
        <v>0.7280996523754345</v>
      </c>
      <c r="BD35" s="179">
        <f t="shared" si="7"/>
        <v>0.27777777777777779</v>
      </c>
      <c r="BE35" s="179">
        <f t="shared" si="7"/>
        <v>1.5533333333333332</v>
      </c>
      <c r="BF35" s="193"/>
      <c r="BG35" s="193"/>
      <c r="BH35" s="193"/>
      <c r="BI35" s="193"/>
      <c r="BJ35" s="193"/>
      <c r="BK35" s="193"/>
    </row>
    <row r="36" spans="1:63" ht="15.75" customHeight="1">
      <c r="A36" s="190">
        <v>6</v>
      </c>
      <c r="B36" s="191"/>
      <c r="C36" s="176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9"/>
      <c r="BE36" s="179"/>
      <c r="BF36" s="16"/>
      <c r="BG36" s="16"/>
      <c r="BH36" s="16"/>
      <c r="BI36" s="16"/>
      <c r="BJ36" s="16"/>
      <c r="BK36" s="16"/>
    </row>
    <row r="37" spans="1:63" ht="15.75" customHeight="1">
      <c r="A37" s="190">
        <v>7</v>
      </c>
      <c r="B37" s="191" t="s">
        <v>365</v>
      </c>
      <c r="C37" s="71">
        <f t="shared" ref="C37:BE37" si="8">C14*C15</f>
        <v>100000</v>
      </c>
      <c r="D37" s="68">
        <f t="shared" si="8"/>
        <v>0</v>
      </c>
      <c r="E37" s="68">
        <f t="shared" si="8"/>
        <v>7350</v>
      </c>
      <c r="F37" s="68">
        <f t="shared" si="8"/>
        <v>23280</v>
      </c>
      <c r="G37" s="68">
        <f t="shared" si="8"/>
        <v>40000</v>
      </c>
      <c r="H37" s="68">
        <f t="shared" si="8"/>
        <v>420</v>
      </c>
      <c r="I37" s="68">
        <f t="shared" si="8"/>
        <v>200000</v>
      </c>
      <c r="J37" s="68">
        <f t="shared" si="8"/>
        <v>82000</v>
      </c>
      <c r="K37" s="68">
        <f t="shared" si="8"/>
        <v>600000</v>
      </c>
      <c r="L37" s="68">
        <f t="shared" si="8"/>
        <v>972000</v>
      </c>
      <c r="M37" s="68">
        <f t="shared" si="8"/>
        <v>1000</v>
      </c>
      <c r="N37" s="68">
        <f t="shared" si="8"/>
        <v>550000</v>
      </c>
      <c r="O37" s="68">
        <f t="shared" si="8"/>
        <v>136000</v>
      </c>
      <c r="P37" s="68">
        <f t="shared" si="8"/>
        <v>18940</v>
      </c>
      <c r="Q37" s="68">
        <f t="shared" si="8"/>
        <v>3352000</v>
      </c>
      <c r="R37" s="68">
        <f t="shared" si="8"/>
        <v>8000</v>
      </c>
      <c r="S37" s="68">
        <f t="shared" si="8"/>
        <v>300000</v>
      </c>
      <c r="T37" s="68">
        <f t="shared" si="8"/>
        <v>0</v>
      </c>
      <c r="U37" s="68">
        <f t="shared" si="8"/>
        <v>193750</v>
      </c>
      <c r="V37" s="68">
        <f t="shared" si="8"/>
        <v>2000</v>
      </c>
      <c r="W37" s="68">
        <f t="shared" si="8"/>
        <v>3929600</v>
      </c>
      <c r="X37" s="68">
        <f t="shared" si="8"/>
        <v>2000</v>
      </c>
      <c r="Y37" s="68">
        <f t="shared" si="8"/>
        <v>1618750</v>
      </c>
      <c r="Z37" s="68">
        <f t="shared" si="8"/>
        <v>15000</v>
      </c>
      <c r="AA37" s="68">
        <f t="shared" si="8"/>
        <v>60</v>
      </c>
      <c r="AB37" s="68">
        <f t="shared" si="8"/>
        <v>160000</v>
      </c>
      <c r="AC37" s="68">
        <f t="shared" si="8"/>
        <v>200</v>
      </c>
      <c r="AD37" s="68">
        <f t="shared" si="8"/>
        <v>4140</v>
      </c>
      <c r="AE37" s="68">
        <f t="shared" si="8"/>
        <v>2000</v>
      </c>
      <c r="AF37" s="68">
        <f t="shared" si="8"/>
        <v>5660000</v>
      </c>
      <c r="AG37" s="68">
        <f t="shared" si="8"/>
        <v>1000</v>
      </c>
      <c r="AH37" s="68">
        <f t="shared" si="8"/>
        <v>400</v>
      </c>
      <c r="AI37" s="68">
        <f t="shared" si="8"/>
        <v>300000</v>
      </c>
      <c r="AJ37" s="68">
        <f t="shared" si="8"/>
        <v>50666.666666666664</v>
      </c>
      <c r="AK37" s="68">
        <f t="shared" si="8"/>
        <v>700000</v>
      </c>
      <c r="AL37" s="68">
        <f t="shared" si="8"/>
        <v>800000</v>
      </c>
      <c r="AM37" s="68">
        <f t="shared" si="8"/>
        <v>268000</v>
      </c>
      <c r="AN37" s="68">
        <f t="shared" si="8"/>
        <v>16</v>
      </c>
      <c r="AO37" s="68">
        <f t="shared" si="8"/>
        <v>20.995999999999999</v>
      </c>
      <c r="AP37" s="68">
        <f t="shared" si="8"/>
        <v>0</v>
      </c>
      <c r="AQ37" s="68">
        <f t="shared" si="8"/>
        <v>1.37225</v>
      </c>
      <c r="AR37" s="68">
        <f t="shared" si="8"/>
        <v>7</v>
      </c>
      <c r="AS37" s="68">
        <f t="shared" si="8"/>
        <v>0</v>
      </c>
      <c r="AT37" s="68">
        <f t="shared" si="8"/>
        <v>22.990000000000002</v>
      </c>
      <c r="AU37" s="68">
        <f t="shared" si="8"/>
        <v>50000</v>
      </c>
      <c r="AV37" s="68">
        <f t="shared" si="8"/>
        <v>366045</v>
      </c>
      <c r="AW37" s="68">
        <f t="shared" si="8"/>
        <v>7440</v>
      </c>
      <c r="AX37" s="68">
        <f t="shared" si="8"/>
        <v>4090000</v>
      </c>
      <c r="AY37" s="68">
        <f t="shared" si="8"/>
        <v>22400</v>
      </c>
      <c r="AZ37" s="68">
        <f t="shared" si="8"/>
        <v>0</v>
      </c>
      <c r="BA37" s="68">
        <f t="shared" si="8"/>
        <v>0</v>
      </c>
      <c r="BB37" s="68">
        <f t="shared" si="8"/>
        <v>330000</v>
      </c>
      <c r="BC37" s="68">
        <f t="shared" si="8"/>
        <v>140000</v>
      </c>
      <c r="BD37" s="83">
        <f t="shared" si="8"/>
        <v>50000</v>
      </c>
      <c r="BE37" s="83">
        <f t="shared" si="8"/>
        <v>0</v>
      </c>
      <c r="BF37" s="16"/>
      <c r="BG37" s="16"/>
      <c r="BH37" s="16"/>
      <c r="BI37" s="16"/>
      <c r="BJ37" s="16"/>
      <c r="BK37" s="16"/>
    </row>
    <row r="38" spans="1:63" ht="15.75" customHeight="1">
      <c r="A38" s="190">
        <v>8</v>
      </c>
      <c r="B38" s="191" t="s">
        <v>366</v>
      </c>
      <c r="C38" s="176">
        <f t="shared" ref="C38:BE38" si="9">C37/C$49</f>
        <v>5.5555555555555552E-2</v>
      </c>
      <c r="D38" s="177">
        <f t="shared" si="9"/>
        <v>0</v>
      </c>
      <c r="E38" s="177">
        <f t="shared" si="9"/>
        <v>0.66818181818181821</v>
      </c>
      <c r="F38" s="177">
        <f t="shared" si="9"/>
        <v>2.0421052631578949</v>
      </c>
      <c r="G38" s="177">
        <f t="shared" si="9"/>
        <v>0.4</v>
      </c>
      <c r="H38" s="177">
        <f t="shared" si="9"/>
        <v>0.105</v>
      </c>
      <c r="I38" s="177">
        <f t="shared" si="9"/>
        <v>0.1</v>
      </c>
      <c r="J38" s="177">
        <f t="shared" si="9"/>
        <v>0.27333333333333332</v>
      </c>
      <c r="K38" s="177">
        <f t="shared" si="9"/>
        <v>5.4545454545454543E-2</v>
      </c>
      <c r="L38" s="177">
        <f t="shared" si="9"/>
        <v>10.231578947368421</v>
      </c>
      <c r="M38" s="177">
        <f t="shared" si="9"/>
        <v>0.33333333333333331</v>
      </c>
      <c r="N38" s="177">
        <f t="shared" si="9"/>
        <v>0.91666666666666663</v>
      </c>
      <c r="O38" s="177">
        <f t="shared" si="9"/>
        <v>0.13600000000000001</v>
      </c>
      <c r="P38" s="177">
        <f t="shared" si="9"/>
        <v>0.47349999999999998</v>
      </c>
      <c r="Q38" s="177">
        <f t="shared" si="9"/>
        <v>2.7933333333333334</v>
      </c>
      <c r="R38" s="177">
        <f t="shared" si="9"/>
        <v>3.3333333333333333E-2</v>
      </c>
      <c r="S38" s="177">
        <f t="shared" si="9"/>
        <v>0.3</v>
      </c>
      <c r="T38" s="177">
        <f t="shared" si="9"/>
        <v>0</v>
      </c>
      <c r="U38" s="177">
        <f t="shared" si="9"/>
        <v>0.96875</v>
      </c>
      <c r="V38" s="177">
        <f t="shared" si="9"/>
        <v>3.8095238095238099E-2</v>
      </c>
      <c r="W38" s="177">
        <f t="shared" si="9"/>
        <v>1.6373333333333333</v>
      </c>
      <c r="X38" s="177">
        <f t="shared" si="9"/>
        <v>1.3333333333333333</v>
      </c>
      <c r="Y38" s="177">
        <f t="shared" si="9"/>
        <v>0.89930555555555558</v>
      </c>
      <c r="Z38" s="177">
        <f t="shared" si="9"/>
        <v>0.16666666666666666</v>
      </c>
      <c r="AA38" s="177">
        <f t="shared" si="9"/>
        <v>2.0833333333333333E-3</v>
      </c>
      <c r="AB38" s="177">
        <f t="shared" si="9"/>
        <v>0.5</v>
      </c>
      <c r="AC38" s="177">
        <f t="shared" si="9"/>
        <v>5.5555555555555558E-3</v>
      </c>
      <c r="AD38" s="177">
        <f t="shared" si="9"/>
        <v>0.5</v>
      </c>
      <c r="AE38" s="177">
        <f t="shared" si="9"/>
        <v>0.4</v>
      </c>
      <c r="AF38" s="177">
        <f t="shared" si="9"/>
        <v>2.3583333333333334</v>
      </c>
      <c r="AG38" s="177">
        <f t="shared" si="9"/>
        <v>0.30864197530864196</v>
      </c>
      <c r="AH38" s="177">
        <f t="shared" si="9"/>
        <v>0.2</v>
      </c>
      <c r="AI38" s="177">
        <f t="shared" si="9"/>
        <v>0.19047619047619047</v>
      </c>
      <c r="AJ38" s="177">
        <f t="shared" si="9"/>
        <v>0.12666666666666665</v>
      </c>
      <c r="AK38" s="177">
        <f t="shared" si="9"/>
        <v>1.8181818181818181</v>
      </c>
      <c r="AL38" s="177">
        <f t="shared" si="9"/>
        <v>0.32</v>
      </c>
      <c r="AM38" s="177">
        <f t="shared" si="9"/>
        <v>0.53600000000000003</v>
      </c>
      <c r="AN38" s="177">
        <f t="shared" si="9"/>
        <v>1.0666666666666667</v>
      </c>
      <c r="AO38" s="177">
        <f t="shared" si="9"/>
        <v>1.0497999999999998</v>
      </c>
      <c r="AP38" s="177">
        <f t="shared" si="9"/>
        <v>0</v>
      </c>
      <c r="AQ38" s="177">
        <f t="shared" si="9"/>
        <v>0.20791666666666667</v>
      </c>
      <c r="AR38" s="177">
        <f t="shared" si="9"/>
        <v>0.67307692307692302</v>
      </c>
      <c r="AS38" s="177">
        <f t="shared" si="9"/>
        <v>0</v>
      </c>
      <c r="AT38" s="177">
        <f t="shared" si="9"/>
        <v>2.2990000000000004</v>
      </c>
      <c r="AU38" s="177">
        <f t="shared" si="9"/>
        <v>0.04</v>
      </c>
      <c r="AV38" s="177">
        <f t="shared" si="9"/>
        <v>0.22184545454545454</v>
      </c>
      <c r="AW38" s="177">
        <f t="shared" si="9"/>
        <v>0.372</v>
      </c>
      <c r="AX38" s="177">
        <f t="shared" si="9"/>
        <v>1.3633333333333333</v>
      </c>
      <c r="AY38" s="177">
        <f t="shared" si="9"/>
        <v>7.4666666666666666E-3</v>
      </c>
      <c r="AZ38" s="177">
        <f t="shared" si="9"/>
        <v>0</v>
      </c>
      <c r="BA38" s="177">
        <f t="shared" si="9"/>
        <v>0</v>
      </c>
      <c r="BB38" s="177">
        <f t="shared" si="9"/>
        <v>0.22</v>
      </c>
      <c r="BC38" s="177">
        <f t="shared" si="9"/>
        <v>0.7</v>
      </c>
      <c r="BD38" s="179">
        <f t="shared" si="9"/>
        <v>0.27777777777777779</v>
      </c>
      <c r="BE38" s="179">
        <f t="shared" si="9"/>
        <v>0</v>
      </c>
      <c r="BF38" s="16"/>
      <c r="BG38" s="16"/>
      <c r="BH38" s="16"/>
      <c r="BI38" s="16"/>
      <c r="BJ38" s="16"/>
      <c r="BK38" s="16"/>
    </row>
    <row r="39" spans="1:63" ht="15.75" customHeight="1">
      <c r="A39" s="190">
        <v>9</v>
      </c>
      <c r="B39" s="191"/>
      <c r="C39" s="95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9"/>
      <c r="BE39" s="99"/>
      <c r="BF39" s="16"/>
      <c r="BG39" s="16"/>
      <c r="BH39" s="16"/>
      <c r="BI39" s="16"/>
      <c r="BJ39" s="16"/>
      <c r="BK39" s="16"/>
    </row>
    <row r="40" spans="1:63" ht="15.75" customHeight="1">
      <c r="A40" s="190">
        <v>10</v>
      </c>
      <c r="B40" s="191" t="s">
        <v>367</v>
      </c>
      <c r="C40" s="71">
        <f t="shared" ref="C40:BE40" si="10">C18*C19</f>
        <v>270000</v>
      </c>
      <c r="D40" s="68">
        <f t="shared" si="10"/>
        <v>0</v>
      </c>
      <c r="E40" s="68">
        <f t="shared" si="10"/>
        <v>2500</v>
      </c>
      <c r="F40" s="68">
        <f t="shared" si="10"/>
        <v>0</v>
      </c>
      <c r="G40" s="68">
        <f t="shared" si="10"/>
        <v>0</v>
      </c>
      <c r="H40" s="68">
        <f t="shared" si="10"/>
        <v>186.66666666666666</v>
      </c>
      <c r="I40" s="68">
        <f t="shared" si="10"/>
        <v>0</v>
      </c>
      <c r="J40" s="68">
        <f t="shared" si="10"/>
        <v>484000</v>
      </c>
      <c r="K40" s="68">
        <f t="shared" si="10"/>
        <v>4800000</v>
      </c>
      <c r="L40" s="68">
        <f t="shared" si="10"/>
        <v>0</v>
      </c>
      <c r="M40" s="68">
        <f t="shared" si="10"/>
        <v>638</v>
      </c>
      <c r="N40" s="68">
        <f t="shared" si="10"/>
        <v>500000</v>
      </c>
      <c r="O40" s="68">
        <f t="shared" si="10"/>
        <v>0</v>
      </c>
      <c r="P40" s="68">
        <f t="shared" si="10"/>
        <v>6290</v>
      </c>
      <c r="Q40" s="68">
        <f t="shared" si="10"/>
        <v>2500000</v>
      </c>
      <c r="R40" s="68">
        <f t="shared" si="10"/>
        <v>24857</v>
      </c>
      <c r="S40" s="68">
        <f t="shared" si="10"/>
        <v>712857</v>
      </c>
      <c r="T40" s="68">
        <f t="shared" si="10"/>
        <v>0</v>
      </c>
      <c r="U40" s="68">
        <f t="shared" si="10"/>
        <v>87750</v>
      </c>
      <c r="V40" s="68">
        <f t="shared" si="10"/>
        <v>33000</v>
      </c>
      <c r="W40" s="68">
        <f t="shared" si="10"/>
        <v>0</v>
      </c>
      <c r="X40" s="68">
        <f t="shared" si="10"/>
        <v>0</v>
      </c>
      <c r="Y40" s="68">
        <f t="shared" si="10"/>
        <v>800000</v>
      </c>
      <c r="Z40" s="68">
        <f t="shared" si="10"/>
        <v>0</v>
      </c>
      <c r="AA40" s="68">
        <f t="shared" si="10"/>
        <v>0</v>
      </c>
      <c r="AB40" s="68">
        <f t="shared" si="10"/>
        <v>0</v>
      </c>
      <c r="AC40" s="68">
        <f t="shared" si="10"/>
        <v>0</v>
      </c>
      <c r="AD40" s="68">
        <f t="shared" si="10"/>
        <v>0</v>
      </c>
      <c r="AE40" s="68">
        <f t="shared" si="10"/>
        <v>3480</v>
      </c>
      <c r="AF40" s="68">
        <f t="shared" si="10"/>
        <v>0</v>
      </c>
      <c r="AG40" s="68">
        <f t="shared" si="10"/>
        <v>0</v>
      </c>
      <c r="AH40" s="68">
        <f t="shared" si="10"/>
        <v>0</v>
      </c>
      <c r="AI40" s="68">
        <f t="shared" si="10"/>
        <v>0</v>
      </c>
      <c r="AJ40" s="68">
        <f t="shared" si="10"/>
        <v>614400</v>
      </c>
      <c r="AK40" s="68">
        <f t="shared" si="10"/>
        <v>0</v>
      </c>
      <c r="AL40" s="68">
        <f t="shared" si="10"/>
        <v>0</v>
      </c>
      <c r="AM40" s="68">
        <f t="shared" si="10"/>
        <v>80000</v>
      </c>
      <c r="AN40" s="68">
        <f t="shared" si="10"/>
        <v>0</v>
      </c>
      <c r="AO40" s="68">
        <f t="shared" si="10"/>
        <v>0</v>
      </c>
      <c r="AP40" s="68">
        <f t="shared" si="10"/>
        <v>0</v>
      </c>
      <c r="AQ40" s="68">
        <f t="shared" si="10"/>
        <v>0</v>
      </c>
      <c r="AR40" s="68">
        <f t="shared" si="10"/>
        <v>16</v>
      </c>
      <c r="AS40" s="68">
        <f t="shared" si="10"/>
        <v>0</v>
      </c>
      <c r="AT40" s="68">
        <f t="shared" si="10"/>
        <v>0</v>
      </c>
      <c r="AU40" s="68">
        <f t="shared" si="10"/>
        <v>0</v>
      </c>
      <c r="AV40" s="68">
        <f t="shared" si="10"/>
        <v>0</v>
      </c>
      <c r="AW40" s="68">
        <f t="shared" si="10"/>
        <v>4100</v>
      </c>
      <c r="AX40" s="68">
        <f t="shared" si="10"/>
        <v>368800</v>
      </c>
      <c r="AY40" s="68">
        <f t="shared" si="10"/>
        <v>20000</v>
      </c>
      <c r="AZ40" s="68">
        <f t="shared" si="10"/>
        <v>0</v>
      </c>
      <c r="BA40" s="68">
        <f t="shared" si="10"/>
        <v>0</v>
      </c>
      <c r="BB40" s="68">
        <f t="shared" si="10"/>
        <v>0</v>
      </c>
      <c r="BC40" s="68">
        <f t="shared" si="10"/>
        <v>0</v>
      </c>
      <c r="BD40" s="83">
        <f t="shared" si="10"/>
        <v>0</v>
      </c>
      <c r="BE40" s="83">
        <f t="shared" si="10"/>
        <v>0</v>
      </c>
      <c r="BF40" s="16"/>
      <c r="BG40" s="16"/>
      <c r="BH40" s="16"/>
      <c r="BI40" s="16"/>
      <c r="BJ40" s="16"/>
      <c r="BK40" s="16"/>
    </row>
    <row r="41" spans="1:63" ht="15.75" customHeight="1">
      <c r="A41" s="190">
        <v>11</v>
      </c>
      <c r="B41" s="191" t="s">
        <v>368</v>
      </c>
      <c r="C41" s="176">
        <f t="shared" ref="C41:BE41" si="11">C40/C$49</f>
        <v>0.15</v>
      </c>
      <c r="D41" s="177">
        <f t="shared" si="11"/>
        <v>0</v>
      </c>
      <c r="E41" s="177">
        <f t="shared" si="11"/>
        <v>0.22727272727272727</v>
      </c>
      <c r="F41" s="177">
        <f t="shared" si="11"/>
        <v>0</v>
      </c>
      <c r="G41" s="177">
        <f t="shared" si="11"/>
        <v>0</v>
      </c>
      <c r="H41" s="177">
        <f t="shared" si="11"/>
        <v>4.6666666666666662E-2</v>
      </c>
      <c r="I41" s="177">
        <f t="shared" si="11"/>
        <v>0</v>
      </c>
      <c r="J41" s="177">
        <f t="shared" si="11"/>
        <v>1.6133333333333333</v>
      </c>
      <c r="K41" s="177">
        <f t="shared" si="11"/>
        <v>0.43636363636363634</v>
      </c>
      <c r="L41" s="177">
        <f t="shared" si="11"/>
        <v>0</v>
      </c>
      <c r="M41" s="177">
        <f t="shared" si="11"/>
        <v>0.21266666666666667</v>
      </c>
      <c r="N41" s="177">
        <f t="shared" si="11"/>
        <v>0.83333333333333337</v>
      </c>
      <c r="O41" s="177">
        <f t="shared" si="11"/>
        <v>0</v>
      </c>
      <c r="P41" s="177">
        <f t="shared" si="11"/>
        <v>0.15725</v>
      </c>
      <c r="Q41" s="177">
        <f t="shared" si="11"/>
        <v>2.0833333333333335</v>
      </c>
      <c r="R41" s="177">
        <f t="shared" si="11"/>
        <v>0.10357083333333333</v>
      </c>
      <c r="S41" s="177">
        <f t="shared" si="11"/>
        <v>0.71285699999999996</v>
      </c>
      <c r="T41" s="177">
        <f t="shared" si="11"/>
        <v>0</v>
      </c>
      <c r="U41" s="177">
        <f t="shared" si="11"/>
        <v>0.43874999999999997</v>
      </c>
      <c r="V41" s="177">
        <f t="shared" si="11"/>
        <v>0.62857142857142856</v>
      </c>
      <c r="W41" s="177">
        <f t="shared" si="11"/>
        <v>0</v>
      </c>
      <c r="X41" s="177">
        <f t="shared" si="11"/>
        <v>0</v>
      </c>
      <c r="Y41" s="177">
        <f t="shared" si="11"/>
        <v>0.44444444444444442</v>
      </c>
      <c r="Z41" s="177">
        <f t="shared" si="11"/>
        <v>0</v>
      </c>
      <c r="AA41" s="177">
        <f t="shared" si="11"/>
        <v>0</v>
      </c>
      <c r="AB41" s="177">
        <f t="shared" si="11"/>
        <v>0</v>
      </c>
      <c r="AC41" s="177">
        <f t="shared" si="11"/>
        <v>0</v>
      </c>
      <c r="AD41" s="177">
        <f t="shared" si="11"/>
        <v>0</v>
      </c>
      <c r="AE41" s="177">
        <f t="shared" si="11"/>
        <v>0.69599999999999995</v>
      </c>
      <c r="AF41" s="177">
        <f t="shared" si="11"/>
        <v>0</v>
      </c>
      <c r="AG41" s="177">
        <f t="shared" si="11"/>
        <v>0</v>
      </c>
      <c r="AH41" s="177">
        <f t="shared" si="11"/>
        <v>0</v>
      </c>
      <c r="AI41" s="177">
        <f t="shared" si="11"/>
        <v>0</v>
      </c>
      <c r="AJ41" s="177">
        <f t="shared" si="11"/>
        <v>1.536</v>
      </c>
      <c r="AK41" s="177">
        <f t="shared" si="11"/>
        <v>0</v>
      </c>
      <c r="AL41" s="177">
        <f t="shared" si="11"/>
        <v>0</v>
      </c>
      <c r="AM41" s="177">
        <f t="shared" si="11"/>
        <v>0.16</v>
      </c>
      <c r="AN41" s="177">
        <f t="shared" si="11"/>
        <v>0</v>
      </c>
      <c r="AO41" s="177">
        <f t="shared" si="11"/>
        <v>0</v>
      </c>
      <c r="AP41" s="177">
        <f t="shared" si="11"/>
        <v>0</v>
      </c>
      <c r="AQ41" s="177">
        <f t="shared" si="11"/>
        <v>0</v>
      </c>
      <c r="AR41" s="177">
        <f t="shared" si="11"/>
        <v>1.5384615384615383</v>
      </c>
      <c r="AS41" s="177">
        <f t="shared" si="11"/>
        <v>0</v>
      </c>
      <c r="AT41" s="177">
        <f t="shared" si="11"/>
        <v>0</v>
      </c>
      <c r="AU41" s="177">
        <f t="shared" si="11"/>
        <v>0</v>
      </c>
      <c r="AV41" s="177">
        <f t="shared" si="11"/>
        <v>0</v>
      </c>
      <c r="AW41" s="177">
        <f t="shared" si="11"/>
        <v>0.20499999999999999</v>
      </c>
      <c r="AX41" s="177">
        <f t="shared" si="11"/>
        <v>0.12293333333333334</v>
      </c>
      <c r="AY41" s="177">
        <f t="shared" si="11"/>
        <v>6.6666666666666671E-3</v>
      </c>
      <c r="AZ41" s="177">
        <f t="shared" si="11"/>
        <v>0</v>
      </c>
      <c r="BA41" s="177">
        <f t="shared" si="11"/>
        <v>0</v>
      </c>
      <c r="BB41" s="177">
        <f t="shared" si="11"/>
        <v>0</v>
      </c>
      <c r="BC41" s="177">
        <f t="shared" si="11"/>
        <v>0</v>
      </c>
      <c r="BD41" s="179">
        <f t="shared" si="11"/>
        <v>0</v>
      </c>
      <c r="BE41" s="179">
        <f t="shared" si="11"/>
        <v>0</v>
      </c>
      <c r="BF41" s="16"/>
      <c r="BG41" s="16"/>
      <c r="BH41" s="16"/>
      <c r="BI41" s="16"/>
      <c r="BJ41" s="16"/>
      <c r="BK41" s="16"/>
    </row>
    <row r="42" spans="1:63" ht="15.75" customHeight="1">
      <c r="A42" s="190">
        <v>12</v>
      </c>
      <c r="B42" s="191"/>
      <c r="C42" s="1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9"/>
      <c r="BE42" s="179"/>
      <c r="BF42" s="16"/>
      <c r="BG42" s="16"/>
      <c r="BH42" s="16"/>
      <c r="BI42" s="16"/>
      <c r="BJ42" s="16"/>
      <c r="BK42" s="16"/>
    </row>
    <row r="43" spans="1:63" ht="15.75" customHeight="1">
      <c r="A43" s="190">
        <v>13</v>
      </c>
      <c r="B43" s="191" t="s">
        <v>369</v>
      </c>
      <c r="C43" s="71">
        <f t="shared" ref="C43:BE43" si="12">C22*C23</f>
        <v>1600000</v>
      </c>
      <c r="D43" s="68">
        <f t="shared" si="12"/>
        <v>0</v>
      </c>
      <c r="E43" s="68">
        <f t="shared" si="12"/>
        <v>16560</v>
      </c>
      <c r="F43" s="68">
        <f t="shared" si="12"/>
        <v>0</v>
      </c>
      <c r="G43" s="68">
        <f t="shared" si="12"/>
        <v>0</v>
      </c>
      <c r="H43" s="68">
        <f t="shared" si="12"/>
        <v>0</v>
      </c>
      <c r="I43" s="68">
        <f t="shared" si="12"/>
        <v>0</v>
      </c>
      <c r="J43" s="68">
        <f t="shared" si="12"/>
        <v>0</v>
      </c>
      <c r="K43" s="68">
        <f t="shared" si="12"/>
        <v>0</v>
      </c>
      <c r="L43" s="68">
        <f t="shared" si="12"/>
        <v>0</v>
      </c>
      <c r="M43" s="68">
        <f t="shared" si="12"/>
        <v>100</v>
      </c>
      <c r="N43" s="68">
        <f t="shared" si="12"/>
        <v>0</v>
      </c>
      <c r="O43" s="68">
        <f t="shared" si="12"/>
        <v>0</v>
      </c>
      <c r="P43" s="68">
        <f t="shared" si="12"/>
        <v>1333.3333333333333</v>
      </c>
      <c r="Q43" s="68">
        <f t="shared" si="12"/>
        <v>0</v>
      </c>
      <c r="R43" s="68">
        <f t="shared" si="12"/>
        <v>0</v>
      </c>
      <c r="S43" s="68">
        <f t="shared" si="12"/>
        <v>1200000</v>
      </c>
      <c r="T43" s="68">
        <f t="shared" si="12"/>
        <v>0</v>
      </c>
      <c r="U43" s="68">
        <f t="shared" si="12"/>
        <v>396000</v>
      </c>
      <c r="V43" s="68">
        <f t="shared" si="12"/>
        <v>0</v>
      </c>
      <c r="W43" s="68">
        <f t="shared" si="12"/>
        <v>0</v>
      </c>
      <c r="X43" s="68">
        <f t="shared" si="12"/>
        <v>0</v>
      </c>
      <c r="Y43" s="68">
        <f t="shared" si="12"/>
        <v>0</v>
      </c>
      <c r="Z43" s="68">
        <f t="shared" si="12"/>
        <v>0</v>
      </c>
      <c r="AA43" s="68">
        <f t="shared" si="12"/>
        <v>0</v>
      </c>
      <c r="AB43" s="68">
        <f t="shared" si="12"/>
        <v>0</v>
      </c>
      <c r="AC43" s="68">
        <f t="shared" si="12"/>
        <v>0</v>
      </c>
      <c r="AD43" s="68">
        <f t="shared" si="12"/>
        <v>0</v>
      </c>
      <c r="AE43" s="68">
        <f t="shared" si="12"/>
        <v>1000</v>
      </c>
      <c r="AF43" s="68">
        <f t="shared" si="12"/>
        <v>0</v>
      </c>
      <c r="AG43" s="68">
        <f t="shared" si="12"/>
        <v>0</v>
      </c>
      <c r="AH43" s="68">
        <f t="shared" si="12"/>
        <v>0</v>
      </c>
      <c r="AI43" s="68">
        <f t="shared" si="12"/>
        <v>0</v>
      </c>
      <c r="AJ43" s="68">
        <f t="shared" si="12"/>
        <v>0</v>
      </c>
      <c r="AK43" s="68">
        <f t="shared" si="12"/>
        <v>0</v>
      </c>
      <c r="AL43" s="68">
        <f t="shared" si="12"/>
        <v>0</v>
      </c>
      <c r="AM43" s="68">
        <f t="shared" si="12"/>
        <v>0</v>
      </c>
      <c r="AN43" s="68">
        <f t="shared" si="12"/>
        <v>0</v>
      </c>
      <c r="AO43" s="68">
        <f t="shared" si="12"/>
        <v>0</v>
      </c>
      <c r="AP43" s="68">
        <f t="shared" si="12"/>
        <v>0</v>
      </c>
      <c r="AQ43" s="68">
        <f t="shared" si="12"/>
        <v>0</v>
      </c>
      <c r="AR43" s="68">
        <f t="shared" si="12"/>
        <v>0</v>
      </c>
      <c r="AS43" s="68">
        <f t="shared" si="12"/>
        <v>0</v>
      </c>
      <c r="AT43" s="68">
        <f t="shared" si="12"/>
        <v>0</v>
      </c>
      <c r="AU43" s="68">
        <f t="shared" si="12"/>
        <v>0</v>
      </c>
      <c r="AV43" s="68">
        <f t="shared" si="12"/>
        <v>0</v>
      </c>
      <c r="AW43" s="68">
        <f t="shared" si="12"/>
        <v>0</v>
      </c>
      <c r="AX43" s="68">
        <f t="shared" si="12"/>
        <v>0</v>
      </c>
      <c r="AY43" s="68">
        <f t="shared" si="12"/>
        <v>0</v>
      </c>
      <c r="AZ43" s="68">
        <f t="shared" si="12"/>
        <v>0</v>
      </c>
      <c r="BA43" s="68">
        <f t="shared" si="12"/>
        <v>0</v>
      </c>
      <c r="BB43" s="68">
        <f t="shared" si="12"/>
        <v>0</v>
      </c>
      <c r="BC43" s="68">
        <f t="shared" si="12"/>
        <v>0</v>
      </c>
      <c r="BD43" s="83">
        <f t="shared" si="12"/>
        <v>0</v>
      </c>
      <c r="BE43" s="83">
        <f t="shared" si="12"/>
        <v>0</v>
      </c>
      <c r="BF43" s="16"/>
      <c r="BG43" s="16"/>
      <c r="BH43" s="16"/>
      <c r="BI43" s="16"/>
      <c r="BJ43" s="16"/>
      <c r="BK43" s="16"/>
    </row>
    <row r="44" spans="1:63" ht="15.75" customHeight="1">
      <c r="A44" s="190">
        <v>14</v>
      </c>
      <c r="B44" s="191" t="s">
        <v>370</v>
      </c>
      <c r="C44" s="176">
        <f t="shared" ref="C44:BE44" si="13">C43/C$49</f>
        <v>0.88888888888888884</v>
      </c>
      <c r="D44" s="177">
        <f t="shared" si="13"/>
        <v>0</v>
      </c>
      <c r="E44" s="177">
        <f t="shared" si="13"/>
        <v>1.5054545454545454</v>
      </c>
      <c r="F44" s="177">
        <f t="shared" si="13"/>
        <v>0</v>
      </c>
      <c r="G44" s="177">
        <f t="shared" si="13"/>
        <v>0</v>
      </c>
      <c r="H44" s="177">
        <f t="shared" si="13"/>
        <v>0</v>
      </c>
      <c r="I44" s="177">
        <f t="shared" si="13"/>
        <v>0</v>
      </c>
      <c r="J44" s="177">
        <f t="shared" si="13"/>
        <v>0</v>
      </c>
      <c r="K44" s="177">
        <f t="shared" si="13"/>
        <v>0</v>
      </c>
      <c r="L44" s="177">
        <f t="shared" si="13"/>
        <v>0</v>
      </c>
      <c r="M44" s="177">
        <f t="shared" si="13"/>
        <v>3.3333333333333333E-2</v>
      </c>
      <c r="N44" s="177">
        <f t="shared" si="13"/>
        <v>0</v>
      </c>
      <c r="O44" s="177">
        <f t="shared" si="13"/>
        <v>0</v>
      </c>
      <c r="P44" s="177">
        <f t="shared" si="13"/>
        <v>3.3333333333333333E-2</v>
      </c>
      <c r="Q44" s="177">
        <f t="shared" si="13"/>
        <v>0</v>
      </c>
      <c r="R44" s="177">
        <f t="shared" si="13"/>
        <v>0</v>
      </c>
      <c r="S44" s="177">
        <f t="shared" si="13"/>
        <v>1.2</v>
      </c>
      <c r="T44" s="177">
        <f t="shared" si="13"/>
        <v>0</v>
      </c>
      <c r="U44" s="177">
        <f t="shared" si="13"/>
        <v>1.98</v>
      </c>
      <c r="V44" s="177">
        <f t="shared" si="13"/>
        <v>0</v>
      </c>
      <c r="W44" s="177">
        <f t="shared" si="13"/>
        <v>0</v>
      </c>
      <c r="X44" s="177">
        <f t="shared" si="13"/>
        <v>0</v>
      </c>
      <c r="Y44" s="177">
        <f t="shared" si="13"/>
        <v>0</v>
      </c>
      <c r="Z44" s="177">
        <f t="shared" si="13"/>
        <v>0</v>
      </c>
      <c r="AA44" s="177">
        <f t="shared" si="13"/>
        <v>0</v>
      </c>
      <c r="AB44" s="177">
        <f t="shared" si="13"/>
        <v>0</v>
      </c>
      <c r="AC44" s="177">
        <f t="shared" si="13"/>
        <v>0</v>
      </c>
      <c r="AD44" s="177">
        <f t="shared" si="13"/>
        <v>0</v>
      </c>
      <c r="AE44" s="177">
        <f t="shared" si="13"/>
        <v>0.2</v>
      </c>
      <c r="AF44" s="177">
        <f t="shared" si="13"/>
        <v>0</v>
      </c>
      <c r="AG44" s="177">
        <f t="shared" si="13"/>
        <v>0</v>
      </c>
      <c r="AH44" s="177">
        <f t="shared" si="13"/>
        <v>0</v>
      </c>
      <c r="AI44" s="177">
        <f t="shared" si="13"/>
        <v>0</v>
      </c>
      <c r="AJ44" s="177">
        <f t="shared" si="13"/>
        <v>0</v>
      </c>
      <c r="AK44" s="177">
        <f t="shared" si="13"/>
        <v>0</v>
      </c>
      <c r="AL44" s="177">
        <f t="shared" si="13"/>
        <v>0</v>
      </c>
      <c r="AM44" s="177">
        <f t="shared" si="13"/>
        <v>0</v>
      </c>
      <c r="AN44" s="177">
        <f t="shared" si="13"/>
        <v>0</v>
      </c>
      <c r="AO44" s="177">
        <f t="shared" si="13"/>
        <v>0</v>
      </c>
      <c r="AP44" s="177">
        <f t="shared" si="13"/>
        <v>0</v>
      </c>
      <c r="AQ44" s="177">
        <f t="shared" si="13"/>
        <v>0</v>
      </c>
      <c r="AR44" s="177">
        <f t="shared" si="13"/>
        <v>0</v>
      </c>
      <c r="AS44" s="177">
        <f t="shared" si="13"/>
        <v>0</v>
      </c>
      <c r="AT44" s="177">
        <f t="shared" si="13"/>
        <v>0</v>
      </c>
      <c r="AU44" s="177">
        <f t="shared" si="13"/>
        <v>0</v>
      </c>
      <c r="AV44" s="177">
        <f t="shared" si="13"/>
        <v>0</v>
      </c>
      <c r="AW44" s="177">
        <f t="shared" si="13"/>
        <v>0</v>
      </c>
      <c r="AX44" s="177">
        <f t="shared" si="13"/>
        <v>0</v>
      </c>
      <c r="AY44" s="177">
        <f t="shared" si="13"/>
        <v>0</v>
      </c>
      <c r="AZ44" s="177">
        <f t="shared" si="13"/>
        <v>0</v>
      </c>
      <c r="BA44" s="177">
        <f t="shared" si="13"/>
        <v>0</v>
      </c>
      <c r="BB44" s="177">
        <f t="shared" si="13"/>
        <v>0</v>
      </c>
      <c r="BC44" s="177">
        <f t="shared" si="13"/>
        <v>0</v>
      </c>
      <c r="BD44" s="179">
        <f t="shared" si="13"/>
        <v>0</v>
      </c>
      <c r="BE44" s="179">
        <f t="shared" si="13"/>
        <v>0</v>
      </c>
      <c r="BF44" s="16"/>
      <c r="BG44" s="16"/>
      <c r="BH44" s="16"/>
      <c r="BI44" s="16"/>
      <c r="BJ44" s="16"/>
      <c r="BK44" s="16"/>
    </row>
    <row r="45" spans="1:63" ht="15.75" customHeight="1">
      <c r="A45" s="190">
        <v>15</v>
      </c>
      <c r="B45" s="191"/>
      <c r="C45" s="95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9"/>
      <c r="BE45" s="99"/>
      <c r="BF45" s="16"/>
      <c r="BG45" s="16"/>
      <c r="BH45" s="16"/>
      <c r="BI45" s="16"/>
      <c r="BJ45" s="16"/>
      <c r="BK45" s="16"/>
    </row>
    <row r="46" spans="1:63" ht="15.75" customHeight="1">
      <c r="A46" s="190">
        <v>16</v>
      </c>
      <c r="B46" s="191" t="s">
        <v>371</v>
      </c>
      <c r="C46" s="71">
        <f t="shared" ref="C46:BE46" si="14">C34+C37+C40+C43</f>
        <v>2778000</v>
      </c>
      <c r="D46" s="68">
        <f t="shared" si="14"/>
        <v>178000</v>
      </c>
      <c r="E46" s="68">
        <f t="shared" si="14"/>
        <v>69010</v>
      </c>
      <c r="F46" s="68">
        <f t="shared" si="14"/>
        <v>34170</v>
      </c>
      <c r="G46" s="68">
        <f t="shared" si="14"/>
        <v>81800</v>
      </c>
      <c r="H46" s="68">
        <f t="shared" si="14"/>
        <v>1106.6666666666667</v>
      </c>
      <c r="I46" s="68">
        <f t="shared" si="14"/>
        <v>1202400</v>
      </c>
      <c r="J46" s="68">
        <f t="shared" si="14"/>
        <v>738400</v>
      </c>
      <c r="K46" s="68">
        <f t="shared" si="14"/>
        <v>5761000</v>
      </c>
      <c r="L46" s="68">
        <f t="shared" si="14"/>
        <v>1102000</v>
      </c>
      <c r="M46" s="68">
        <f t="shared" si="14"/>
        <v>2518</v>
      </c>
      <c r="N46" s="68">
        <f t="shared" si="14"/>
        <v>2302500</v>
      </c>
      <c r="O46" s="68">
        <f t="shared" si="14"/>
        <v>324260</v>
      </c>
      <c r="P46" s="68">
        <f t="shared" si="14"/>
        <v>34063.333333333336</v>
      </c>
      <c r="Q46" s="68">
        <f t="shared" si="14"/>
        <v>6166000</v>
      </c>
      <c r="R46" s="68">
        <f t="shared" si="14"/>
        <v>73065.600000000006</v>
      </c>
      <c r="S46" s="68">
        <f t="shared" si="14"/>
        <v>3412857</v>
      </c>
      <c r="T46" s="68">
        <f t="shared" si="14"/>
        <v>1280000</v>
      </c>
      <c r="U46" s="68">
        <f t="shared" si="14"/>
        <v>1067500</v>
      </c>
      <c r="V46" s="68">
        <f t="shared" si="14"/>
        <v>35000</v>
      </c>
      <c r="W46" s="68">
        <f t="shared" si="14"/>
        <v>4289600</v>
      </c>
      <c r="X46" s="68">
        <f t="shared" si="14"/>
        <v>3500</v>
      </c>
      <c r="Y46" s="68">
        <f t="shared" si="14"/>
        <v>4118750</v>
      </c>
      <c r="Z46" s="68">
        <f t="shared" si="14"/>
        <v>45000</v>
      </c>
      <c r="AA46" s="68">
        <f t="shared" si="14"/>
        <v>1280</v>
      </c>
      <c r="AB46" s="68">
        <f t="shared" si="14"/>
        <v>254500</v>
      </c>
      <c r="AC46" s="68">
        <f t="shared" si="14"/>
        <v>686.8</v>
      </c>
      <c r="AD46" s="68">
        <f t="shared" si="14"/>
        <v>10960</v>
      </c>
      <c r="AE46" s="68">
        <f t="shared" si="14"/>
        <v>7480</v>
      </c>
      <c r="AF46" s="68">
        <f t="shared" si="14"/>
        <v>6122000</v>
      </c>
      <c r="AG46" s="68">
        <f t="shared" si="14"/>
        <v>1560</v>
      </c>
      <c r="AH46" s="68">
        <f t="shared" si="14"/>
        <v>3800</v>
      </c>
      <c r="AI46" s="68">
        <f t="shared" si="14"/>
        <v>814000</v>
      </c>
      <c r="AJ46" s="68">
        <f t="shared" si="14"/>
        <v>887066.66666666674</v>
      </c>
      <c r="AK46" s="68">
        <f t="shared" si="14"/>
        <v>798800</v>
      </c>
      <c r="AL46" s="68">
        <f t="shared" si="14"/>
        <v>2792000</v>
      </c>
      <c r="AM46" s="68">
        <f t="shared" si="14"/>
        <v>378000</v>
      </c>
      <c r="AN46" s="68">
        <f t="shared" si="14"/>
        <v>23.484863636363638</v>
      </c>
      <c r="AO46" s="68">
        <f t="shared" si="14"/>
        <v>76.2</v>
      </c>
      <c r="AP46" s="68">
        <f t="shared" si="14"/>
        <v>226.76923076923077</v>
      </c>
      <c r="AQ46" s="68">
        <f t="shared" si="14"/>
        <v>21.372250000000001</v>
      </c>
      <c r="AR46" s="68">
        <f t="shared" si="14"/>
        <v>26.891946666666666</v>
      </c>
      <c r="AS46" s="68">
        <f t="shared" si="14"/>
        <v>14</v>
      </c>
      <c r="AT46" s="68">
        <f t="shared" si="14"/>
        <v>39.386000000000003</v>
      </c>
      <c r="AU46" s="68">
        <f t="shared" si="14"/>
        <v>315000</v>
      </c>
      <c r="AV46" s="68">
        <f t="shared" si="14"/>
        <v>366045</v>
      </c>
      <c r="AW46" s="68">
        <f t="shared" si="14"/>
        <v>12540</v>
      </c>
      <c r="AX46" s="68">
        <f t="shared" si="14"/>
        <v>4524800</v>
      </c>
      <c r="AY46" s="68">
        <f t="shared" si="14"/>
        <v>77900</v>
      </c>
      <c r="AZ46" s="68">
        <f t="shared" si="14"/>
        <v>5400</v>
      </c>
      <c r="BA46" s="68">
        <f t="shared" si="14"/>
        <v>522</v>
      </c>
      <c r="BB46" s="68">
        <f t="shared" si="14"/>
        <v>1465157.2</v>
      </c>
      <c r="BC46" s="68">
        <f t="shared" si="14"/>
        <v>285619.93047508691</v>
      </c>
      <c r="BD46" s="83">
        <f t="shared" si="14"/>
        <v>100000</v>
      </c>
      <c r="BE46" s="83">
        <f t="shared" si="14"/>
        <v>310666.66666666663</v>
      </c>
      <c r="BF46" s="16"/>
      <c r="BG46" s="16"/>
      <c r="BH46" s="16"/>
      <c r="BI46" s="16"/>
      <c r="BJ46" s="16"/>
      <c r="BK46" s="16"/>
    </row>
    <row r="47" spans="1:63" ht="15.75" customHeight="1">
      <c r="A47" s="190">
        <v>17</v>
      </c>
      <c r="B47" s="191" t="s">
        <v>372</v>
      </c>
      <c r="C47" s="176">
        <f t="shared" ref="C47:BE47" si="15">C46/C49</f>
        <v>1.5433333333333332</v>
      </c>
      <c r="D47" s="177">
        <f t="shared" si="15"/>
        <v>1.4239999999999999</v>
      </c>
      <c r="E47" s="177">
        <f t="shared" si="15"/>
        <v>6.2736363636363635</v>
      </c>
      <c r="F47" s="177">
        <f t="shared" si="15"/>
        <v>2.9973684210526317</v>
      </c>
      <c r="G47" s="177">
        <f t="shared" si="15"/>
        <v>0.81799999999999995</v>
      </c>
      <c r="H47" s="177">
        <f t="shared" si="15"/>
        <v>0.27666666666666667</v>
      </c>
      <c r="I47" s="177">
        <f t="shared" si="15"/>
        <v>0.60119999999999996</v>
      </c>
      <c r="J47" s="177">
        <f t="shared" si="15"/>
        <v>2.4613333333333332</v>
      </c>
      <c r="K47" s="177">
        <f t="shared" si="15"/>
        <v>0.52372727272727271</v>
      </c>
      <c r="L47" s="177">
        <f t="shared" si="15"/>
        <v>11.6</v>
      </c>
      <c r="M47" s="177">
        <f t="shared" si="15"/>
        <v>0.83933333333333338</v>
      </c>
      <c r="N47" s="177">
        <f t="shared" si="15"/>
        <v>3.8374999999999999</v>
      </c>
      <c r="O47" s="177">
        <f t="shared" si="15"/>
        <v>0.32425999999999999</v>
      </c>
      <c r="P47" s="177">
        <f t="shared" si="15"/>
        <v>0.85158333333333336</v>
      </c>
      <c r="Q47" s="177">
        <f t="shared" si="15"/>
        <v>5.1383333333333336</v>
      </c>
      <c r="R47" s="177">
        <f t="shared" si="15"/>
        <v>0.30444000000000004</v>
      </c>
      <c r="S47" s="177">
        <f t="shared" si="15"/>
        <v>3.4128569999999998</v>
      </c>
      <c r="T47" s="177">
        <f t="shared" si="15"/>
        <v>0.60767185719711359</v>
      </c>
      <c r="U47" s="177">
        <f t="shared" si="15"/>
        <v>5.3375000000000004</v>
      </c>
      <c r="V47" s="177">
        <f t="shared" si="15"/>
        <v>0.66666666666666663</v>
      </c>
      <c r="W47" s="177">
        <f t="shared" si="15"/>
        <v>1.7873333333333334</v>
      </c>
      <c r="X47" s="177">
        <f t="shared" si="15"/>
        <v>2.3333333333333335</v>
      </c>
      <c r="Y47" s="177">
        <f t="shared" si="15"/>
        <v>2.2881944444444446</v>
      </c>
      <c r="Z47" s="177">
        <f t="shared" si="15"/>
        <v>0.5</v>
      </c>
      <c r="AA47" s="177">
        <f t="shared" si="15"/>
        <v>4.4444444444444446E-2</v>
      </c>
      <c r="AB47" s="177">
        <f t="shared" si="15"/>
        <v>0.79531249999999998</v>
      </c>
      <c r="AC47" s="177">
        <f t="shared" si="15"/>
        <v>1.9077777777777777E-2</v>
      </c>
      <c r="AD47" s="177">
        <f t="shared" si="15"/>
        <v>1.3236714975845412</v>
      </c>
      <c r="AE47" s="177">
        <f t="shared" si="15"/>
        <v>1.496</v>
      </c>
      <c r="AF47" s="177">
        <f t="shared" si="15"/>
        <v>2.5508333333333333</v>
      </c>
      <c r="AG47" s="177">
        <f t="shared" si="15"/>
        <v>0.48148148148148145</v>
      </c>
      <c r="AH47" s="177">
        <f t="shared" si="15"/>
        <v>1.9</v>
      </c>
      <c r="AI47" s="177">
        <f t="shared" si="15"/>
        <v>0.51682539682539685</v>
      </c>
      <c r="AJ47" s="177">
        <f t="shared" si="15"/>
        <v>2.2176666666666667</v>
      </c>
      <c r="AK47" s="177">
        <f t="shared" si="15"/>
        <v>2.0748051948051947</v>
      </c>
      <c r="AL47" s="177">
        <f t="shared" si="15"/>
        <v>1.1168</v>
      </c>
      <c r="AM47" s="177">
        <f t="shared" si="15"/>
        <v>0.75600000000000001</v>
      </c>
      <c r="AN47" s="177">
        <f t="shared" si="15"/>
        <v>1.5656575757575759</v>
      </c>
      <c r="AO47" s="177">
        <f t="shared" si="15"/>
        <v>3.81</v>
      </c>
      <c r="AP47" s="177">
        <f t="shared" si="15"/>
        <v>2.2676923076923079</v>
      </c>
      <c r="AQ47" s="177">
        <f t="shared" si="15"/>
        <v>3.2382196969696975</v>
      </c>
      <c r="AR47" s="177">
        <f t="shared" si="15"/>
        <v>2.5857641025641023</v>
      </c>
      <c r="AS47" s="177">
        <f t="shared" si="15"/>
        <v>1.75</v>
      </c>
      <c r="AT47" s="177">
        <f t="shared" si="15"/>
        <v>3.9386000000000001</v>
      </c>
      <c r="AU47" s="177">
        <f t="shared" si="15"/>
        <v>0.252</v>
      </c>
      <c r="AV47" s="177">
        <f t="shared" si="15"/>
        <v>0.22184545454545454</v>
      </c>
      <c r="AW47" s="177">
        <f t="shared" si="15"/>
        <v>0.627</v>
      </c>
      <c r="AX47" s="177">
        <f t="shared" si="15"/>
        <v>1.5082666666666666</v>
      </c>
      <c r="AY47" s="177">
        <f t="shared" si="15"/>
        <v>2.5966666666666666E-2</v>
      </c>
      <c r="AZ47" s="177">
        <f t="shared" si="15"/>
        <v>5.4000000000000003E-3</v>
      </c>
      <c r="BA47" s="177">
        <f t="shared" si="15"/>
        <v>1.3050000000000001E-2</v>
      </c>
      <c r="BB47" s="177">
        <f t="shared" si="15"/>
        <v>0.97677146666666659</v>
      </c>
      <c r="BC47" s="177">
        <f t="shared" si="15"/>
        <v>1.4280996523754346</v>
      </c>
      <c r="BD47" s="179">
        <f t="shared" si="15"/>
        <v>0.55555555555555558</v>
      </c>
      <c r="BE47" s="179">
        <f t="shared" si="15"/>
        <v>1.5533333333333332</v>
      </c>
      <c r="BF47" s="16"/>
      <c r="BG47" s="16"/>
      <c r="BH47" s="16"/>
      <c r="BI47" s="16"/>
      <c r="BJ47" s="16"/>
      <c r="BK47" s="16"/>
    </row>
    <row r="48" spans="1:63" ht="15.75" customHeight="1">
      <c r="A48" s="190">
        <v>18</v>
      </c>
      <c r="B48" s="222"/>
      <c r="C48" s="95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9"/>
      <c r="BE48" s="99"/>
      <c r="BF48" s="16"/>
      <c r="BG48" s="16"/>
      <c r="BH48" s="16"/>
      <c r="BI48" s="16"/>
      <c r="BJ48" s="16"/>
      <c r="BK48" s="16"/>
    </row>
    <row r="49" spans="1:63" ht="15.75" customHeight="1">
      <c r="A49" s="190">
        <v>19</v>
      </c>
      <c r="B49" s="191" t="s">
        <v>373</v>
      </c>
      <c r="C49" s="71">
        <f t="shared" ref="C49:BE49" si="16">C25/C26</f>
        <v>1800000</v>
      </c>
      <c r="D49" s="68">
        <f t="shared" si="16"/>
        <v>125000</v>
      </c>
      <c r="E49" s="68">
        <f t="shared" si="16"/>
        <v>11000</v>
      </c>
      <c r="F49" s="68">
        <f t="shared" si="16"/>
        <v>11400</v>
      </c>
      <c r="G49" s="68">
        <f t="shared" si="16"/>
        <v>100000</v>
      </c>
      <c r="H49" s="68">
        <f t="shared" si="16"/>
        <v>4000</v>
      </c>
      <c r="I49" s="68">
        <f t="shared" si="16"/>
        <v>2000000</v>
      </c>
      <c r="J49" s="68">
        <f t="shared" si="16"/>
        <v>300000</v>
      </c>
      <c r="K49" s="68">
        <f t="shared" si="16"/>
        <v>11000000</v>
      </c>
      <c r="L49" s="68">
        <f t="shared" si="16"/>
        <v>95000</v>
      </c>
      <c r="M49" s="68">
        <f t="shared" si="16"/>
        <v>3000</v>
      </c>
      <c r="N49" s="68">
        <f t="shared" si="16"/>
        <v>600000</v>
      </c>
      <c r="O49" s="68">
        <f t="shared" si="16"/>
        <v>1000000</v>
      </c>
      <c r="P49" s="68">
        <f t="shared" si="16"/>
        <v>40000</v>
      </c>
      <c r="Q49" s="68">
        <f t="shared" si="16"/>
        <v>1200000</v>
      </c>
      <c r="R49" s="68">
        <f t="shared" si="16"/>
        <v>240000</v>
      </c>
      <c r="S49" s="68">
        <f t="shared" si="16"/>
        <v>1000000</v>
      </c>
      <c r="T49" s="68">
        <f t="shared" si="16"/>
        <v>2106400</v>
      </c>
      <c r="U49" s="68">
        <f t="shared" si="16"/>
        <v>200000</v>
      </c>
      <c r="V49" s="68">
        <f t="shared" si="16"/>
        <v>52500</v>
      </c>
      <c r="W49" s="68">
        <f t="shared" si="16"/>
        <v>2400000</v>
      </c>
      <c r="X49" s="68">
        <f t="shared" si="16"/>
        <v>1500</v>
      </c>
      <c r="Y49" s="68">
        <f t="shared" si="16"/>
        <v>1800000</v>
      </c>
      <c r="Z49" s="68">
        <f t="shared" si="16"/>
        <v>90000</v>
      </c>
      <c r="AA49" s="68">
        <f t="shared" si="16"/>
        <v>28800</v>
      </c>
      <c r="AB49" s="68">
        <f t="shared" si="16"/>
        <v>320000</v>
      </c>
      <c r="AC49" s="68">
        <f t="shared" si="16"/>
        <v>36000</v>
      </c>
      <c r="AD49" s="68">
        <f t="shared" si="16"/>
        <v>8280</v>
      </c>
      <c r="AE49" s="68">
        <f t="shared" si="16"/>
        <v>5000</v>
      </c>
      <c r="AF49" s="68">
        <f t="shared" si="16"/>
        <v>2400000</v>
      </c>
      <c r="AG49" s="68">
        <f t="shared" si="16"/>
        <v>3240</v>
      </c>
      <c r="AH49" s="68">
        <f t="shared" si="16"/>
        <v>2000</v>
      </c>
      <c r="AI49" s="68">
        <f t="shared" si="16"/>
        <v>1575000</v>
      </c>
      <c r="AJ49" s="68">
        <f t="shared" si="16"/>
        <v>400000</v>
      </c>
      <c r="AK49" s="68">
        <f t="shared" si="16"/>
        <v>385000</v>
      </c>
      <c r="AL49" s="68">
        <f t="shared" si="16"/>
        <v>2500000</v>
      </c>
      <c r="AM49" s="68">
        <f t="shared" si="16"/>
        <v>500000</v>
      </c>
      <c r="AN49" s="68">
        <f t="shared" si="16"/>
        <v>15</v>
      </c>
      <c r="AO49" s="68">
        <f t="shared" si="16"/>
        <v>20</v>
      </c>
      <c r="AP49" s="68">
        <f t="shared" si="16"/>
        <v>100</v>
      </c>
      <c r="AQ49" s="68">
        <f t="shared" si="16"/>
        <v>6.6</v>
      </c>
      <c r="AR49" s="68">
        <f t="shared" si="16"/>
        <v>10.4</v>
      </c>
      <c r="AS49" s="68">
        <f t="shared" si="16"/>
        <v>8</v>
      </c>
      <c r="AT49" s="68">
        <f t="shared" si="16"/>
        <v>10</v>
      </c>
      <c r="AU49" s="68">
        <f t="shared" si="16"/>
        <v>1250000</v>
      </c>
      <c r="AV49" s="68">
        <f t="shared" si="16"/>
        <v>1650000</v>
      </c>
      <c r="AW49" s="68">
        <f t="shared" si="16"/>
        <v>20000</v>
      </c>
      <c r="AX49" s="68">
        <f t="shared" si="16"/>
        <v>3000000</v>
      </c>
      <c r="AY49" s="68">
        <f t="shared" si="16"/>
        <v>3000000</v>
      </c>
      <c r="AZ49" s="68">
        <f t="shared" si="16"/>
        <v>1000000</v>
      </c>
      <c r="BA49" s="68">
        <f t="shared" si="16"/>
        <v>40000</v>
      </c>
      <c r="BB49" s="68">
        <f t="shared" si="16"/>
        <v>1500000</v>
      </c>
      <c r="BC49" s="68">
        <f t="shared" si="16"/>
        <v>200000</v>
      </c>
      <c r="BD49" s="83">
        <f t="shared" si="16"/>
        <v>180000</v>
      </c>
      <c r="BE49" s="83">
        <f t="shared" si="16"/>
        <v>200000</v>
      </c>
      <c r="BF49" s="16"/>
      <c r="BG49" s="16"/>
      <c r="BH49" s="16"/>
      <c r="BI49" s="16"/>
      <c r="BJ49" s="16"/>
      <c r="BK49" s="16"/>
    </row>
    <row r="50" spans="1:63" ht="15.75" customHeight="1">
      <c r="A50" s="190">
        <v>20</v>
      </c>
      <c r="B50" s="223"/>
      <c r="C50" s="95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165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9"/>
      <c r="BE50" s="99"/>
      <c r="BF50" s="16"/>
      <c r="BG50" s="16"/>
      <c r="BH50" s="16"/>
      <c r="BI50" s="16"/>
      <c r="BJ50" s="16"/>
      <c r="BK50" s="16"/>
    </row>
    <row r="51" spans="1:63" ht="15.75" customHeight="1">
      <c r="A51" s="190">
        <v>21</v>
      </c>
      <c r="B51" s="191" t="s">
        <v>374</v>
      </c>
      <c r="C51" s="176">
        <f t="shared" ref="C51:AM51" si="17">IFERROR(C28/C49,"N/A")</f>
        <v>5.5555555555555552E-2</v>
      </c>
      <c r="D51" s="177">
        <f t="shared" si="17"/>
        <v>0.08</v>
      </c>
      <c r="E51" s="177">
        <f t="shared" si="17"/>
        <v>5.6818181818181816E-2</v>
      </c>
      <c r="F51" s="177">
        <f t="shared" si="17"/>
        <v>3.5087719298245612E-2</v>
      </c>
      <c r="G51" s="177" t="str">
        <f t="shared" si="17"/>
        <v>N/A</v>
      </c>
      <c r="H51" s="177">
        <f t="shared" si="17"/>
        <v>2.2499999999999998E-3</v>
      </c>
      <c r="I51" s="177">
        <f t="shared" si="17"/>
        <v>7.1999999999999995E-2</v>
      </c>
      <c r="J51" s="177" t="str">
        <f t="shared" si="17"/>
        <v>N/A</v>
      </c>
      <c r="K51" s="177">
        <f t="shared" si="17"/>
        <v>4.5454545454545452E-3</v>
      </c>
      <c r="L51" s="177">
        <f t="shared" si="17"/>
        <v>0.36</v>
      </c>
      <c r="M51" s="177">
        <f t="shared" si="17"/>
        <v>3.0000000000000001E-3</v>
      </c>
      <c r="N51" s="177">
        <f t="shared" si="17"/>
        <v>4.3749999999999997E-2</v>
      </c>
      <c r="O51" s="177">
        <f t="shared" si="17"/>
        <v>2.4E-2</v>
      </c>
      <c r="P51" s="177">
        <f t="shared" si="17"/>
        <v>2.5000000000000001E-4</v>
      </c>
      <c r="Q51" s="177">
        <f t="shared" si="17"/>
        <v>0.03</v>
      </c>
      <c r="R51" s="177">
        <f t="shared" si="17"/>
        <v>2.5000000000000001E-2</v>
      </c>
      <c r="S51" s="177">
        <f t="shared" si="17"/>
        <v>2.1000000000000001E-2</v>
      </c>
      <c r="T51" s="177">
        <f t="shared" si="17"/>
        <v>7.5958982149639193E-3</v>
      </c>
      <c r="U51" s="177">
        <f t="shared" si="17"/>
        <v>1.2500000000000001E-2</v>
      </c>
      <c r="V51" s="177">
        <f t="shared" si="17"/>
        <v>2.8571428571428571E-2</v>
      </c>
      <c r="W51" s="177">
        <f t="shared" si="17"/>
        <v>1.6666666666666666E-2</v>
      </c>
      <c r="X51" s="177">
        <f t="shared" si="17"/>
        <v>3.3333333333333333E-2</v>
      </c>
      <c r="Y51" s="177">
        <f t="shared" si="17"/>
        <v>3.3333333333333333E-2</v>
      </c>
      <c r="Z51" s="177">
        <f t="shared" si="17"/>
        <v>6.6666666666666671E-3</v>
      </c>
      <c r="AA51" s="177">
        <f t="shared" si="17"/>
        <v>3.472222222222222E-3</v>
      </c>
      <c r="AB51" s="177">
        <f t="shared" si="17"/>
        <v>0.125</v>
      </c>
      <c r="AC51" s="177">
        <f t="shared" si="17"/>
        <v>0.27777777777777779</v>
      </c>
      <c r="AD51" s="177">
        <f t="shared" si="17"/>
        <v>2.4154589371980676E-4</v>
      </c>
      <c r="AE51" s="177">
        <f t="shared" si="17"/>
        <v>5.0000000000000001E-3</v>
      </c>
      <c r="AF51" s="177">
        <f t="shared" si="17"/>
        <v>1.6666666666666666E-2</v>
      </c>
      <c r="AG51" s="177">
        <f t="shared" si="17"/>
        <v>9.2592592592592587E-3</v>
      </c>
      <c r="AH51" s="177">
        <f t="shared" si="17"/>
        <v>2.5000000000000001E-2</v>
      </c>
      <c r="AI51" s="177">
        <f t="shared" si="17"/>
        <v>2.859047619047619E-2</v>
      </c>
      <c r="AJ51" s="177" t="str">
        <f t="shared" si="17"/>
        <v>N/A</v>
      </c>
      <c r="AK51" s="177">
        <f t="shared" si="17"/>
        <v>2.5974025974025976E-2</v>
      </c>
      <c r="AL51" s="177">
        <f t="shared" si="17"/>
        <v>8.0000000000000002E-3</v>
      </c>
      <c r="AM51" s="177">
        <f t="shared" si="17"/>
        <v>5.9999999999999995E-4</v>
      </c>
      <c r="AN51" s="177" t="str">
        <f t="shared" ref="AN51:AT51" si="18">IFERROR(AN28/AN49,"Choose Bet")</f>
        <v>Choose Bet</v>
      </c>
      <c r="AO51" s="177" t="str">
        <f t="shared" si="18"/>
        <v>Choose Bet</v>
      </c>
      <c r="AP51" s="177" t="str">
        <f t="shared" si="18"/>
        <v>Choose Bet</v>
      </c>
      <c r="AQ51" s="177" t="str">
        <f t="shared" si="18"/>
        <v>Choose Bet</v>
      </c>
      <c r="AR51" s="177" t="str">
        <f t="shared" si="18"/>
        <v>Choose Bet</v>
      </c>
      <c r="AS51" s="177" t="str">
        <f t="shared" si="18"/>
        <v>Choose Bet</v>
      </c>
      <c r="AT51" s="177" t="str">
        <f t="shared" si="18"/>
        <v>Choose Bet</v>
      </c>
      <c r="AU51" s="177">
        <f t="shared" ref="AU51:BE51" si="19">IFERROR(AU28/AU49,"N/A")</f>
        <v>0.04</v>
      </c>
      <c r="AV51" s="177">
        <f t="shared" si="19"/>
        <v>3.0303030303030303E-4</v>
      </c>
      <c r="AW51" s="177">
        <f t="shared" si="19"/>
        <v>0.01</v>
      </c>
      <c r="AX51" s="177">
        <f t="shared" si="19"/>
        <v>0.16666666666666666</v>
      </c>
      <c r="AY51" s="177">
        <f t="shared" si="19"/>
        <v>3.3333333333333335E-5</v>
      </c>
      <c r="AZ51" s="177">
        <f t="shared" si="19"/>
        <v>1E-3</v>
      </c>
      <c r="BA51" s="177">
        <f t="shared" si="19"/>
        <v>0.01</v>
      </c>
      <c r="BB51" s="177">
        <f t="shared" si="19"/>
        <v>0.04</v>
      </c>
      <c r="BC51" s="177">
        <f t="shared" si="19"/>
        <v>2.5000000000000001E-2</v>
      </c>
      <c r="BD51" s="179">
        <f t="shared" si="19"/>
        <v>5.5555555555555552E-2</v>
      </c>
      <c r="BE51" s="179">
        <f t="shared" si="19"/>
        <v>0.1</v>
      </c>
      <c r="BF51" s="16"/>
      <c r="BG51" s="16"/>
      <c r="BH51" s="16"/>
      <c r="BI51" s="16"/>
      <c r="BJ51" s="16"/>
      <c r="BK51" s="16"/>
    </row>
    <row r="52" spans="1:63" ht="15.75" customHeight="1">
      <c r="A52" s="190">
        <v>22</v>
      </c>
      <c r="B52" s="191" t="s">
        <v>375</v>
      </c>
      <c r="C52" s="176">
        <f t="shared" ref="C52:BE52" si="20">IFERROR(C29/C49,"N/A")</f>
        <v>5.5555555555555556E-4</v>
      </c>
      <c r="D52" s="177">
        <f t="shared" si="20"/>
        <v>0.08</v>
      </c>
      <c r="E52" s="177">
        <f t="shared" si="20"/>
        <v>5.6818181818181816E-2</v>
      </c>
      <c r="F52" s="177">
        <f t="shared" si="20"/>
        <v>3.5087719298245615E-3</v>
      </c>
      <c r="G52" s="177">
        <f t="shared" si="20"/>
        <v>0.05</v>
      </c>
      <c r="H52" s="177">
        <f t="shared" si="20"/>
        <v>2.2499999999999998E-3</v>
      </c>
      <c r="I52" s="177">
        <f t="shared" si="20"/>
        <v>2.4E-2</v>
      </c>
      <c r="J52" s="177">
        <f t="shared" si="20"/>
        <v>0.02</v>
      </c>
      <c r="K52" s="177">
        <f t="shared" si="20"/>
        <v>9.0909090909090909E-4</v>
      </c>
      <c r="L52" s="177">
        <f t="shared" si="20"/>
        <v>0.36</v>
      </c>
      <c r="M52" s="177">
        <f t="shared" si="20"/>
        <v>3.0000000000000003E-4</v>
      </c>
      <c r="N52" s="177">
        <f t="shared" si="20"/>
        <v>2.3333333333333334E-2</v>
      </c>
      <c r="O52" s="177">
        <f t="shared" si="20"/>
        <v>8.0999999999999996E-3</v>
      </c>
      <c r="P52" s="177">
        <f t="shared" si="20"/>
        <v>2.5000000000000001E-4</v>
      </c>
      <c r="Q52" s="177">
        <f t="shared" si="20"/>
        <v>0.01</v>
      </c>
      <c r="R52" s="177">
        <f t="shared" si="20"/>
        <v>2.5000000000000001E-2</v>
      </c>
      <c r="S52" s="177">
        <f t="shared" si="20"/>
        <v>2.1000000000000001E-2</v>
      </c>
      <c r="T52" s="177">
        <f t="shared" si="20"/>
        <v>7.5958982149639193E-3</v>
      </c>
      <c r="U52" s="177">
        <f t="shared" si="20"/>
        <v>1.2500000000000001E-2</v>
      </c>
      <c r="V52" s="177">
        <f t="shared" si="20"/>
        <v>2.8571428571428571E-2</v>
      </c>
      <c r="W52" s="177">
        <f t="shared" si="20"/>
        <v>1.6666666666666666E-2</v>
      </c>
      <c r="X52" s="177">
        <f t="shared" si="20"/>
        <v>3.3333333333333333E-2</v>
      </c>
      <c r="Y52" s="177">
        <f t="shared" si="20"/>
        <v>3.3333333333333333E-2</v>
      </c>
      <c r="Z52" s="177">
        <f t="shared" si="20"/>
        <v>6.6666666666666671E-3</v>
      </c>
      <c r="AA52" s="177">
        <f t="shared" si="20"/>
        <v>1.3888888888888889E-3</v>
      </c>
      <c r="AB52" s="177">
        <f t="shared" si="20"/>
        <v>1.2500000000000001E-2</v>
      </c>
      <c r="AC52" s="177">
        <f t="shared" si="20"/>
        <v>6.9444444444444444E-5</v>
      </c>
      <c r="AD52" s="177">
        <f t="shared" si="20"/>
        <v>1.2077294685990338E-4</v>
      </c>
      <c r="AE52" s="177">
        <f t="shared" si="20"/>
        <v>5.0000000000000001E-3</v>
      </c>
      <c r="AF52" s="177">
        <f t="shared" si="20"/>
        <v>1.6666666666666666E-2</v>
      </c>
      <c r="AG52" s="177">
        <f t="shared" si="20"/>
        <v>9.2592592592592587E-3</v>
      </c>
      <c r="AH52" s="177">
        <f t="shared" si="20"/>
        <v>2.5000000000000001E-2</v>
      </c>
      <c r="AI52" s="177">
        <f t="shared" si="20"/>
        <v>9.5301587301587307E-3</v>
      </c>
      <c r="AJ52" s="177">
        <f t="shared" si="20"/>
        <v>2.5000000000000001E-2</v>
      </c>
      <c r="AK52" s="177">
        <f t="shared" si="20"/>
        <v>2.5974025974025976E-2</v>
      </c>
      <c r="AL52" s="177">
        <f t="shared" si="20"/>
        <v>4.0000000000000001E-3</v>
      </c>
      <c r="AM52" s="177">
        <f t="shared" si="20"/>
        <v>6.0000000000000002E-5</v>
      </c>
      <c r="AN52" s="177">
        <f t="shared" si="20"/>
        <v>6.6666666666666666E-2</v>
      </c>
      <c r="AO52" s="177">
        <f t="shared" si="20"/>
        <v>0.05</v>
      </c>
      <c r="AP52" s="177">
        <f t="shared" si="20"/>
        <v>0.1</v>
      </c>
      <c r="AQ52" s="177">
        <f t="shared" si="20"/>
        <v>0.15151515151515152</v>
      </c>
      <c r="AR52" s="177">
        <f t="shared" si="20"/>
        <v>9.6153846153846145E-2</v>
      </c>
      <c r="AS52" s="177">
        <f t="shared" si="20"/>
        <v>0.125</v>
      </c>
      <c r="AT52" s="177">
        <f t="shared" si="20"/>
        <v>0.1</v>
      </c>
      <c r="AU52" s="177">
        <f t="shared" si="20"/>
        <v>8.0000000000000004E-4</v>
      </c>
      <c r="AV52" s="177">
        <f t="shared" si="20"/>
        <v>1.5151515151515151E-5</v>
      </c>
      <c r="AW52" s="177">
        <f t="shared" si="20"/>
        <v>5.0000000000000001E-3</v>
      </c>
      <c r="AX52" s="177">
        <f t="shared" si="20"/>
        <v>8.3333333333333332E-3</v>
      </c>
      <c r="AY52" s="177">
        <f t="shared" si="20"/>
        <v>1.6666666666666667E-6</v>
      </c>
      <c r="AZ52" s="177">
        <f t="shared" si="20"/>
        <v>5.0000000000000002E-5</v>
      </c>
      <c r="BA52" s="177">
        <f t="shared" si="20"/>
        <v>2.5000000000000001E-4</v>
      </c>
      <c r="BB52" s="177">
        <f t="shared" si="20"/>
        <v>0.04</v>
      </c>
      <c r="BC52" s="177">
        <f t="shared" si="20"/>
        <v>2.5000000000000001E-2</v>
      </c>
      <c r="BD52" s="179">
        <f t="shared" si="20"/>
        <v>5.5555555555555558E-3</v>
      </c>
      <c r="BE52" s="179">
        <f t="shared" si="20"/>
        <v>0.05</v>
      </c>
      <c r="BF52" s="16"/>
      <c r="BG52" s="16"/>
      <c r="BH52" s="16"/>
      <c r="BI52" s="16"/>
      <c r="BJ52" s="16"/>
      <c r="BK52" s="16"/>
    </row>
    <row r="53" spans="1:63" ht="15.75" customHeight="1">
      <c r="A53" s="190">
        <v>23</v>
      </c>
      <c r="B53" s="191"/>
      <c r="C53" s="95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9"/>
      <c r="BE53" s="99"/>
      <c r="BF53" s="16"/>
      <c r="BG53" s="16"/>
      <c r="BH53" s="16"/>
      <c r="BI53" s="16"/>
      <c r="BJ53" s="16"/>
      <c r="BK53" s="16"/>
    </row>
    <row r="54" spans="1:63" ht="15.75" customHeight="1">
      <c r="A54" s="190">
        <v>24</v>
      </c>
      <c r="B54" s="191" t="s">
        <v>376</v>
      </c>
      <c r="C54" s="71">
        <f t="shared" ref="C54:F54" si="21">IFERROR(C$6/C28/(1-0.9)-1,"")</f>
        <v>1026.0000000000002</v>
      </c>
      <c r="D54" s="68">
        <f t="shared" si="21"/>
        <v>999.00000000000023</v>
      </c>
      <c r="E54" s="68">
        <f t="shared" si="21"/>
        <v>1599.0000000000005</v>
      </c>
      <c r="F54" s="68">
        <f t="shared" si="21"/>
        <v>311.50000000000006</v>
      </c>
      <c r="G54" s="68" t="str">
        <f>IFERROR(G$6/G28/(1-0.9)-1,"Choose Bet")</f>
        <v>Choose Bet</v>
      </c>
      <c r="H54" s="68">
        <f t="shared" ref="H54:I54" si="22">IFERROR(H$6/H28/(1-0.9)-1,"")</f>
        <v>1110.1111111111113</v>
      </c>
      <c r="I54" s="68">
        <f t="shared" si="22"/>
        <v>415.66666666666674</v>
      </c>
      <c r="J54" s="68" t="str">
        <f>IFERROR(J$6/J28/(1-0.9)-1,"Choose Bet")</f>
        <v>Choose Bet</v>
      </c>
      <c r="K54" s="68">
        <f t="shared" ref="K54:AI54" si="23">IFERROR(K$6/K28/(1-0.9)-1,"")</f>
        <v>899.00000000000023</v>
      </c>
      <c r="L54" s="68">
        <f t="shared" si="23"/>
        <v>443.44444444444451</v>
      </c>
      <c r="M54" s="68">
        <f t="shared" si="23"/>
        <v>11110.111111111113</v>
      </c>
      <c r="N54" s="68">
        <f t="shared" si="23"/>
        <v>379.95238095238102</v>
      </c>
      <c r="O54" s="68">
        <f t="shared" si="23"/>
        <v>519.83333333333348</v>
      </c>
      <c r="P54" s="68">
        <f t="shared" si="23"/>
        <v>39999.000000000007</v>
      </c>
      <c r="Q54" s="68">
        <f t="shared" si="23"/>
        <v>499.00000000000011</v>
      </c>
      <c r="R54" s="68">
        <f t="shared" si="23"/>
        <v>414.23666666666674</v>
      </c>
      <c r="S54" s="68">
        <f t="shared" si="23"/>
        <v>2856.1428571428578</v>
      </c>
      <c r="T54" s="68">
        <f t="shared" si="23"/>
        <v>3124.0000000000009</v>
      </c>
      <c r="U54" s="68">
        <f t="shared" si="23"/>
        <v>3999.0000000000009</v>
      </c>
      <c r="V54" s="68">
        <f t="shared" si="23"/>
        <v>332.33333333333343</v>
      </c>
      <c r="W54" s="68">
        <f t="shared" si="23"/>
        <v>10484.000000000002</v>
      </c>
      <c r="X54" s="68">
        <f t="shared" si="23"/>
        <v>399.00000000000011</v>
      </c>
      <c r="Y54" s="68">
        <f t="shared" si="23"/>
        <v>499.00000000000011</v>
      </c>
      <c r="Z54" s="68">
        <f t="shared" si="23"/>
        <v>499.00000000000011</v>
      </c>
      <c r="AA54" s="68">
        <f t="shared" si="23"/>
        <v>999.00000000000023</v>
      </c>
      <c r="AB54" s="68">
        <f t="shared" si="23"/>
        <v>349.00000000000006</v>
      </c>
      <c r="AC54" s="68">
        <f t="shared" si="23"/>
        <v>322.25000000000011</v>
      </c>
      <c r="AD54" s="68">
        <f t="shared" si="23"/>
        <v>199999.00000000006</v>
      </c>
      <c r="AE54" s="68">
        <f t="shared" si="23"/>
        <v>32037.000000000007</v>
      </c>
      <c r="AF54" s="68">
        <f t="shared" si="23"/>
        <v>10484.000000000002</v>
      </c>
      <c r="AG54" s="68">
        <f t="shared" si="23"/>
        <v>1672.65</v>
      </c>
      <c r="AH54" s="68">
        <f t="shared" si="23"/>
        <v>2999.0000000000005</v>
      </c>
      <c r="AI54" s="68">
        <f t="shared" si="23"/>
        <v>443.14834554741293</v>
      </c>
      <c r="AJ54" s="68" t="str">
        <f>IFERROR(AJ$6/AJ28/(1-0.9)-1,"Choose Bet")</f>
        <v>Choose Bet</v>
      </c>
      <c r="AK54" s="68">
        <f t="shared" ref="AK54:AM54" si="24">IFERROR(AK$6/AK28/(1-0.9)-1,"")</f>
        <v>99.000000000000028</v>
      </c>
      <c r="AL54" s="68">
        <f t="shared" si="24"/>
        <v>49.000000000000014</v>
      </c>
      <c r="AM54" s="68">
        <f t="shared" si="24"/>
        <v>6665.6666666666679</v>
      </c>
      <c r="AN54" s="68" t="str">
        <f t="shared" ref="AN54:AT54" si="25">IFERROR(AN$6/AN28/(1-0.9)-1,"Choose Bet")</f>
        <v>Choose Bet</v>
      </c>
      <c r="AO54" s="68" t="str">
        <f t="shared" si="25"/>
        <v>Choose Bet</v>
      </c>
      <c r="AP54" s="68" t="str">
        <f t="shared" si="25"/>
        <v>Choose Bet</v>
      </c>
      <c r="AQ54" s="68" t="str">
        <f t="shared" si="25"/>
        <v>Choose Bet</v>
      </c>
      <c r="AR54" s="68" t="str">
        <f t="shared" si="25"/>
        <v>Choose Bet</v>
      </c>
      <c r="AS54" s="68" t="str">
        <f t="shared" si="25"/>
        <v>Choose Bet</v>
      </c>
      <c r="AT54" s="68" t="str">
        <f t="shared" si="25"/>
        <v>Choose Bet</v>
      </c>
      <c r="AU54" s="68">
        <f t="shared" ref="AU54:BE54" si="26">IFERROR(AU$6/AU28/(1-0.9)-1,"")</f>
        <v>49.000000000000014</v>
      </c>
      <c r="AV54" s="68">
        <f t="shared" si="26"/>
        <v>11518.879518072292</v>
      </c>
      <c r="AW54" s="68">
        <f t="shared" si="26"/>
        <v>749.00000000000011</v>
      </c>
      <c r="AX54" s="68">
        <f t="shared" si="26"/>
        <v>318.40000000000009</v>
      </c>
      <c r="AY54" s="68">
        <f t="shared" si="26"/>
        <v>33469.000000000007</v>
      </c>
      <c r="AZ54" s="68">
        <f t="shared" si="26"/>
        <v>2544.0000000000005</v>
      </c>
      <c r="BA54" s="68">
        <f t="shared" si="26"/>
        <v>19.000000000000004</v>
      </c>
      <c r="BB54" s="68">
        <f t="shared" si="26"/>
        <v>1663.666666666667</v>
      </c>
      <c r="BC54" s="68">
        <f t="shared" si="26"/>
        <v>531.66666666666686</v>
      </c>
      <c r="BD54" s="83">
        <f t="shared" si="26"/>
        <v>399.00000000000011</v>
      </c>
      <c r="BE54" s="83">
        <f t="shared" si="26"/>
        <v>4999.0000000000009</v>
      </c>
      <c r="BF54" s="16"/>
      <c r="BG54" s="16"/>
      <c r="BH54" s="16"/>
      <c r="BI54" s="16"/>
      <c r="BJ54" s="16"/>
      <c r="BK54" s="16"/>
    </row>
    <row r="55" spans="1:63" ht="15.75" customHeight="1">
      <c r="A55" s="190">
        <v>25</v>
      </c>
      <c r="B55" s="191" t="s">
        <v>377</v>
      </c>
      <c r="C55" s="71">
        <f t="shared" ref="C55:BE55" si="27">IFERROR(C$6/C29/(1-0.9)-1,"")</f>
        <v>102699.00000000003</v>
      </c>
      <c r="D55" s="68">
        <f t="shared" si="27"/>
        <v>999.00000000000023</v>
      </c>
      <c r="E55" s="68">
        <f t="shared" si="27"/>
        <v>1599.0000000000005</v>
      </c>
      <c r="F55" s="68">
        <f t="shared" si="27"/>
        <v>3124.0000000000009</v>
      </c>
      <c r="G55" s="68">
        <f t="shared" si="27"/>
        <v>3999.0000000000009</v>
      </c>
      <c r="H55" s="68">
        <f t="shared" si="27"/>
        <v>1110.1111111111113</v>
      </c>
      <c r="I55" s="68">
        <f t="shared" si="27"/>
        <v>1249.0000000000002</v>
      </c>
      <c r="J55" s="68">
        <f t="shared" si="27"/>
        <v>1665.666666666667</v>
      </c>
      <c r="K55" s="68">
        <f t="shared" si="27"/>
        <v>4499.0000000000009</v>
      </c>
      <c r="L55" s="68">
        <f t="shared" si="27"/>
        <v>443.44444444444451</v>
      </c>
      <c r="M55" s="68">
        <f t="shared" si="27"/>
        <v>111110.11111111114</v>
      </c>
      <c r="N55" s="68">
        <f t="shared" si="27"/>
        <v>713.28571428571445</v>
      </c>
      <c r="O55" s="68">
        <f t="shared" si="27"/>
        <v>1542.2098765432102</v>
      </c>
      <c r="P55" s="68">
        <f t="shared" si="27"/>
        <v>39999.000000000007</v>
      </c>
      <c r="Q55" s="68">
        <f t="shared" si="27"/>
        <v>1499.0000000000002</v>
      </c>
      <c r="R55" s="68">
        <f t="shared" si="27"/>
        <v>414.23666666666674</v>
      </c>
      <c r="S55" s="68">
        <f t="shared" si="27"/>
        <v>2856.1428571428578</v>
      </c>
      <c r="T55" s="68">
        <f t="shared" si="27"/>
        <v>3124.0000000000009</v>
      </c>
      <c r="U55" s="68">
        <f t="shared" si="27"/>
        <v>3999.0000000000009</v>
      </c>
      <c r="V55" s="68">
        <f t="shared" si="27"/>
        <v>332.33333333333343</v>
      </c>
      <c r="W55" s="68">
        <f t="shared" si="27"/>
        <v>10484.000000000002</v>
      </c>
      <c r="X55" s="68">
        <f t="shared" si="27"/>
        <v>399.00000000000011</v>
      </c>
      <c r="Y55" s="68">
        <f t="shared" si="27"/>
        <v>499.00000000000011</v>
      </c>
      <c r="Z55" s="68">
        <f t="shared" si="27"/>
        <v>499.00000000000011</v>
      </c>
      <c r="AA55" s="68">
        <f t="shared" si="27"/>
        <v>2499.0000000000005</v>
      </c>
      <c r="AB55" s="68">
        <f t="shared" si="27"/>
        <v>3499.0000000000009</v>
      </c>
      <c r="AC55" s="68">
        <f t="shared" si="27"/>
        <v>1292999.0000000002</v>
      </c>
      <c r="AD55" s="68">
        <f t="shared" si="27"/>
        <v>399999.00000000012</v>
      </c>
      <c r="AE55" s="68">
        <f t="shared" si="27"/>
        <v>32037.000000000007</v>
      </c>
      <c r="AF55" s="68">
        <f t="shared" si="27"/>
        <v>10484.000000000002</v>
      </c>
      <c r="AG55" s="68">
        <f t="shared" si="27"/>
        <v>1672.65</v>
      </c>
      <c r="AH55" s="68">
        <f t="shared" si="27"/>
        <v>2999.0000000000005</v>
      </c>
      <c r="AI55" s="68">
        <f t="shared" si="27"/>
        <v>1331.4450366422388</v>
      </c>
      <c r="AJ55" s="68">
        <f t="shared" si="27"/>
        <v>1999.0000000000005</v>
      </c>
      <c r="AK55" s="68">
        <f t="shared" si="27"/>
        <v>99.000000000000028</v>
      </c>
      <c r="AL55" s="68">
        <f t="shared" si="27"/>
        <v>99.000000000000028</v>
      </c>
      <c r="AM55" s="68">
        <f t="shared" si="27"/>
        <v>66665.666666666686</v>
      </c>
      <c r="AN55" s="68">
        <f t="shared" si="27"/>
        <v>895.64772727272771</v>
      </c>
      <c r="AO55" s="68">
        <f t="shared" si="27"/>
        <v>6503.6500000000015</v>
      </c>
      <c r="AP55" s="68">
        <f t="shared" si="27"/>
        <v>1650.5384615384617</v>
      </c>
      <c r="AQ55" s="68">
        <f t="shared" si="27"/>
        <v>388.30379310344836</v>
      </c>
      <c r="AR55" s="68">
        <f t="shared" si="27"/>
        <v>395.77866666666677</v>
      </c>
      <c r="AS55" s="68">
        <f t="shared" si="27"/>
        <v>2076.2000000000003</v>
      </c>
      <c r="AT55" s="68">
        <f t="shared" si="27"/>
        <v>1685.7000000000005</v>
      </c>
      <c r="AU55" s="68">
        <f t="shared" si="27"/>
        <v>2499.0000000000005</v>
      </c>
      <c r="AV55" s="68">
        <f t="shared" si="27"/>
        <v>230396.59036144582</v>
      </c>
      <c r="AW55" s="68">
        <f t="shared" si="27"/>
        <v>1499.0000000000002</v>
      </c>
      <c r="AX55" s="68">
        <f t="shared" si="27"/>
        <v>6387.0000000000009</v>
      </c>
      <c r="AY55" s="68">
        <f t="shared" si="27"/>
        <v>669399.00000000012</v>
      </c>
      <c r="AZ55" s="68">
        <f t="shared" si="27"/>
        <v>50899.000000000015</v>
      </c>
      <c r="BA55" s="68">
        <f t="shared" si="27"/>
        <v>799.00000000000023</v>
      </c>
      <c r="BB55" s="68">
        <f t="shared" si="27"/>
        <v>1663.666666666667</v>
      </c>
      <c r="BC55" s="68">
        <f t="shared" si="27"/>
        <v>531.66666666666686</v>
      </c>
      <c r="BD55" s="83">
        <f t="shared" si="27"/>
        <v>3999.0000000000009</v>
      </c>
      <c r="BE55" s="83">
        <f t="shared" si="27"/>
        <v>9999.0000000000018</v>
      </c>
      <c r="BF55" s="16"/>
      <c r="BG55" s="16"/>
      <c r="BH55" s="16"/>
      <c r="BI55" s="16"/>
      <c r="BJ55" s="16"/>
      <c r="BK55" s="16"/>
    </row>
    <row r="56" spans="1:63" ht="15.75" customHeight="1">
      <c r="A56" s="190">
        <v>26</v>
      </c>
      <c r="B56" s="94"/>
      <c r="C56" s="95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9"/>
      <c r="BE56" s="99"/>
      <c r="BF56" s="16"/>
      <c r="BG56" s="16"/>
      <c r="BH56" s="16"/>
      <c r="BI56" s="16"/>
      <c r="BJ56" s="16"/>
      <c r="BK56" s="16"/>
    </row>
    <row r="57" spans="1:63" ht="15.75" customHeight="1">
      <c r="A57" s="190">
        <v>27</v>
      </c>
      <c r="B57" s="191" t="s">
        <v>378</v>
      </c>
      <c r="C57" s="224">
        <f t="shared" ref="C57:F57" si="28">IFERROR(C49/C28/(1-0.95),"N/A")</f>
        <v>359.99999999999966</v>
      </c>
      <c r="D57" s="225">
        <f t="shared" si="28"/>
        <v>249.99999999999977</v>
      </c>
      <c r="E57" s="225">
        <f t="shared" si="28"/>
        <v>351.99999999999972</v>
      </c>
      <c r="F57" s="225">
        <f t="shared" si="28"/>
        <v>569.99999999999955</v>
      </c>
      <c r="G57" s="225" t="str">
        <f>IFERROR(G49/G28/(1-0.95),"Choose Bet")</f>
        <v>Choose Bet</v>
      </c>
      <c r="H57" s="225">
        <f t="shared" ref="H57:I57" si="29">IFERROR(H49/H28/(1-0.95),"N/A")</f>
        <v>8888.8888888888814</v>
      </c>
      <c r="I57" s="225">
        <f t="shared" si="29"/>
        <v>277.77777777777754</v>
      </c>
      <c r="J57" s="225" t="str">
        <f>IFERROR(J49/J28/(1-0.95),"Choose Bet")</f>
        <v>Choose Bet</v>
      </c>
      <c r="K57" s="225">
        <f t="shared" ref="K57:AI57" si="30">IFERROR(K49/K28/(1-0.95),"N/A")</f>
        <v>4399.9999999999964</v>
      </c>
      <c r="L57" s="225">
        <f t="shared" si="30"/>
        <v>55.555555555555507</v>
      </c>
      <c r="M57" s="225">
        <f t="shared" si="30"/>
        <v>6666.6666666666606</v>
      </c>
      <c r="N57" s="225">
        <f t="shared" si="30"/>
        <v>457.14285714285677</v>
      </c>
      <c r="O57" s="225">
        <f t="shared" si="30"/>
        <v>833.33333333333258</v>
      </c>
      <c r="P57" s="225">
        <f t="shared" si="30"/>
        <v>79999.999999999927</v>
      </c>
      <c r="Q57" s="225">
        <f t="shared" si="30"/>
        <v>666.66666666666617</v>
      </c>
      <c r="R57" s="225">
        <f t="shared" si="30"/>
        <v>799.99999999999932</v>
      </c>
      <c r="S57" s="225">
        <f t="shared" si="30"/>
        <v>952.38095238095161</v>
      </c>
      <c r="T57" s="225">
        <f t="shared" si="30"/>
        <v>2632.9999999999977</v>
      </c>
      <c r="U57" s="225">
        <f t="shared" si="30"/>
        <v>1599.9999999999986</v>
      </c>
      <c r="V57" s="225">
        <f t="shared" si="30"/>
        <v>699.99999999999943</v>
      </c>
      <c r="W57" s="225">
        <f t="shared" si="30"/>
        <v>1199.9999999999989</v>
      </c>
      <c r="X57" s="225">
        <f t="shared" si="30"/>
        <v>599.99999999999943</v>
      </c>
      <c r="Y57" s="225">
        <f t="shared" si="30"/>
        <v>599.99999999999943</v>
      </c>
      <c r="Z57" s="225">
        <f t="shared" si="30"/>
        <v>2999.9999999999973</v>
      </c>
      <c r="AA57" s="225">
        <f t="shared" si="30"/>
        <v>5759.9999999999945</v>
      </c>
      <c r="AB57" s="225">
        <f t="shared" si="30"/>
        <v>159.99999999999986</v>
      </c>
      <c r="AC57" s="225">
        <f t="shared" si="30"/>
        <v>71.999999999999943</v>
      </c>
      <c r="AD57" s="225">
        <f t="shared" si="30"/>
        <v>82799.999999999927</v>
      </c>
      <c r="AE57" s="225">
        <f t="shared" si="30"/>
        <v>3999.9999999999964</v>
      </c>
      <c r="AF57" s="225">
        <f t="shared" si="30"/>
        <v>1199.9999999999989</v>
      </c>
      <c r="AG57" s="225">
        <f t="shared" si="30"/>
        <v>2159.9999999999982</v>
      </c>
      <c r="AH57" s="225">
        <f t="shared" si="30"/>
        <v>799.99999999999932</v>
      </c>
      <c r="AI57" s="225">
        <f t="shared" si="30"/>
        <v>699.5336442371746</v>
      </c>
      <c r="AJ57" s="225" t="str">
        <f>IFERROR(AJ49/AJ28/(1-0.95),"Choose Bet")</f>
        <v>Choose Bet</v>
      </c>
      <c r="AK57" s="225">
        <f t="shared" ref="AK57:AM57" si="31">IFERROR(AK49/AK28/(1-0.95),"N/A")</f>
        <v>769.99999999999932</v>
      </c>
      <c r="AL57" s="225">
        <f t="shared" si="31"/>
        <v>2499.9999999999977</v>
      </c>
      <c r="AM57" s="225">
        <f t="shared" si="31"/>
        <v>33333.333333333307</v>
      </c>
      <c r="AN57" s="225" t="str">
        <f t="shared" ref="AN57:AT57" si="32">IFERROR(AN49/AN28/(1-0.95),"Choose Bet")</f>
        <v>Choose Bet</v>
      </c>
      <c r="AO57" s="225" t="str">
        <f t="shared" si="32"/>
        <v>Choose Bet</v>
      </c>
      <c r="AP57" s="225" t="str">
        <f t="shared" si="32"/>
        <v>Choose Bet</v>
      </c>
      <c r="AQ57" s="225" t="str">
        <f t="shared" si="32"/>
        <v>Choose Bet</v>
      </c>
      <c r="AR57" s="225" t="str">
        <f t="shared" si="32"/>
        <v>Choose Bet</v>
      </c>
      <c r="AS57" s="225" t="str">
        <f t="shared" si="32"/>
        <v>Choose Bet</v>
      </c>
      <c r="AT57" s="225" t="str">
        <f t="shared" si="32"/>
        <v>Choose Bet</v>
      </c>
      <c r="AU57" s="225">
        <f t="shared" ref="AU57:BE57" si="33">IFERROR(AU49/AU28/(1-0.95),"N/A")</f>
        <v>499.99999999999955</v>
      </c>
      <c r="AV57" s="225">
        <f t="shared" si="33"/>
        <v>65999.999999999942</v>
      </c>
      <c r="AW57" s="225">
        <f t="shared" si="33"/>
        <v>1999.9999999999982</v>
      </c>
      <c r="AX57" s="225">
        <f t="shared" si="33"/>
        <v>119.99999999999989</v>
      </c>
      <c r="AY57" s="225">
        <f t="shared" si="33"/>
        <v>599999.99999999942</v>
      </c>
      <c r="AZ57" s="225">
        <f t="shared" si="33"/>
        <v>19999.999999999982</v>
      </c>
      <c r="BA57" s="225">
        <f t="shared" si="33"/>
        <v>1999.9999999999982</v>
      </c>
      <c r="BB57" s="225">
        <f t="shared" si="33"/>
        <v>499.99999999999955</v>
      </c>
      <c r="BC57" s="225">
        <f t="shared" si="33"/>
        <v>799.99999999999932</v>
      </c>
      <c r="BD57" s="83">
        <f t="shared" si="33"/>
        <v>359.99999999999966</v>
      </c>
      <c r="BE57" s="83">
        <f t="shared" si="33"/>
        <v>199.99999999999983</v>
      </c>
      <c r="BF57" s="16"/>
      <c r="BG57" s="16"/>
      <c r="BH57" s="16"/>
      <c r="BI57" s="16"/>
      <c r="BJ57" s="16"/>
      <c r="BK57" s="16"/>
    </row>
    <row r="58" spans="1:63" ht="15.75" customHeight="1">
      <c r="A58" s="190">
        <v>28</v>
      </c>
      <c r="B58" s="191" t="s">
        <v>379</v>
      </c>
      <c r="C58" s="224">
        <f t="shared" ref="C58:BE58" si="34">IFERROR(C49/C29/(1-0.95),"")</f>
        <v>35999.999999999971</v>
      </c>
      <c r="D58" s="225">
        <f t="shared" si="34"/>
        <v>249.99999999999977</v>
      </c>
      <c r="E58" s="225">
        <f t="shared" si="34"/>
        <v>351.99999999999972</v>
      </c>
      <c r="F58" s="225">
        <f t="shared" si="34"/>
        <v>5699.9999999999945</v>
      </c>
      <c r="G58" s="225">
        <f t="shared" si="34"/>
        <v>399.99999999999966</v>
      </c>
      <c r="H58" s="225">
        <f t="shared" si="34"/>
        <v>8888.8888888888814</v>
      </c>
      <c r="I58" s="225">
        <f t="shared" si="34"/>
        <v>833.33333333333258</v>
      </c>
      <c r="J58" s="225">
        <f t="shared" si="34"/>
        <v>999.99999999999909</v>
      </c>
      <c r="K58" s="225">
        <f t="shared" si="34"/>
        <v>21999.999999999982</v>
      </c>
      <c r="L58" s="225">
        <f t="shared" si="34"/>
        <v>55.555555555555507</v>
      </c>
      <c r="M58" s="225">
        <f t="shared" si="34"/>
        <v>66666.666666666599</v>
      </c>
      <c r="N58" s="225">
        <f t="shared" si="34"/>
        <v>857.14285714285631</v>
      </c>
      <c r="O58" s="225">
        <f t="shared" si="34"/>
        <v>2469.1358024691335</v>
      </c>
      <c r="P58" s="225">
        <f t="shared" si="34"/>
        <v>79999.999999999927</v>
      </c>
      <c r="Q58" s="225">
        <f t="shared" si="34"/>
        <v>1999.9999999999982</v>
      </c>
      <c r="R58" s="225">
        <f t="shared" si="34"/>
        <v>799.99999999999932</v>
      </c>
      <c r="S58" s="225">
        <f t="shared" si="34"/>
        <v>952.38095238095161</v>
      </c>
      <c r="T58" s="225">
        <f t="shared" si="34"/>
        <v>2632.9999999999977</v>
      </c>
      <c r="U58" s="225">
        <f t="shared" si="34"/>
        <v>1599.9999999999986</v>
      </c>
      <c r="V58" s="225">
        <f t="shared" si="34"/>
        <v>699.99999999999943</v>
      </c>
      <c r="W58" s="225">
        <f t="shared" si="34"/>
        <v>1199.9999999999989</v>
      </c>
      <c r="X58" s="225">
        <f t="shared" si="34"/>
        <v>599.99999999999943</v>
      </c>
      <c r="Y58" s="225">
        <f t="shared" si="34"/>
        <v>599.99999999999943</v>
      </c>
      <c r="Z58" s="225">
        <f t="shared" si="34"/>
        <v>2999.9999999999973</v>
      </c>
      <c r="AA58" s="225">
        <f t="shared" si="34"/>
        <v>14399.999999999987</v>
      </c>
      <c r="AB58" s="225">
        <f t="shared" si="34"/>
        <v>1599.9999999999986</v>
      </c>
      <c r="AC58" s="225">
        <f t="shared" si="34"/>
        <v>287999.99999999977</v>
      </c>
      <c r="AD58" s="225">
        <f t="shared" si="34"/>
        <v>165599.99999999985</v>
      </c>
      <c r="AE58" s="225">
        <f t="shared" si="34"/>
        <v>3999.9999999999964</v>
      </c>
      <c r="AF58" s="225">
        <f t="shared" si="34"/>
        <v>1199.9999999999989</v>
      </c>
      <c r="AG58" s="225">
        <f t="shared" si="34"/>
        <v>2159.9999999999982</v>
      </c>
      <c r="AH58" s="225">
        <f t="shared" si="34"/>
        <v>799.99999999999932</v>
      </c>
      <c r="AI58" s="225">
        <f t="shared" si="34"/>
        <v>2098.6009327115239</v>
      </c>
      <c r="AJ58" s="225">
        <f t="shared" si="34"/>
        <v>799.99999999999932</v>
      </c>
      <c r="AK58" s="225">
        <f t="shared" si="34"/>
        <v>769.99999999999932</v>
      </c>
      <c r="AL58" s="225">
        <f t="shared" si="34"/>
        <v>4999.9999999999955</v>
      </c>
      <c r="AM58" s="225">
        <f t="shared" si="34"/>
        <v>333333.33333333308</v>
      </c>
      <c r="AN58" s="225">
        <f t="shared" si="34"/>
        <v>299.99999999999972</v>
      </c>
      <c r="AO58" s="225">
        <f t="shared" si="34"/>
        <v>399.99999999999966</v>
      </c>
      <c r="AP58" s="225">
        <f t="shared" si="34"/>
        <v>199.99999999999983</v>
      </c>
      <c r="AQ58" s="225">
        <f t="shared" si="34"/>
        <v>131.99999999999989</v>
      </c>
      <c r="AR58" s="225">
        <f t="shared" si="34"/>
        <v>207.99999999999983</v>
      </c>
      <c r="AS58" s="225">
        <f t="shared" si="34"/>
        <v>159.99999999999986</v>
      </c>
      <c r="AT58" s="225">
        <f t="shared" si="34"/>
        <v>199.99999999999983</v>
      </c>
      <c r="AU58" s="225">
        <f t="shared" si="34"/>
        <v>24999.999999999978</v>
      </c>
      <c r="AV58" s="225">
        <f t="shared" si="34"/>
        <v>1319999.9999999988</v>
      </c>
      <c r="AW58" s="225">
        <f t="shared" si="34"/>
        <v>3999.9999999999964</v>
      </c>
      <c r="AX58" s="225">
        <f t="shared" si="34"/>
        <v>2399.9999999999977</v>
      </c>
      <c r="AY58" s="225">
        <f t="shared" si="34"/>
        <v>11999999.999999989</v>
      </c>
      <c r="AZ58" s="225">
        <f t="shared" si="34"/>
        <v>399999.99999999965</v>
      </c>
      <c r="BA58" s="225">
        <f t="shared" si="34"/>
        <v>79999.999999999927</v>
      </c>
      <c r="BB58" s="225">
        <f t="shared" si="34"/>
        <v>499.99999999999955</v>
      </c>
      <c r="BC58" s="225">
        <f t="shared" si="34"/>
        <v>799.99999999999932</v>
      </c>
      <c r="BD58" s="83">
        <f t="shared" si="34"/>
        <v>3599.9999999999968</v>
      </c>
      <c r="BE58" s="83">
        <f t="shared" si="34"/>
        <v>399.99999999999966</v>
      </c>
      <c r="BF58" s="16"/>
      <c r="BG58" s="16"/>
      <c r="BH58" s="16"/>
      <c r="BI58" s="16"/>
      <c r="BJ58" s="16"/>
      <c r="BK58" s="16"/>
    </row>
    <row r="59" spans="1:63" ht="15.75" customHeight="1">
      <c r="A59" s="190">
        <v>29</v>
      </c>
      <c r="B59" s="94"/>
      <c r="C59" s="95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9"/>
      <c r="BE59" s="99"/>
      <c r="BF59" s="16"/>
      <c r="BG59" s="16"/>
      <c r="BH59" s="16"/>
      <c r="BI59" s="16"/>
      <c r="BJ59" s="16"/>
      <c r="BK59" s="16"/>
    </row>
    <row r="60" spans="1:63" ht="15.75" customHeight="1">
      <c r="A60" s="190">
        <v>30</v>
      </c>
      <c r="B60" s="191" t="s">
        <v>380</v>
      </c>
      <c r="C60" s="71">
        <f t="shared" ref="C60:F60" si="35">IFERROR(C$7/C28,"")</f>
        <v>100</v>
      </c>
      <c r="D60" s="68">
        <f t="shared" si="35"/>
        <v>100</v>
      </c>
      <c r="E60" s="68">
        <f t="shared" si="35"/>
        <v>160</v>
      </c>
      <c r="F60" s="68">
        <f t="shared" si="35"/>
        <v>31.25</v>
      </c>
      <c r="G60" s="68" t="str">
        <f>IFERROR(G$7/G28,"Choose Bet")</f>
        <v>Choose Bet</v>
      </c>
      <c r="H60" s="68">
        <f t="shared" ref="H60:I60" si="36">IFERROR(H$7/H28,"")</f>
        <v>111.11111111111111</v>
      </c>
      <c r="I60" s="68">
        <f t="shared" si="36"/>
        <v>41.666666666666664</v>
      </c>
      <c r="J60" s="68" t="str">
        <f>IFERROR(J$7/J28,"Choose Bet")</f>
        <v>Choose Bet</v>
      </c>
      <c r="K60" s="68">
        <f t="shared" ref="K60:AI60" si="37">IFERROR(K$7/K28,"")</f>
        <v>90</v>
      </c>
      <c r="L60" s="68">
        <f t="shared" si="37"/>
        <v>44.444444444444443</v>
      </c>
      <c r="M60" s="68">
        <f t="shared" si="37"/>
        <v>1111.1111111111111</v>
      </c>
      <c r="N60" s="68">
        <f t="shared" si="37"/>
        <v>38.095238095238095</v>
      </c>
      <c r="O60" s="68">
        <f t="shared" si="37"/>
        <v>52.083333333333336</v>
      </c>
      <c r="P60" s="68">
        <f t="shared" si="37"/>
        <v>4000</v>
      </c>
      <c r="Q60" s="68">
        <f t="shared" si="37"/>
        <v>50</v>
      </c>
      <c r="R60" s="68">
        <f t="shared" si="37"/>
        <v>16.666666666666668</v>
      </c>
      <c r="S60" s="68">
        <f t="shared" si="37"/>
        <v>285.71428571428572</v>
      </c>
      <c r="T60" s="68">
        <f t="shared" si="37"/>
        <v>312.5</v>
      </c>
      <c r="U60" s="68">
        <f t="shared" si="37"/>
        <v>400</v>
      </c>
      <c r="V60" s="68">
        <f t="shared" si="37"/>
        <v>33.333333333333336</v>
      </c>
      <c r="W60" s="68">
        <f t="shared" si="37"/>
        <v>300</v>
      </c>
      <c r="X60" s="68">
        <f t="shared" si="37"/>
        <v>40</v>
      </c>
      <c r="Y60" s="68">
        <f t="shared" si="37"/>
        <v>50</v>
      </c>
      <c r="Z60" s="68">
        <f t="shared" si="37"/>
        <v>50</v>
      </c>
      <c r="AA60" s="68">
        <f t="shared" si="37"/>
        <v>100</v>
      </c>
      <c r="AB60" s="68">
        <f t="shared" si="37"/>
        <v>35</v>
      </c>
      <c r="AC60" s="68">
        <f t="shared" si="37"/>
        <v>32.325000000000003</v>
      </c>
      <c r="AD60" s="68">
        <f t="shared" si="37"/>
        <v>20000</v>
      </c>
      <c r="AE60" s="68">
        <f t="shared" si="37"/>
        <v>6</v>
      </c>
      <c r="AF60" s="68">
        <f t="shared" si="37"/>
        <v>300</v>
      </c>
      <c r="AG60" s="68">
        <f t="shared" si="37"/>
        <v>100</v>
      </c>
      <c r="AH60" s="68">
        <f t="shared" si="37"/>
        <v>300</v>
      </c>
      <c r="AI60" s="68">
        <f t="shared" si="37"/>
        <v>44.414834554741283</v>
      </c>
      <c r="AJ60" s="68" t="str">
        <f>IFERROR(AJ$7/AJ28,"Choose Bet")</f>
        <v>Choose Bet</v>
      </c>
      <c r="AK60" s="68">
        <f t="shared" ref="AK60:AM60" si="38">IFERROR(AK$7/AK28,"")</f>
        <v>10</v>
      </c>
      <c r="AL60" s="68">
        <f t="shared" si="38"/>
        <v>5</v>
      </c>
      <c r="AM60" s="68">
        <f t="shared" si="38"/>
        <v>666.66666666666663</v>
      </c>
      <c r="AN60" s="68" t="str">
        <f t="shared" ref="AN60:AT60" si="39">IFERROR(AN$7/AN28,"Choose Bet")</f>
        <v>Choose Bet</v>
      </c>
      <c r="AO60" s="68" t="str">
        <f t="shared" si="39"/>
        <v>Choose Bet</v>
      </c>
      <c r="AP60" s="68" t="str">
        <f t="shared" si="39"/>
        <v>Choose Bet</v>
      </c>
      <c r="AQ60" s="68" t="str">
        <f t="shared" si="39"/>
        <v>Choose Bet</v>
      </c>
      <c r="AR60" s="68" t="str">
        <f t="shared" si="39"/>
        <v>Choose Bet</v>
      </c>
      <c r="AS60" s="68" t="str">
        <f t="shared" si="39"/>
        <v>Choose Bet</v>
      </c>
      <c r="AT60" s="68" t="str">
        <f t="shared" si="39"/>
        <v>Choose Bet</v>
      </c>
      <c r="AU60" s="68">
        <f t="shared" ref="AU60:BE60" si="40">IFERROR(AU$7/AU28,"")</f>
        <v>5</v>
      </c>
      <c r="AV60" s="68">
        <f t="shared" si="40"/>
        <v>160</v>
      </c>
      <c r="AW60" s="68">
        <f t="shared" si="40"/>
        <v>75</v>
      </c>
      <c r="AX60" s="68">
        <f t="shared" si="40"/>
        <v>2</v>
      </c>
      <c r="AY60" s="68">
        <f t="shared" si="40"/>
        <v>350</v>
      </c>
      <c r="AZ60" s="68">
        <f t="shared" si="40"/>
        <v>5</v>
      </c>
      <c r="BA60" s="68">
        <f t="shared" si="40"/>
        <v>2</v>
      </c>
      <c r="BB60" s="68">
        <f t="shared" si="40"/>
        <v>66.666666666666671</v>
      </c>
      <c r="BC60" s="68">
        <f t="shared" si="40"/>
        <v>20</v>
      </c>
      <c r="BD60" s="83">
        <f t="shared" si="40"/>
        <v>40</v>
      </c>
      <c r="BE60" s="83">
        <f t="shared" si="40"/>
        <v>500</v>
      </c>
      <c r="BF60" s="16"/>
      <c r="BG60" s="16"/>
      <c r="BH60" s="16"/>
      <c r="BI60" s="16"/>
      <c r="BJ60" s="16"/>
      <c r="BK60" s="16"/>
    </row>
    <row r="61" spans="1:63" ht="15.75" customHeight="1">
      <c r="A61" s="190">
        <v>31</v>
      </c>
      <c r="B61" s="191" t="s">
        <v>381</v>
      </c>
      <c r="C61" s="71">
        <f t="shared" ref="C61:BE61" si="41">IFERROR(C$7/C29,"")</f>
        <v>10000</v>
      </c>
      <c r="D61" s="68">
        <f t="shared" si="41"/>
        <v>100</v>
      </c>
      <c r="E61" s="68">
        <f t="shared" si="41"/>
        <v>160</v>
      </c>
      <c r="F61" s="68">
        <f t="shared" si="41"/>
        <v>312.5</v>
      </c>
      <c r="G61" s="68">
        <f t="shared" si="41"/>
        <v>400</v>
      </c>
      <c r="H61" s="68">
        <f t="shared" si="41"/>
        <v>111.11111111111111</v>
      </c>
      <c r="I61" s="68">
        <f t="shared" si="41"/>
        <v>125</v>
      </c>
      <c r="J61" s="68">
        <f t="shared" si="41"/>
        <v>166.66666666666666</v>
      </c>
      <c r="K61" s="68">
        <f t="shared" si="41"/>
        <v>450</v>
      </c>
      <c r="L61" s="68">
        <f t="shared" si="41"/>
        <v>44.444444444444443</v>
      </c>
      <c r="M61" s="68">
        <f t="shared" si="41"/>
        <v>11111.111111111111</v>
      </c>
      <c r="N61" s="68">
        <f t="shared" si="41"/>
        <v>71.428571428571431</v>
      </c>
      <c r="O61" s="68">
        <f t="shared" si="41"/>
        <v>154.32098765432099</v>
      </c>
      <c r="P61" s="68">
        <f t="shared" si="41"/>
        <v>4000</v>
      </c>
      <c r="Q61" s="68">
        <f t="shared" si="41"/>
        <v>150</v>
      </c>
      <c r="R61" s="68">
        <f t="shared" si="41"/>
        <v>16.666666666666668</v>
      </c>
      <c r="S61" s="68">
        <f t="shared" si="41"/>
        <v>285.71428571428572</v>
      </c>
      <c r="T61" s="68">
        <f t="shared" si="41"/>
        <v>312.5</v>
      </c>
      <c r="U61" s="68">
        <f t="shared" si="41"/>
        <v>400</v>
      </c>
      <c r="V61" s="68">
        <f t="shared" si="41"/>
        <v>33.333333333333336</v>
      </c>
      <c r="W61" s="68">
        <f t="shared" si="41"/>
        <v>300</v>
      </c>
      <c r="X61" s="68">
        <f t="shared" si="41"/>
        <v>40</v>
      </c>
      <c r="Y61" s="68">
        <f t="shared" si="41"/>
        <v>50</v>
      </c>
      <c r="Z61" s="68">
        <f t="shared" si="41"/>
        <v>50</v>
      </c>
      <c r="AA61" s="68">
        <f t="shared" si="41"/>
        <v>250</v>
      </c>
      <c r="AB61" s="68">
        <f t="shared" si="41"/>
        <v>350</v>
      </c>
      <c r="AC61" s="68">
        <f t="shared" si="41"/>
        <v>129300</v>
      </c>
      <c r="AD61" s="68">
        <f t="shared" si="41"/>
        <v>40000</v>
      </c>
      <c r="AE61" s="68">
        <f t="shared" si="41"/>
        <v>6</v>
      </c>
      <c r="AF61" s="68">
        <f t="shared" si="41"/>
        <v>300</v>
      </c>
      <c r="AG61" s="68">
        <f t="shared" si="41"/>
        <v>100</v>
      </c>
      <c r="AH61" s="68">
        <f t="shared" si="41"/>
        <v>300</v>
      </c>
      <c r="AI61" s="68">
        <f t="shared" si="41"/>
        <v>133.24450366422386</v>
      </c>
      <c r="AJ61" s="68">
        <f t="shared" si="41"/>
        <v>200</v>
      </c>
      <c r="AK61" s="68">
        <f t="shared" si="41"/>
        <v>10</v>
      </c>
      <c r="AL61" s="68">
        <f t="shared" si="41"/>
        <v>10</v>
      </c>
      <c r="AM61" s="68">
        <f t="shared" si="41"/>
        <v>6666.666666666667</v>
      </c>
      <c r="AN61" s="68">
        <f t="shared" si="41"/>
        <v>30</v>
      </c>
      <c r="AO61" s="68">
        <f t="shared" si="41"/>
        <v>50</v>
      </c>
      <c r="AP61" s="68">
        <f t="shared" si="41"/>
        <v>50</v>
      </c>
      <c r="AQ61" s="68">
        <f t="shared" si="41"/>
        <v>30</v>
      </c>
      <c r="AR61" s="68">
        <f t="shared" si="41"/>
        <v>12</v>
      </c>
      <c r="AS61" s="68">
        <f t="shared" si="41"/>
        <v>68</v>
      </c>
      <c r="AT61" s="68">
        <f t="shared" si="41"/>
        <v>50</v>
      </c>
      <c r="AU61" s="68">
        <f t="shared" si="41"/>
        <v>250</v>
      </c>
      <c r="AV61" s="68">
        <f t="shared" si="41"/>
        <v>3200</v>
      </c>
      <c r="AW61" s="68">
        <f t="shared" si="41"/>
        <v>150</v>
      </c>
      <c r="AX61" s="68">
        <f t="shared" si="41"/>
        <v>40</v>
      </c>
      <c r="AY61" s="68">
        <f t="shared" si="41"/>
        <v>7000</v>
      </c>
      <c r="AZ61" s="68">
        <f t="shared" si="41"/>
        <v>100</v>
      </c>
      <c r="BA61" s="68">
        <f t="shared" si="41"/>
        <v>80</v>
      </c>
      <c r="BB61" s="68">
        <f t="shared" si="41"/>
        <v>66.666666666666671</v>
      </c>
      <c r="BC61" s="68">
        <f t="shared" si="41"/>
        <v>20</v>
      </c>
      <c r="BD61" s="83">
        <f t="shared" si="41"/>
        <v>400</v>
      </c>
      <c r="BE61" s="83">
        <f t="shared" si="41"/>
        <v>1000</v>
      </c>
      <c r="BF61" s="16"/>
      <c r="BG61" s="16"/>
      <c r="BH61" s="16"/>
      <c r="BI61" s="16"/>
      <c r="BJ61" s="16"/>
      <c r="BK61" s="16"/>
    </row>
    <row r="62" spans="1:63" ht="15.75" customHeight="1">
      <c r="A62" s="16"/>
      <c r="B62" s="94"/>
      <c r="C62" s="95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9"/>
      <c r="BE62" s="99"/>
      <c r="BF62" s="16"/>
      <c r="BG62" s="16"/>
      <c r="BH62" s="16"/>
      <c r="BI62" s="16"/>
      <c r="BJ62" s="16"/>
      <c r="BK62" s="16"/>
    </row>
    <row r="63" spans="1:63" ht="15.75" customHeight="1">
      <c r="A63" s="16"/>
      <c r="B63" s="191" t="s">
        <v>382</v>
      </c>
      <c r="C63" s="224">
        <f t="shared" ref="C63:F63" si="42">IFERROR(C46/C28/(1-0.95)-1,"")</f>
        <v>554.59999999999957</v>
      </c>
      <c r="D63" s="225">
        <f t="shared" si="42"/>
        <v>354.99999999999972</v>
      </c>
      <c r="E63" s="225">
        <f t="shared" si="42"/>
        <v>2207.3199999999979</v>
      </c>
      <c r="F63" s="225">
        <f t="shared" si="42"/>
        <v>1707.4999999999984</v>
      </c>
      <c r="G63" s="225" t="str">
        <f>IFERROR(G46/G28/(1-0.95)-1,"Choose Bet")</f>
        <v>Choose Bet</v>
      </c>
      <c r="H63" s="225">
        <f t="shared" ref="H63:I63" si="43">IFERROR(H46/H28/(1-0.95)-1,"")</f>
        <v>2458.2592592592573</v>
      </c>
      <c r="I63" s="225">
        <f t="shared" si="43"/>
        <v>165.99999999999986</v>
      </c>
      <c r="J63" s="225" t="str">
        <f>IFERROR(J46/J28/(1-0.95)-1,"Choose Bet")</f>
        <v>Choose Bet</v>
      </c>
      <c r="K63" s="225">
        <f t="shared" ref="K63:AI63" si="44">IFERROR(K46/K28/(1-0.95)-1,"")</f>
        <v>2303.3999999999978</v>
      </c>
      <c r="L63" s="225">
        <f t="shared" si="44"/>
        <v>643.44444444444389</v>
      </c>
      <c r="M63" s="225">
        <f t="shared" si="44"/>
        <v>5594.5555555555502</v>
      </c>
      <c r="N63" s="225">
        <f t="shared" si="44"/>
        <v>1753.2857142857126</v>
      </c>
      <c r="O63" s="225">
        <f t="shared" si="44"/>
        <v>269.21666666666647</v>
      </c>
      <c r="P63" s="225">
        <f t="shared" si="44"/>
        <v>68125.666666666613</v>
      </c>
      <c r="Q63" s="225">
        <f t="shared" si="44"/>
        <v>3424.5555555555525</v>
      </c>
      <c r="R63" s="225">
        <f t="shared" si="44"/>
        <v>242.55199999999982</v>
      </c>
      <c r="S63" s="225">
        <f t="shared" si="44"/>
        <v>3249.339999999997</v>
      </c>
      <c r="T63" s="225">
        <f t="shared" si="44"/>
        <v>1598.9999999999986</v>
      </c>
      <c r="U63" s="225">
        <f t="shared" si="44"/>
        <v>8538.9999999999927</v>
      </c>
      <c r="V63" s="225">
        <f t="shared" si="44"/>
        <v>465.66666666666623</v>
      </c>
      <c r="W63" s="225">
        <f t="shared" si="44"/>
        <v>2143.7999999999979</v>
      </c>
      <c r="X63" s="225">
        <f t="shared" si="44"/>
        <v>1398.9999999999989</v>
      </c>
      <c r="Y63" s="225">
        <f t="shared" si="44"/>
        <v>1371.9166666666654</v>
      </c>
      <c r="Z63" s="225">
        <f t="shared" si="44"/>
        <v>1498.9999999999986</v>
      </c>
      <c r="AA63" s="225">
        <f t="shared" si="44"/>
        <v>254.99999999999977</v>
      </c>
      <c r="AB63" s="225">
        <f t="shared" si="44"/>
        <v>126.24999999999989</v>
      </c>
      <c r="AC63" s="225">
        <f t="shared" si="44"/>
        <v>0.3735999999999986</v>
      </c>
      <c r="AD63" s="225">
        <f t="shared" si="44"/>
        <v>109598.9999999999</v>
      </c>
      <c r="AE63" s="225">
        <f t="shared" si="44"/>
        <v>5982.9999999999945</v>
      </c>
      <c r="AF63" s="225">
        <f t="shared" si="44"/>
        <v>3059.9999999999977</v>
      </c>
      <c r="AG63" s="225">
        <f t="shared" si="44"/>
        <v>1038.9999999999991</v>
      </c>
      <c r="AH63" s="225">
        <f t="shared" si="44"/>
        <v>1518.9999999999986</v>
      </c>
      <c r="AI63" s="225">
        <f t="shared" si="44"/>
        <v>360.53675327559375</v>
      </c>
      <c r="AJ63" s="225" t="str">
        <f>IFERROR(AJ46/AJ28/(1-0.95)-1,"Choose Bet")</f>
        <v>Choose Bet</v>
      </c>
      <c r="AK63" s="225">
        <f t="shared" ref="AK63:AM63" si="45">IFERROR(AK46/AK28/(1-0.95)-1,"")</f>
        <v>1596.5999999999985</v>
      </c>
      <c r="AL63" s="225">
        <f t="shared" si="45"/>
        <v>2790.9999999999973</v>
      </c>
      <c r="AM63" s="225">
        <f t="shared" si="45"/>
        <v>25198.999999999978</v>
      </c>
      <c r="AN63" s="225" t="str">
        <f t="shared" ref="AN63:AT63" si="46">IFERROR(AN46/AN28/(1-0.95)-1,"Choose Bet")</f>
        <v>Choose Bet</v>
      </c>
      <c r="AO63" s="225" t="str">
        <f t="shared" si="46"/>
        <v>Choose Bet</v>
      </c>
      <c r="AP63" s="225" t="str">
        <f t="shared" si="46"/>
        <v>Choose Bet</v>
      </c>
      <c r="AQ63" s="225" t="str">
        <f t="shared" si="46"/>
        <v>Choose Bet</v>
      </c>
      <c r="AR63" s="225" t="str">
        <f t="shared" si="46"/>
        <v>Choose Bet</v>
      </c>
      <c r="AS63" s="225" t="str">
        <f t="shared" si="46"/>
        <v>Choose Bet</v>
      </c>
      <c r="AT63" s="225" t="str">
        <f t="shared" si="46"/>
        <v>Choose Bet</v>
      </c>
      <c r="AU63" s="225">
        <f t="shared" ref="AU63:BE63" si="47">IFERROR(AU46/AU28/(1-0.95)-1,"")</f>
        <v>124.99999999999989</v>
      </c>
      <c r="AV63" s="225">
        <f t="shared" si="47"/>
        <v>14640.799999999988</v>
      </c>
      <c r="AW63" s="225">
        <f t="shared" si="47"/>
        <v>1252.9999999999989</v>
      </c>
      <c r="AX63" s="225">
        <f t="shared" si="47"/>
        <v>179.99199999999985</v>
      </c>
      <c r="AY63" s="225">
        <f t="shared" si="47"/>
        <v>15578.999999999985</v>
      </c>
      <c r="AZ63" s="225">
        <f t="shared" si="47"/>
        <v>106.99999999999991</v>
      </c>
      <c r="BA63" s="225">
        <f t="shared" si="47"/>
        <v>25.099999999999977</v>
      </c>
      <c r="BB63" s="225">
        <f t="shared" si="47"/>
        <v>487.38573333333284</v>
      </c>
      <c r="BC63" s="225">
        <f t="shared" si="47"/>
        <v>1141.4797219003465</v>
      </c>
      <c r="BD63" s="83">
        <f t="shared" si="47"/>
        <v>198.99999999999983</v>
      </c>
      <c r="BE63" s="83">
        <f t="shared" si="47"/>
        <v>309.66666666666634</v>
      </c>
      <c r="BF63" s="16"/>
      <c r="BG63" s="16"/>
      <c r="BH63" s="16"/>
      <c r="BI63" s="16"/>
      <c r="BJ63" s="16"/>
      <c r="BK63" s="16"/>
    </row>
    <row r="64" spans="1:63" ht="15.75" customHeight="1">
      <c r="A64" s="16"/>
      <c r="B64" s="94"/>
      <c r="C64" s="95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9"/>
      <c r="BE64" s="99"/>
      <c r="BF64" s="16"/>
      <c r="BG64" s="16"/>
      <c r="BH64" s="16"/>
      <c r="BI64" s="16"/>
      <c r="BJ64" s="16"/>
      <c r="BK64" s="16"/>
    </row>
    <row r="65" spans="1:63" ht="15.75" customHeight="1">
      <c r="A65" s="16"/>
      <c r="B65" s="191" t="s">
        <v>383</v>
      </c>
      <c r="C65" s="226">
        <f t="shared" ref="C65:BE65" si="48">C35/C$68</f>
        <v>0.29085673146148311</v>
      </c>
      <c r="D65" s="227">
        <f t="shared" si="48"/>
        <v>1</v>
      </c>
      <c r="E65" s="227">
        <f t="shared" si="48"/>
        <v>0.61730184031299806</v>
      </c>
      <c r="F65" s="227">
        <f t="shared" si="48"/>
        <v>0.31870061457418786</v>
      </c>
      <c r="G65" s="227">
        <f t="shared" si="48"/>
        <v>0.51100244498777503</v>
      </c>
      <c r="H65" s="227">
        <f t="shared" si="48"/>
        <v>0.45180722891566266</v>
      </c>
      <c r="I65" s="227">
        <f t="shared" si="48"/>
        <v>0.83366600133067204</v>
      </c>
      <c r="J65" s="227">
        <f t="shared" si="48"/>
        <v>0.23347778981581799</v>
      </c>
      <c r="K65" s="227">
        <f t="shared" si="48"/>
        <v>6.2662732164554757E-2</v>
      </c>
      <c r="L65" s="227">
        <f t="shared" si="48"/>
        <v>0.11796733212341198</v>
      </c>
      <c r="M65" s="227">
        <f t="shared" si="48"/>
        <v>0.30976965845909449</v>
      </c>
      <c r="N65" s="227">
        <f t="shared" si="48"/>
        <v>0.5439739413680782</v>
      </c>
      <c r="O65" s="227">
        <f t="shared" si="48"/>
        <v>0.58058348239067414</v>
      </c>
      <c r="P65" s="227">
        <f t="shared" si="48"/>
        <v>0.22017809961835796</v>
      </c>
      <c r="Q65" s="227">
        <f t="shared" si="48"/>
        <v>5.0924424262082379E-2</v>
      </c>
      <c r="R65" s="227">
        <f t="shared" si="48"/>
        <v>0.55030821617833825</v>
      </c>
      <c r="S65" s="227">
        <f t="shared" si="48"/>
        <v>0.35161156766896473</v>
      </c>
      <c r="T65" s="227">
        <f t="shared" si="48"/>
        <v>1</v>
      </c>
      <c r="U65" s="227">
        <f t="shared" si="48"/>
        <v>0.36533957845433251</v>
      </c>
      <c r="V65" s="227">
        <f t="shared" si="48"/>
        <v>0</v>
      </c>
      <c r="W65" s="227">
        <f t="shared" si="48"/>
        <v>8.392390898918313E-2</v>
      </c>
      <c r="X65" s="227">
        <f t="shared" si="48"/>
        <v>0.42857142857142855</v>
      </c>
      <c r="Y65" s="227">
        <f t="shared" si="48"/>
        <v>0.41274658573596351</v>
      </c>
      <c r="Z65" s="227">
        <f t="shared" si="48"/>
        <v>0.66666666666666663</v>
      </c>
      <c r="AA65" s="227">
        <f t="shared" si="48"/>
        <v>0.953125</v>
      </c>
      <c r="AB65" s="227">
        <f t="shared" si="48"/>
        <v>0.37131630648330055</v>
      </c>
      <c r="AC65" s="227">
        <f t="shared" si="48"/>
        <v>0.70879440885264999</v>
      </c>
      <c r="AD65" s="227">
        <f t="shared" si="48"/>
        <v>0.62226277372262773</v>
      </c>
      <c r="AE65" s="227">
        <f t="shared" si="48"/>
        <v>0.13368983957219252</v>
      </c>
      <c r="AF65" s="227">
        <f t="shared" si="48"/>
        <v>7.5465534139170204E-2</v>
      </c>
      <c r="AG65" s="227">
        <f t="shared" si="48"/>
        <v>0.35897435897435898</v>
      </c>
      <c r="AH65" s="227">
        <f t="shared" si="48"/>
        <v>0.89473684210526316</v>
      </c>
      <c r="AI65" s="227">
        <f t="shared" si="48"/>
        <v>0.6314496314496314</v>
      </c>
      <c r="AJ65" s="227">
        <f t="shared" si="48"/>
        <v>0.25026303923042237</v>
      </c>
      <c r="AK65" s="227">
        <f t="shared" si="48"/>
        <v>0.12368552829243867</v>
      </c>
      <c r="AL65" s="227">
        <f t="shared" si="48"/>
        <v>0.71346704871060163</v>
      </c>
      <c r="AM65" s="227">
        <f t="shared" si="48"/>
        <v>7.9365079365079361E-2</v>
      </c>
      <c r="AN65" s="227">
        <f t="shared" si="48"/>
        <v>0.31871011696121487</v>
      </c>
      <c r="AO65" s="227">
        <f t="shared" si="48"/>
        <v>0.72446194225721794</v>
      </c>
      <c r="AP65" s="227">
        <f t="shared" si="48"/>
        <v>1</v>
      </c>
      <c r="AQ65" s="227">
        <f t="shared" si="48"/>
        <v>0.93579290902923162</v>
      </c>
      <c r="AR65" s="227">
        <f t="shared" si="48"/>
        <v>0.14472536015739038</v>
      </c>
      <c r="AS65" s="227">
        <f t="shared" si="48"/>
        <v>1</v>
      </c>
      <c r="AT65" s="227">
        <f t="shared" si="48"/>
        <v>0.41629005230284877</v>
      </c>
      <c r="AU65" s="227">
        <f t="shared" si="48"/>
        <v>0.84126984126984128</v>
      </c>
      <c r="AV65" s="227">
        <f t="shared" si="48"/>
        <v>0</v>
      </c>
      <c r="AW65" s="227">
        <f t="shared" si="48"/>
        <v>7.9744816586921854E-2</v>
      </c>
      <c r="AX65" s="227">
        <f t="shared" si="48"/>
        <v>1.4586280056577085E-2</v>
      </c>
      <c r="AY65" s="227">
        <f t="shared" si="48"/>
        <v>0.45571245186136072</v>
      </c>
      <c r="AZ65" s="227">
        <f t="shared" si="48"/>
        <v>1</v>
      </c>
      <c r="BA65" s="227">
        <f t="shared" si="48"/>
        <v>1</v>
      </c>
      <c r="BB65" s="227">
        <f t="shared" si="48"/>
        <v>0.77476819552195497</v>
      </c>
      <c r="BC65" s="227">
        <f t="shared" si="48"/>
        <v>0.50983812730739575</v>
      </c>
      <c r="BD65" s="228">
        <f t="shared" si="48"/>
        <v>0.5</v>
      </c>
      <c r="BE65" s="228">
        <f t="shared" si="48"/>
        <v>1</v>
      </c>
      <c r="BF65" s="16"/>
      <c r="BG65" s="16"/>
      <c r="BH65" s="16"/>
      <c r="BI65" s="16"/>
      <c r="BJ65" s="16"/>
      <c r="BK65" s="16"/>
    </row>
    <row r="66" spans="1:63" ht="15.75" customHeight="1">
      <c r="A66" s="16"/>
      <c r="B66" s="191" t="s">
        <v>384</v>
      </c>
      <c r="C66" s="226">
        <f t="shared" ref="C66:BE66" si="49">C38/C68</f>
        <v>3.5997120230381568E-2</v>
      </c>
      <c r="D66" s="227">
        <f t="shared" si="49"/>
        <v>0</v>
      </c>
      <c r="E66" s="227">
        <f t="shared" si="49"/>
        <v>0.1065063034342849</v>
      </c>
      <c r="F66" s="227">
        <f t="shared" si="49"/>
        <v>0.68129938542581214</v>
      </c>
      <c r="G66" s="227">
        <f t="shared" si="49"/>
        <v>0.48899755501222497</v>
      </c>
      <c r="H66" s="227">
        <f t="shared" si="49"/>
        <v>0.37951807228915663</v>
      </c>
      <c r="I66" s="227">
        <f t="shared" si="49"/>
        <v>0.16633399866932802</v>
      </c>
      <c r="J66" s="227">
        <f t="shared" si="49"/>
        <v>0.11105092091007585</v>
      </c>
      <c r="K66" s="227">
        <f t="shared" si="49"/>
        <v>0.10414858531504947</v>
      </c>
      <c r="L66" s="227">
        <f t="shared" si="49"/>
        <v>0.88203266787658807</v>
      </c>
      <c r="M66" s="227">
        <f t="shared" si="49"/>
        <v>0.39714058776806987</v>
      </c>
      <c r="N66" s="227">
        <f t="shared" si="49"/>
        <v>0.23887079261672095</v>
      </c>
      <c r="O66" s="227">
        <f t="shared" si="49"/>
        <v>0.41941651760932591</v>
      </c>
      <c r="P66" s="227">
        <f t="shared" si="49"/>
        <v>0.55602309423622664</v>
      </c>
      <c r="Q66" s="227">
        <f t="shared" si="49"/>
        <v>0.54362633798248461</v>
      </c>
      <c r="R66" s="227">
        <f t="shared" si="49"/>
        <v>0.10949064949853281</v>
      </c>
      <c r="S66" s="227">
        <f t="shared" si="49"/>
        <v>8.7902891917241183E-2</v>
      </c>
      <c r="T66" s="227">
        <f t="shared" si="49"/>
        <v>0</v>
      </c>
      <c r="U66" s="227">
        <f t="shared" si="49"/>
        <v>0.18149882903981263</v>
      </c>
      <c r="V66" s="227">
        <f t="shared" si="49"/>
        <v>5.7142857142857148E-2</v>
      </c>
      <c r="W66" s="227">
        <f t="shared" si="49"/>
        <v>0.91607609101081677</v>
      </c>
      <c r="X66" s="227">
        <f t="shared" si="49"/>
        <v>0.5714285714285714</v>
      </c>
      <c r="Y66" s="227">
        <f t="shared" si="49"/>
        <v>0.39301972685887704</v>
      </c>
      <c r="Z66" s="227">
        <f t="shared" si="49"/>
        <v>0.33333333333333331</v>
      </c>
      <c r="AA66" s="227">
        <f t="shared" si="49"/>
        <v>4.6875E-2</v>
      </c>
      <c r="AB66" s="227">
        <f t="shared" si="49"/>
        <v>0.62868369351669939</v>
      </c>
      <c r="AC66" s="227">
        <f t="shared" si="49"/>
        <v>0.29120559114735006</v>
      </c>
      <c r="AD66" s="227">
        <f t="shared" si="49"/>
        <v>0.37773722627737222</v>
      </c>
      <c r="AE66" s="227">
        <f t="shared" si="49"/>
        <v>0.26737967914438504</v>
      </c>
      <c r="AF66" s="227">
        <f t="shared" si="49"/>
        <v>0.92453446586082988</v>
      </c>
      <c r="AG66" s="227">
        <f t="shared" si="49"/>
        <v>0.64102564102564108</v>
      </c>
      <c r="AH66" s="227">
        <f t="shared" si="49"/>
        <v>0.10526315789473685</v>
      </c>
      <c r="AI66" s="227">
        <f t="shared" si="49"/>
        <v>0.36855036855036849</v>
      </c>
      <c r="AJ66" s="227">
        <f t="shared" si="49"/>
        <v>5.7117090034570862E-2</v>
      </c>
      <c r="AK66" s="227">
        <f t="shared" si="49"/>
        <v>0.87631447170756138</v>
      </c>
      <c r="AL66" s="227">
        <f t="shared" si="49"/>
        <v>0.28653295128939826</v>
      </c>
      <c r="AM66" s="227">
        <f t="shared" si="49"/>
        <v>0.70899470899470907</v>
      </c>
      <c r="AN66" s="227">
        <f t="shared" si="49"/>
        <v>0.68128988303878502</v>
      </c>
      <c r="AO66" s="227">
        <f t="shared" si="49"/>
        <v>0.27553805774278212</v>
      </c>
      <c r="AP66" s="227">
        <f t="shared" si="49"/>
        <v>0</v>
      </c>
      <c r="AQ66" s="227">
        <f t="shared" si="49"/>
        <v>6.4207090970768155E-2</v>
      </c>
      <c r="AR66" s="227">
        <f t="shared" si="49"/>
        <v>0.26030097734340296</v>
      </c>
      <c r="AS66" s="227">
        <f t="shared" si="49"/>
        <v>0</v>
      </c>
      <c r="AT66" s="227">
        <f t="shared" si="49"/>
        <v>0.58370994769715134</v>
      </c>
      <c r="AU66" s="227">
        <f t="shared" si="49"/>
        <v>0.15873015873015872</v>
      </c>
      <c r="AV66" s="227">
        <f t="shared" si="49"/>
        <v>1</v>
      </c>
      <c r="AW66" s="227">
        <f t="shared" si="49"/>
        <v>0.59330143540669855</v>
      </c>
      <c r="AX66" s="227">
        <f t="shared" si="49"/>
        <v>0.90390735502121644</v>
      </c>
      <c r="AY66" s="227">
        <f t="shared" si="49"/>
        <v>0.28754813863928114</v>
      </c>
      <c r="AZ66" s="227">
        <f t="shared" si="49"/>
        <v>0</v>
      </c>
      <c r="BA66" s="227">
        <f t="shared" si="49"/>
        <v>0</v>
      </c>
      <c r="BB66" s="227">
        <f t="shared" si="49"/>
        <v>0.22523180447804511</v>
      </c>
      <c r="BC66" s="227">
        <f t="shared" si="49"/>
        <v>0.49016187269260414</v>
      </c>
      <c r="BD66" s="228">
        <f t="shared" si="49"/>
        <v>0.5</v>
      </c>
      <c r="BE66" s="228">
        <f t="shared" si="49"/>
        <v>0</v>
      </c>
      <c r="BF66" s="16"/>
      <c r="BG66" s="16"/>
      <c r="BH66" s="16"/>
      <c r="BI66" s="16"/>
      <c r="BJ66" s="16"/>
      <c r="BK66" s="16"/>
    </row>
    <row r="67" spans="1:63" ht="15.75" customHeight="1">
      <c r="A67" s="16"/>
      <c r="B67" s="191" t="s">
        <v>385</v>
      </c>
      <c r="C67" s="226">
        <f t="shared" ref="C67:BE67" si="50">C44/C68</f>
        <v>0.5759539236861051</v>
      </c>
      <c r="D67" s="227">
        <f t="shared" si="50"/>
        <v>0</v>
      </c>
      <c r="E67" s="227">
        <f t="shared" si="50"/>
        <v>0.23996522243153165</v>
      </c>
      <c r="F67" s="227">
        <f t="shared" si="50"/>
        <v>0</v>
      </c>
      <c r="G67" s="227">
        <f t="shared" si="50"/>
        <v>0</v>
      </c>
      <c r="H67" s="227">
        <f t="shared" si="50"/>
        <v>0</v>
      </c>
      <c r="I67" s="227">
        <f t="shared" si="50"/>
        <v>0</v>
      </c>
      <c r="J67" s="227">
        <f t="shared" si="50"/>
        <v>0</v>
      </c>
      <c r="K67" s="227">
        <f t="shared" si="50"/>
        <v>0</v>
      </c>
      <c r="L67" s="227">
        <f t="shared" si="50"/>
        <v>0</v>
      </c>
      <c r="M67" s="227">
        <f t="shared" si="50"/>
        <v>3.971405877680699E-2</v>
      </c>
      <c r="N67" s="227">
        <f t="shared" si="50"/>
        <v>0</v>
      </c>
      <c r="O67" s="227">
        <f t="shared" si="50"/>
        <v>0</v>
      </c>
      <c r="P67" s="227">
        <f t="shared" si="50"/>
        <v>3.9142773265485861E-2</v>
      </c>
      <c r="Q67" s="227">
        <f t="shared" si="50"/>
        <v>0</v>
      </c>
      <c r="R67" s="227">
        <f t="shared" si="50"/>
        <v>0</v>
      </c>
      <c r="S67" s="227">
        <f t="shared" si="50"/>
        <v>0.35161156766896473</v>
      </c>
      <c r="T67" s="227">
        <f t="shared" si="50"/>
        <v>0</v>
      </c>
      <c r="U67" s="227">
        <f t="shared" si="50"/>
        <v>0.37096018735362996</v>
      </c>
      <c r="V67" s="227">
        <f t="shared" si="50"/>
        <v>0</v>
      </c>
      <c r="W67" s="227">
        <f t="shared" si="50"/>
        <v>0</v>
      </c>
      <c r="X67" s="227">
        <f t="shared" si="50"/>
        <v>0</v>
      </c>
      <c r="Y67" s="227">
        <f t="shared" si="50"/>
        <v>0</v>
      </c>
      <c r="Z67" s="227">
        <f t="shared" si="50"/>
        <v>0</v>
      </c>
      <c r="AA67" s="227">
        <f t="shared" si="50"/>
        <v>0</v>
      </c>
      <c r="AB67" s="227">
        <f t="shared" si="50"/>
        <v>0</v>
      </c>
      <c r="AC67" s="227">
        <f t="shared" si="50"/>
        <v>0</v>
      </c>
      <c r="AD67" s="227">
        <f t="shared" si="50"/>
        <v>0</v>
      </c>
      <c r="AE67" s="227">
        <f t="shared" si="50"/>
        <v>0.13368983957219252</v>
      </c>
      <c r="AF67" s="227">
        <f t="shared" si="50"/>
        <v>0</v>
      </c>
      <c r="AG67" s="227">
        <f t="shared" si="50"/>
        <v>0</v>
      </c>
      <c r="AH67" s="227">
        <f t="shared" si="50"/>
        <v>0</v>
      </c>
      <c r="AI67" s="227">
        <f t="shared" si="50"/>
        <v>0</v>
      </c>
      <c r="AJ67" s="227">
        <f t="shared" si="50"/>
        <v>0</v>
      </c>
      <c r="AK67" s="227">
        <f t="shared" si="50"/>
        <v>0</v>
      </c>
      <c r="AL67" s="227">
        <f t="shared" si="50"/>
        <v>0</v>
      </c>
      <c r="AM67" s="227">
        <f t="shared" si="50"/>
        <v>0</v>
      </c>
      <c r="AN67" s="227">
        <f t="shared" si="50"/>
        <v>0</v>
      </c>
      <c r="AO67" s="227">
        <f t="shared" si="50"/>
        <v>0</v>
      </c>
      <c r="AP67" s="227">
        <f t="shared" si="50"/>
        <v>0</v>
      </c>
      <c r="AQ67" s="227">
        <f t="shared" si="50"/>
        <v>0</v>
      </c>
      <c r="AR67" s="227">
        <f t="shared" si="50"/>
        <v>0</v>
      </c>
      <c r="AS67" s="227">
        <f t="shared" si="50"/>
        <v>0</v>
      </c>
      <c r="AT67" s="227">
        <f t="shared" si="50"/>
        <v>0</v>
      </c>
      <c r="AU67" s="227">
        <f t="shared" si="50"/>
        <v>0</v>
      </c>
      <c r="AV67" s="227">
        <f t="shared" si="50"/>
        <v>0</v>
      </c>
      <c r="AW67" s="227">
        <f t="shared" si="50"/>
        <v>0</v>
      </c>
      <c r="AX67" s="227">
        <f t="shared" si="50"/>
        <v>0</v>
      </c>
      <c r="AY67" s="227">
        <f t="shared" si="50"/>
        <v>0</v>
      </c>
      <c r="AZ67" s="227">
        <f t="shared" si="50"/>
        <v>0</v>
      </c>
      <c r="BA67" s="227">
        <f t="shared" si="50"/>
        <v>0</v>
      </c>
      <c r="BB67" s="227">
        <f t="shared" si="50"/>
        <v>0</v>
      </c>
      <c r="BC67" s="227">
        <f t="shared" si="50"/>
        <v>0</v>
      </c>
      <c r="BD67" s="228">
        <f t="shared" si="50"/>
        <v>0</v>
      </c>
      <c r="BE67" s="228">
        <f t="shared" si="50"/>
        <v>0</v>
      </c>
      <c r="BF67" s="16"/>
      <c r="BG67" s="16"/>
      <c r="BH67" s="16"/>
      <c r="BI67" s="16"/>
      <c r="BJ67" s="16"/>
      <c r="BK67" s="16"/>
    </row>
    <row r="68" spans="1:63" ht="15.75" customHeight="1">
      <c r="A68" s="16"/>
      <c r="B68" s="229" t="s">
        <v>386</v>
      </c>
      <c r="C68" s="230">
        <f t="shared" ref="C68:BE68" si="51">C47</f>
        <v>1.5433333333333332</v>
      </c>
      <c r="D68" s="231">
        <f t="shared" si="51"/>
        <v>1.4239999999999999</v>
      </c>
      <c r="E68" s="231">
        <f t="shared" si="51"/>
        <v>6.2736363636363635</v>
      </c>
      <c r="F68" s="231">
        <f t="shared" si="51"/>
        <v>2.9973684210526317</v>
      </c>
      <c r="G68" s="231">
        <f t="shared" si="51"/>
        <v>0.81799999999999995</v>
      </c>
      <c r="H68" s="231">
        <f t="shared" si="51"/>
        <v>0.27666666666666667</v>
      </c>
      <c r="I68" s="231">
        <f t="shared" si="51"/>
        <v>0.60119999999999996</v>
      </c>
      <c r="J68" s="231">
        <f t="shared" si="51"/>
        <v>2.4613333333333332</v>
      </c>
      <c r="K68" s="231">
        <f t="shared" si="51"/>
        <v>0.52372727272727271</v>
      </c>
      <c r="L68" s="231">
        <f t="shared" si="51"/>
        <v>11.6</v>
      </c>
      <c r="M68" s="231">
        <f t="shared" si="51"/>
        <v>0.83933333333333338</v>
      </c>
      <c r="N68" s="231">
        <f t="shared" si="51"/>
        <v>3.8374999999999999</v>
      </c>
      <c r="O68" s="231">
        <f t="shared" si="51"/>
        <v>0.32425999999999999</v>
      </c>
      <c r="P68" s="231">
        <f t="shared" si="51"/>
        <v>0.85158333333333336</v>
      </c>
      <c r="Q68" s="231">
        <f t="shared" si="51"/>
        <v>5.1383333333333336</v>
      </c>
      <c r="R68" s="231">
        <f t="shared" si="51"/>
        <v>0.30444000000000004</v>
      </c>
      <c r="S68" s="231">
        <f t="shared" si="51"/>
        <v>3.4128569999999998</v>
      </c>
      <c r="T68" s="231">
        <f t="shared" si="51"/>
        <v>0.60767185719711359</v>
      </c>
      <c r="U68" s="231">
        <f t="shared" si="51"/>
        <v>5.3375000000000004</v>
      </c>
      <c r="V68" s="231">
        <f t="shared" si="51"/>
        <v>0.66666666666666663</v>
      </c>
      <c r="W68" s="231">
        <f t="shared" si="51"/>
        <v>1.7873333333333334</v>
      </c>
      <c r="X68" s="231">
        <f t="shared" si="51"/>
        <v>2.3333333333333335</v>
      </c>
      <c r="Y68" s="231">
        <f t="shared" si="51"/>
        <v>2.2881944444444446</v>
      </c>
      <c r="Z68" s="231">
        <f t="shared" si="51"/>
        <v>0.5</v>
      </c>
      <c r="AA68" s="231">
        <f t="shared" si="51"/>
        <v>4.4444444444444446E-2</v>
      </c>
      <c r="AB68" s="231">
        <f t="shared" si="51"/>
        <v>0.79531249999999998</v>
      </c>
      <c r="AC68" s="231">
        <f t="shared" si="51"/>
        <v>1.9077777777777777E-2</v>
      </c>
      <c r="AD68" s="231">
        <f t="shared" si="51"/>
        <v>1.3236714975845412</v>
      </c>
      <c r="AE68" s="231">
        <f t="shared" si="51"/>
        <v>1.496</v>
      </c>
      <c r="AF68" s="231">
        <f t="shared" si="51"/>
        <v>2.5508333333333333</v>
      </c>
      <c r="AG68" s="231">
        <f t="shared" si="51"/>
        <v>0.48148148148148145</v>
      </c>
      <c r="AH68" s="231">
        <f t="shared" si="51"/>
        <v>1.9</v>
      </c>
      <c r="AI68" s="231">
        <f t="shared" si="51"/>
        <v>0.51682539682539685</v>
      </c>
      <c r="AJ68" s="231">
        <f t="shared" si="51"/>
        <v>2.2176666666666667</v>
      </c>
      <c r="AK68" s="231">
        <f t="shared" si="51"/>
        <v>2.0748051948051947</v>
      </c>
      <c r="AL68" s="231">
        <f t="shared" si="51"/>
        <v>1.1168</v>
      </c>
      <c r="AM68" s="231">
        <f t="shared" si="51"/>
        <v>0.75600000000000001</v>
      </c>
      <c r="AN68" s="231">
        <f t="shared" si="51"/>
        <v>1.5656575757575759</v>
      </c>
      <c r="AO68" s="231">
        <f t="shared" si="51"/>
        <v>3.81</v>
      </c>
      <c r="AP68" s="231">
        <f t="shared" si="51"/>
        <v>2.2676923076923079</v>
      </c>
      <c r="AQ68" s="231">
        <f t="shared" si="51"/>
        <v>3.2382196969696975</v>
      </c>
      <c r="AR68" s="231">
        <f t="shared" si="51"/>
        <v>2.5857641025641023</v>
      </c>
      <c r="AS68" s="231">
        <f t="shared" si="51"/>
        <v>1.75</v>
      </c>
      <c r="AT68" s="231">
        <f t="shared" si="51"/>
        <v>3.9386000000000001</v>
      </c>
      <c r="AU68" s="231">
        <f t="shared" si="51"/>
        <v>0.252</v>
      </c>
      <c r="AV68" s="231">
        <f t="shared" si="51"/>
        <v>0.22184545454545454</v>
      </c>
      <c r="AW68" s="231">
        <f t="shared" si="51"/>
        <v>0.627</v>
      </c>
      <c r="AX68" s="231">
        <f t="shared" si="51"/>
        <v>1.5082666666666666</v>
      </c>
      <c r="AY68" s="231">
        <f t="shared" si="51"/>
        <v>2.5966666666666666E-2</v>
      </c>
      <c r="AZ68" s="231">
        <f t="shared" si="51"/>
        <v>5.4000000000000003E-3</v>
      </c>
      <c r="BA68" s="231">
        <f t="shared" si="51"/>
        <v>1.3050000000000001E-2</v>
      </c>
      <c r="BB68" s="231">
        <f t="shared" si="51"/>
        <v>0.97677146666666659</v>
      </c>
      <c r="BC68" s="231">
        <f t="shared" si="51"/>
        <v>1.4280996523754346</v>
      </c>
      <c r="BD68" s="232">
        <f t="shared" si="51"/>
        <v>0.55555555555555558</v>
      </c>
      <c r="BE68" s="232">
        <f t="shared" si="51"/>
        <v>1.5533333333333332</v>
      </c>
      <c r="BF68" s="16"/>
      <c r="BG68" s="16"/>
      <c r="BH68" s="16"/>
      <c r="BI68" s="16"/>
      <c r="BJ68" s="16"/>
      <c r="BK68" s="16"/>
    </row>
    <row r="69" spans="1:63" ht="15.75" customHeight="1">
      <c r="A69" s="16"/>
      <c r="B69" s="23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</row>
    <row r="70" spans="1:63" ht="15.75" customHeight="1">
      <c r="A70" s="16"/>
      <c r="B70" s="234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</row>
    <row r="71" spans="1:63" ht="15.75" customHeight="1">
      <c r="A71" s="16"/>
      <c r="B71" s="23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</row>
    <row r="72" spans="1:63" ht="15.75" customHeight="1">
      <c r="A72" s="16"/>
      <c r="B72" s="23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</row>
    <row r="73" spans="1:63" ht="15.75" customHeight="1">
      <c r="A73" s="16"/>
      <c r="B73" s="234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</row>
    <row r="74" spans="1:63" ht="15.75" customHeight="1">
      <c r="A74" s="16"/>
      <c r="B74" s="23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</row>
    <row r="75" spans="1:63" ht="15.75" customHeight="1">
      <c r="A75" s="16"/>
      <c r="B75" s="23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</row>
    <row r="76" spans="1:63" ht="15.75" customHeight="1">
      <c r="A76" s="16"/>
      <c r="B76" s="234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</row>
    <row r="77" spans="1:63" ht="15.75" customHeight="1">
      <c r="A77" s="16"/>
      <c r="B77" s="234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</row>
    <row r="78" spans="1:63" ht="15.75" customHeight="1">
      <c r="A78" s="16"/>
      <c r="B78" s="234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</row>
    <row r="79" spans="1:63" ht="15.75" customHeight="1">
      <c r="A79" s="16"/>
      <c r="B79" s="234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</row>
    <row r="80" spans="1:63" ht="15.75" customHeight="1">
      <c r="A80" s="16"/>
      <c r="B80" s="234"/>
      <c r="C80" s="23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</row>
    <row r="81" spans="1:63" ht="15.75" customHeight="1">
      <c r="A81" s="16"/>
      <c r="B81" s="234"/>
      <c r="C81" s="23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</row>
    <row r="82" spans="1:63" ht="15.75" customHeight="1">
      <c r="A82" s="16"/>
      <c r="B82" s="234"/>
      <c r="C82" s="23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</row>
    <row r="83" spans="1:63" ht="15.75" customHeight="1">
      <c r="A83" s="16"/>
      <c r="B83" s="234"/>
      <c r="C83" s="23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</row>
    <row r="84" spans="1:63" ht="15.75" customHeight="1">
      <c r="A84" s="16"/>
      <c r="B84" s="234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</row>
    <row r="85" spans="1:63" ht="15.75" customHeight="1">
      <c r="A85" s="16"/>
      <c r="B85" s="234"/>
      <c r="C85" s="23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</row>
    <row r="86" spans="1:63" ht="15.75" customHeight="1">
      <c r="A86" s="16"/>
      <c r="B86" s="234"/>
      <c r="C86" s="23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</row>
    <row r="87" spans="1:63" ht="15.75" customHeight="1">
      <c r="A87" s="16"/>
      <c r="B87" s="234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</row>
    <row r="88" spans="1:63" ht="15.75" customHeight="1">
      <c r="A88" s="16"/>
      <c r="B88" s="234"/>
      <c r="C88" s="23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</row>
    <row r="89" spans="1:63" ht="15.75" customHeight="1">
      <c r="A89" s="16"/>
      <c r="B89" s="234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</row>
    <row r="90" spans="1:63" ht="15.75" customHeight="1">
      <c r="A90" s="16"/>
      <c r="B90" s="234"/>
      <c r="C90" s="23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</row>
    <row r="91" spans="1:63" ht="15.75" customHeight="1">
      <c r="A91" s="16"/>
      <c r="B91" s="234"/>
      <c r="C91" s="23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</row>
    <row r="92" spans="1:63" ht="15.75" customHeight="1">
      <c r="A92" s="16"/>
      <c r="B92" s="234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</row>
    <row r="93" spans="1:63" ht="15.75" customHeight="1">
      <c r="A93" s="16"/>
      <c r="B93" s="234"/>
      <c r="C93" s="23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</row>
    <row r="94" spans="1:63" ht="15.75" customHeight="1">
      <c r="A94" s="16"/>
      <c r="B94" s="234"/>
      <c r="C94" s="23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</row>
    <row r="95" spans="1:63" ht="15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</row>
    <row r="96" spans="1:63" ht="15.75" customHeight="1">
      <c r="A96" s="16"/>
      <c r="B96" s="234"/>
      <c r="C96" s="23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</row>
    <row r="97" spans="1:63" ht="15.75" customHeight="1">
      <c r="A97" s="16"/>
      <c r="B97" s="234"/>
      <c r="C97" s="23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</row>
    <row r="98" spans="1:63" ht="15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</row>
    <row r="99" spans="1:63" ht="15.75" customHeight="1">
      <c r="A99" s="16"/>
      <c r="B99" s="234"/>
      <c r="C99" s="23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</row>
    <row r="100" spans="1:63" ht="15.75" customHeight="1">
      <c r="A100" s="16"/>
      <c r="B100" s="234"/>
      <c r="C100" s="23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</row>
    <row r="101" spans="1:63" ht="15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</row>
    <row r="102" spans="1:63" ht="15.75" customHeight="1">
      <c r="A102" s="16"/>
      <c r="B102" s="234"/>
      <c r="C102" s="23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</row>
    <row r="103" spans="1:63" ht="15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</row>
    <row r="104" spans="1:63" ht="15.75" customHeight="1">
      <c r="A104" s="16"/>
      <c r="B104" s="234"/>
      <c r="C104" s="237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</row>
    <row r="105" spans="1:63" ht="15.75" customHeight="1">
      <c r="A105" s="16"/>
      <c r="B105" s="234"/>
      <c r="C105" s="237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</row>
    <row r="106" spans="1:63" ht="15.75" customHeight="1">
      <c r="A106" s="16"/>
      <c r="B106" s="234"/>
      <c r="C106" s="237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</row>
    <row r="107" spans="1:63" ht="15.75" customHeight="1">
      <c r="A107" s="16"/>
      <c r="B107" s="234"/>
      <c r="C107" s="238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</row>
    <row r="108" spans="1:63" ht="15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</row>
    <row r="109" spans="1:63" ht="15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</row>
    <row r="110" spans="1:63" ht="15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</row>
    <row r="111" spans="1:63" ht="15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</row>
    <row r="112" spans="1:63" ht="15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</row>
    <row r="113" spans="1:63" ht="15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</row>
    <row r="114" spans="1:63" ht="15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</row>
    <row r="115" spans="1:63" ht="15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</row>
    <row r="116" spans="1:63" ht="15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</row>
    <row r="117" spans="1:63" ht="15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</row>
    <row r="118" spans="1:63" ht="15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</row>
    <row r="119" spans="1:63" ht="15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</row>
    <row r="120" spans="1:63" ht="15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</row>
    <row r="121" spans="1:63" ht="15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</row>
    <row r="122" spans="1:63" ht="15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</row>
    <row r="123" spans="1:63" ht="15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</row>
    <row r="124" spans="1:63" ht="15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</row>
    <row r="125" spans="1:63" ht="15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</row>
    <row r="126" spans="1:63" ht="15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</row>
    <row r="127" spans="1:63" ht="15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</row>
    <row r="128" spans="1:63" ht="15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</row>
    <row r="129" spans="1:63" ht="15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</row>
    <row r="130" spans="1:63" ht="15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</row>
    <row r="131" spans="1:63" ht="15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</row>
    <row r="132" spans="1:63" ht="15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</row>
    <row r="133" spans="1:63" ht="15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</row>
    <row r="134" spans="1:63" ht="15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</row>
    <row r="135" spans="1:63" ht="15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</row>
    <row r="136" spans="1:63" ht="15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</row>
    <row r="137" spans="1:63" ht="15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</row>
    <row r="138" spans="1:63" ht="15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</row>
    <row r="139" spans="1:63" ht="15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</row>
    <row r="140" spans="1:63" ht="15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</row>
    <row r="141" spans="1:63" ht="15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</row>
    <row r="142" spans="1:63" ht="15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</row>
    <row r="143" spans="1:63" ht="15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</row>
    <row r="144" spans="1:63" ht="15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</row>
    <row r="145" spans="1:63" ht="15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</row>
    <row r="146" spans="1:63" ht="15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</row>
    <row r="147" spans="1:63" ht="15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</row>
    <row r="148" spans="1:63" ht="15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</row>
    <row r="149" spans="1:63" ht="15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</row>
    <row r="150" spans="1:63" ht="15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</row>
    <row r="151" spans="1:63" ht="15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</row>
    <row r="152" spans="1:63" ht="15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</row>
    <row r="153" spans="1:63" ht="15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</row>
    <row r="154" spans="1:63" ht="15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</row>
    <row r="155" spans="1:63" ht="15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</row>
    <row r="156" spans="1:63" ht="15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</row>
    <row r="157" spans="1:63" ht="15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</row>
    <row r="158" spans="1:63" ht="15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</row>
    <row r="159" spans="1:63" ht="15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</row>
    <row r="160" spans="1:63" ht="15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</row>
    <row r="161" spans="1:63" ht="15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</row>
    <row r="162" spans="1:63" ht="15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</row>
    <row r="163" spans="1:63" ht="15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</row>
    <row r="164" spans="1:63" ht="15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</row>
    <row r="165" spans="1:63" ht="15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</row>
    <row r="166" spans="1:63" ht="15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</row>
    <row r="167" spans="1:63" ht="15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</row>
    <row r="168" spans="1:63" ht="15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</row>
    <row r="169" spans="1:63" ht="15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</row>
    <row r="170" spans="1:63" ht="15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</row>
    <row r="171" spans="1:63" ht="15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</row>
    <row r="172" spans="1:63" ht="15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</row>
    <row r="173" spans="1:63" ht="15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</row>
    <row r="174" spans="1:63" ht="15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</row>
    <row r="175" spans="1:63" ht="15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</row>
    <row r="176" spans="1:63" ht="15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</row>
    <row r="177" spans="1:63" ht="15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</row>
    <row r="178" spans="1:63" ht="15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</row>
    <row r="179" spans="1:63" ht="15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</row>
    <row r="180" spans="1:63" ht="15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</row>
    <row r="181" spans="1:63" ht="15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</row>
    <row r="182" spans="1:63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</row>
    <row r="183" spans="1:63" ht="15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</row>
    <row r="184" spans="1:63" ht="15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</row>
    <row r="185" spans="1:63" ht="15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</row>
    <row r="186" spans="1:63" ht="15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</row>
    <row r="187" spans="1:63" ht="15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</row>
    <row r="188" spans="1:63" ht="15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</row>
    <row r="189" spans="1:63" ht="15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</row>
    <row r="190" spans="1:63" ht="15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</row>
    <row r="191" spans="1:63" ht="15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</row>
    <row r="192" spans="1:63" ht="15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</row>
    <row r="193" spans="1:63" ht="15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</row>
    <row r="194" spans="1:63" ht="15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</row>
    <row r="195" spans="1:63" ht="15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</row>
    <row r="196" spans="1:63" ht="15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</row>
    <row r="197" spans="1:63" ht="15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</row>
    <row r="198" spans="1:63" ht="15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</row>
    <row r="199" spans="1:63" ht="15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</row>
    <row r="200" spans="1:63" ht="15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</row>
    <row r="201" spans="1:63" ht="15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</row>
    <row r="202" spans="1:63" ht="15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</row>
    <row r="203" spans="1:63" ht="15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</row>
    <row r="204" spans="1:63" ht="15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</row>
    <row r="205" spans="1:63" ht="15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</row>
    <row r="206" spans="1:63" ht="15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</row>
    <row r="207" spans="1:63" ht="15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</row>
    <row r="208" spans="1:63" ht="15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</row>
    <row r="209" spans="1:63" ht="15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</row>
    <row r="210" spans="1:63" ht="15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</row>
    <row r="211" spans="1:63" ht="15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</row>
    <row r="212" spans="1:63" ht="15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</row>
    <row r="213" spans="1:63" ht="15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</row>
    <row r="214" spans="1:63" ht="15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</row>
    <row r="215" spans="1:63" ht="15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</row>
    <row r="216" spans="1:63" ht="15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</row>
    <row r="217" spans="1:63" ht="15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</row>
    <row r="218" spans="1:63" ht="15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</row>
    <row r="219" spans="1:63" ht="15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</row>
    <row r="220" spans="1:63" ht="15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</row>
    <row r="221" spans="1:63" ht="15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</row>
    <row r="222" spans="1:63" ht="15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</row>
    <row r="223" spans="1:63" ht="15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</row>
    <row r="224" spans="1:63" ht="15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</row>
    <row r="225" spans="1:63" ht="15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</row>
    <row r="226" spans="1:63" ht="15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</row>
    <row r="227" spans="1:63" ht="15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</row>
    <row r="228" spans="1:63" ht="15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</row>
    <row r="229" spans="1:63" ht="15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</row>
    <row r="230" spans="1:63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</row>
    <row r="231" spans="1:63" ht="15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</row>
    <row r="232" spans="1:63" ht="15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</row>
    <row r="233" spans="1:63" ht="15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</row>
    <row r="234" spans="1:63" ht="15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</row>
    <row r="235" spans="1:63" ht="15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</row>
    <row r="236" spans="1:63" ht="15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</row>
    <row r="237" spans="1:63" ht="15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</row>
    <row r="238" spans="1:63" ht="15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</row>
    <row r="239" spans="1:63" ht="15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</row>
    <row r="240" spans="1:63" ht="15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</row>
    <row r="241" spans="1:63" ht="15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3" ht="15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3" ht="15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3" ht="15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3" ht="15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3" ht="15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3" ht="15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</row>
    <row r="248" spans="1:63" ht="15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</row>
    <row r="249" spans="1:63" ht="15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</row>
    <row r="250" spans="1:63" ht="15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</row>
    <row r="251" spans="1:63" ht="15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</row>
    <row r="252" spans="1:63" ht="15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</row>
    <row r="253" spans="1:63" ht="15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</row>
    <row r="254" spans="1:63" ht="15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</row>
    <row r="255" spans="1:63" ht="15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</row>
    <row r="256" spans="1:63" ht="15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</row>
    <row r="257" spans="1:63" ht="15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</row>
    <row r="258" spans="1:63" ht="15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</row>
    <row r="259" spans="1:63" ht="15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</row>
    <row r="260" spans="1:63" ht="15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</row>
    <row r="261" spans="1:63" ht="15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</row>
    <row r="262" spans="1:63" ht="15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</row>
    <row r="263" spans="1:63" ht="15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</row>
    <row r="264" spans="1:63" ht="15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</row>
    <row r="265" spans="1:63" ht="15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</row>
    <row r="266" spans="1:63" ht="15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</row>
    <row r="267" spans="1:63" ht="15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</row>
    <row r="268" spans="1:63" ht="15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</row>
    <row r="269" spans="1:63" ht="15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</row>
    <row r="270" spans="1:63" ht="15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</row>
    <row r="271" spans="1:63" ht="15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</row>
    <row r="272" spans="1:63" ht="15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</row>
    <row r="273" spans="1:63" ht="15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</row>
    <row r="274" spans="1:63" ht="15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</row>
    <row r="275" spans="1:63" ht="15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</row>
    <row r="276" spans="1:63" ht="15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</row>
    <row r="277" spans="1:63" ht="15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</row>
    <row r="278" spans="1:63" ht="15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</row>
    <row r="279" spans="1:63" ht="15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</row>
    <row r="280" spans="1:63" ht="15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</row>
    <row r="281" spans="1:63" ht="15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</row>
    <row r="282" spans="1:63" ht="15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</row>
    <row r="283" spans="1:63" ht="15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</row>
    <row r="284" spans="1:63" ht="15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</row>
    <row r="285" spans="1:63" ht="15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</row>
    <row r="286" spans="1:63" ht="15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</row>
    <row r="287" spans="1:63" ht="15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</row>
    <row r="288" spans="1:63" ht="15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</row>
    <row r="289" spans="1:63" ht="15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</row>
    <row r="290" spans="1:63" ht="15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</row>
    <row r="291" spans="1:63" ht="15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</row>
    <row r="292" spans="1:63" ht="15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</row>
    <row r="293" spans="1:63" ht="15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</row>
    <row r="294" spans="1:63" ht="15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</row>
    <row r="295" spans="1:63" ht="15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</row>
    <row r="296" spans="1:63" ht="15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</row>
    <row r="297" spans="1:63" ht="15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</row>
    <row r="298" spans="1:63" ht="15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</row>
    <row r="299" spans="1:63" ht="15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</row>
    <row r="300" spans="1:63" ht="15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</row>
    <row r="301" spans="1:63" ht="15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</row>
    <row r="302" spans="1:63" ht="15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</row>
    <row r="303" spans="1:63" ht="15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</row>
    <row r="304" spans="1:63" ht="15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</row>
    <row r="305" spans="1:63" ht="15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</row>
    <row r="306" spans="1:63" ht="15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</row>
    <row r="307" spans="1:63" ht="15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</row>
    <row r="308" spans="1:63" ht="15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</row>
    <row r="309" spans="1:63" ht="15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</row>
    <row r="310" spans="1:63" ht="15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</row>
    <row r="311" spans="1:63" ht="15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</row>
    <row r="312" spans="1:63" ht="15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</row>
    <row r="313" spans="1:63" ht="15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</row>
    <row r="314" spans="1:63" ht="15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</row>
    <row r="315" spans="1:63" ht="15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</row>
    <row r="316" spans="1:63" ht="15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</row>
    <row r="317" spans="1:63" ht="15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</row>
    <row r="318" spans="1:63" ht="15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</row>
    <row r="319" spans="1:63" ht="15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</row>
    <row r="320" spans="1:63" ht="15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</row>
    <row r="321" spans="1:63" ht="15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</row>
    <row r="322" spans="1:63" ht="15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</row>
    <row r="323" spans="1:63" ht="15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</row>
    <row r="324" spans="1:63" ht="15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</row>
    <row r="325" spans="1:63" ht="15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</row>
    <row r="326" spans="1:63" ht="15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</row>
    <row r="327" spans="1:63" ht="15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</row>
    <row r="328" spans="1:63" ht="15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</row>
    <row r="329" spans="1:63" ht="15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</row>
    <row r="330" spans="1:63" ht="15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</row>
    <row r="331" spans="1:63" ht="15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</row>
    <row r="332" spans="1:63" ht="15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</row>
    <row r="333" spans="1:63" ht="15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</row>
    <row r="334" spans="1:63" ht="15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</row>
    <row r="335" spans="1:63" ht="15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</row>
    <row r="336" spans="1:63" ht="15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</row>
    <row r="337" spans="1:63" ht="15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</row>
    <row r="338" spans="1:63" ht="15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</row>
    <row r="339" spans="1:63" ht="15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</row>
    <row r="340" spans="1:63" ht="15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</row>
    <row r="341" spans="1:63" ht="15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</row>
    <row r="342" spans="1:63" ht="15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</row>
    <row r="343" spans="1:63" ht="15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</row>
    <row r="344" spans="1:63" ht="15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</row>
    <row r="345" spans="1:63" ht="15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</row>
    <row r="346" spans="1:63" ht="15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</row>
    <row r="347" spans="1:63" ht="15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</row>
    <row r="348" spans="1:63" ht="15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</row>
    <row r="349" spans="1:63" ht="15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</row>
    <row r="350" spans="1:63" ht="15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</row>
    <row r="351" spans="1:63" ht="15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</row>
    <row r="352" spans="1:63" ht="15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</row>
    <row r="353" spans="1:63" ht="15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</row>
    <row r="354" spans="1:63" ht="15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</row>
    <row r="355" spans="1:63" ht="15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</row>
    <row r="356" spans="1:63" ht="15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</row>
    <row r="357" spans="1:63" ht="15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</row>
    <row r="358" spans="1:63" ht="15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</row>
    <row r="359" spans="1:63" ht="15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</row>
    <row r="360" spans="1:63" ht="15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</row>
    <row r="361" spans="1:63" ht="15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</row>
    <row r="362" spans="1:63" ht="15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</row>
    <row r="363" spans="1:63" ht="15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</row>
    <row r="364" spans="1:63" ht="15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</row>
    <row r="365" spans="1:63" ht="15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</row>
    <row r="366" spans="1:63" ht="15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</row>
    <row r="367" spans="1:63" ht="15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</row>
    <row r="368" spans="1:63" ht="15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</row>
    <row r="369" spans="1:63" ht="15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</row>
    <row r="370" spans="1:63" ht="15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</row>
    <row r="371" spans="1:63" ht="15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</row>
    <row r="372" spans="1:63" ht="15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</row>
    <row r="373" spans="1:63" ht="15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</row>
    <row r="374" spans="1:63" ht="15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</row>
    <row r="375" spans="1:63" ht="15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</row>
    <row r="376" spans="1:63" ht="15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</row>
    <row r="377" spans="1:63" ht="15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</row>
    <row r="378" spans="1:63" ht="15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</row>
    <row r="379" spans="1:63" ht="15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</row>
    <row r="380" spans="1:63" ht="15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</row>
    <row r="381" spans="1:63" ht="15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</row>
    <row r="382" spans="1:63" ht="15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</row>
    <row r="383" spans="1:63" ht="15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</row>
    <row r="384" spans="1:63" ht="15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</row>
    <row r="385" spans="1:63" ht="15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</row>
    <row r="386" spans="1:63" ht="15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</row>
    <row r="387" spans="1:63" ht="15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</row>
    <row r="388" spans="1:63" ht="15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</row>
    <row r="389" spans="1:63" ht="15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</row>
    <row r="390" spans="1:63" ht="15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</row>
    <row r="391" spans="1:63" ht="15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</row>
    <row r="392" spans="1:63" ht="15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</row>
    <row r="393" spans="1:63" ht="15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</row>
    <row r="394" spans="1:63" ht="15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</row>
    <row r="395" spans="1:63" ht="15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</row>
    <row r="396" spans="1:63" ht="15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</row>
    <row r="397" spans="1:63" ht="15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</row>
    <row r="398" spans="1:63" ht="15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</row>
    <row r="399" spans="1:63" ht="15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</row>
    <row r="400" spans="1:63" ht="15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</row>
    <row r="401" spans="1:63" ht="15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</row>
    <row r="402" spans="1:63" ht="15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</row>
    <row r="403" spans="1:63" ht="15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</row>
    <row r="404" spans="1:63" ht="15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</row>
    <row r="405" spans="1:63" ht="15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</row>
    <row r="406" spans="1:63" ht="15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</row>
    <row r="407" spans="1:63" ht="15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</row>
    <row r="408" spans="1:63" ht="15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</row>
    <row r="409" spans="1:63" ht="15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</row>
    <row r="410" spans="1:63" ht="15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</row>
    <row r="411" spans="1:63" ht="15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</row>
    <row r="412" spans="1:63" ht="15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</row>
    <row r="413" spans="1:63" ht="15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</row>
    <row r="414" spans="1:63" ht="15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</row>
    <row r="415" spans="1:63" ht="15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</row>
    <row r="416" spans="1:63" ht="15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</row>
    <row r="417" spans="1:63" ht="15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</row>
    <row r="418" spans="1:63" ht="15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</row>
    <row r="419" spans="1:63" ht="15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</row>
    <row r="420" spans="1:63" ht="15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</row>
    <row r="421" spans="1:63" ht="15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</row>
    <row r="422" spans="1:63" ht="15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</row>
    <row r="423" spans="1:63" ht="15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</row>
    <row r="424" spans="1:63" ht="15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</row>
    <row r="425" spans="1:63" ht="15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</row>
    <row r="426" spans="1:63" ht="15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</row>
    <row r="427" spans="1:63" ht="15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</row>
    <row r="428" spans="1:63" ht="15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</row>
    <row r="429" spans="1:63" ht="15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</row>
    <row r="430" spans="1:63" ht="15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</row>
    <row r="431" spans="1:63" ht="15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</row>
    <row r="432" spans="1:63" ht="15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</row>
    <row r="433" spans="1:63" ht="15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</row>
    <row r="434" spans="1:63" ht="15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</row>
    <row r="435" spans="1:63" ht="15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</row>
    <row r="436" spans="1:63" ht="15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</row>
    <row r="437" spans="1:63" ht="15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</row>
    <row r="438" spans="1:63" ht="15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</row>
    <row r="439" spans="1:63" ht="15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</row>
    <row r="440" spans="1:63" ht="15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</row>
    <row r="441" spans="1:63" ht="15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</row>
    <row r="442" spans="1:63" ht="15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</row>
    <row r="443" spans="1:63" ht="15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</row>
    <row r="444" spans="1:63" ht="15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</row>
    <row r="445" spans="1:63" ht="15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</row>
    <row r="446" spans="1:63" ht="15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</row>
    <row r="447" spans="1:63" ht="15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</row>
    <row r="448" spans="1:63" ht="15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</row>
    <row r="449" spans="1:63" ht="15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</row>
    <row r="450" spans="1:63" ht="15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</row>
    <row r="451" spans="1:63" ht="15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</row>
    <row r="452" spans="1:63" ht="15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</row>
    <row r="453" spans="1:63" ht="15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</row>
    <row r="454" spans="1:63" ht="15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</row>
    <row r="455" spans="1:63" ht="15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</row>
    <row r="456" spans="1:63" ht="15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</row>
    <row r="457" spans="1:63" ht="15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</row>
    <row r="458" spans="1:63" ht="15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</row>
    <row r="459" spans="1:63" ht="15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</row>
    <row r="460" spans="1:63" ht="15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</row>
    <row r="461" spans="1:63" ht="15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</row>
    <row r="462" spans="1:63" ht="15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</row>
    <row r="463" spans="1:63" ht="15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</row>
    <row r="464" spans="1:63" ht="15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</row>
    <row r="465" spans="1:63" ht="15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</row>
    <row r="466" spans="1:63" ht="15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</row>
    <row r="467" spans="1:63" ht="15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</row>
    <row r="468" spans="1:63" ht="15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</row>
    <row r="469" spans="1:63" ht="15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</row>
    <row r="470" spans="1:63" ht="15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</row>
    <row r="471" spans="1:63" ht="15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</row>
    <row r="472" spans="1:63" ht="15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</row>
    <row r="473" spans="1:63" ht="15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</row>
    <row r="474" spans="1:63" ht="15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</row>
    <row r="475" spans="1:63" ht="15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</row>
    <row r="476" spans="1:63" ht="15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</row>
    <row r="477" spans="1:63" ht="15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</row>
    <row r="478" spans="1:63" ht="15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</row>
    <row r="479" spans="1:63" ht="15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</row>
    <row r="480" spans="1:63" ht="15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</row>
    <row r="481" spans="1:63" ht="15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</row>
    <row r="482" spans="1:63" ht="15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</row>
    <row r="483" spans="1:63" ht="15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</row>
    <row r="484" spans="1:63" ht="15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</row>
    <row r="485" spans="1:63" ht="15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</row>
    <row r="486" spans="1:63" ht="15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</row>
    <row r="487" spans="1:63" ht="15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</row>
    <row r="488" spans="1:63" ht="15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</row>
    <row r="489" spans="1:63" ht="15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</row>
    <row r="490" spans="1:63" ht="15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</row>
    <row r="491" spans="1:63" ht="15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</row>
    <row r="492" spans="1:63" ht="15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</row>
    <row r="493" spans="1:63" ht="15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</row>
    <row r="494" spans="1:63" ht="15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</row>
    <row r="495" spans="1:63" ht="15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</row>
    <row r="496" spans="1:63" ht="15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</row>
    <row r="497" spans="1:63" ht="15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</row>
    <row r="498" spans="1:63" ht="15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</row>
    <row r="499" spans="1:63" ht="15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</row>
    <row r="500" spans="1:63" ht="15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</row>
    <row r="501" spans="1:63" ht="15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</row>
    <row r="502" spans="1:63" ht="15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</row>
    <row r="503" spans="1:63" ht="15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</row>
    <row r="504" spans="1:63" ht="15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</row>
    <row r="505" spans="1:63" ht="15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</row>
    <row r="506" spans="1:63" ht="15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</row>
    <row r="507" spans="1:63" ht="15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</row>
    <row r="508" spans="1:63" ht="15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</row>
    <row r="509" spans="1:63" ht="15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</row>
    <row r="510" spans="1:63" ht="15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</row>
    <row r="511" spans="1:63" ht="15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</row>
    <row r="512" spans="1:63" ht="15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</row>
    <row r="513" spans="1:63" ht="15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</row>
    <row r="514" spans="1:63" ht="15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</row>
    <row r="515" spans="1:63" ht="15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</row>
    <row r="516" spans="1:63" ht="15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</row>
    <row r="517" spans="1:63" ht="15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</row>
    <row r="518" spans="1:63" ht="15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</row>
    <row r="519" spans="1:63" ht="15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</row>
    <row r="520" spans="1:63" ht="15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</row>
    <row r="521" spans="1:63" ht="15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</row>
    <row r="522" spans="1:63" ht="15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</row>
    <row r="523" spans="1:63" ht="15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</row>
    <row r="524" spans="1:63" ht="15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</row>
    <row r="525" spans="1:63" ht="15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</row>
    <row r="526" spans="1:63" ht="15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</row>
    <row r="527" spans="1:63" ht="15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</row>
    <row r="528" spans="1:63" ht="15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</row>
    <row r="529" spans="1:63" ht="15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</row>
    <row r="530" spans="1:63" ht="15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</row>
    <row r="531" spans="1:63" ht="15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</row>
    <row r="532" spans="1:63" ht="15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</row>
    <row r="533" spans="1:63" ht="15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</row>
    <row r="534" spans="1:63" ht="15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</row>
    <row r="535" spans="1:63" ht="15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</row>
    <row r="536" spans="1:63" ht="15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</row>
    <row r="537" spans="1:63" ht="15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</row>
    <row r="538" spans="1:63" ht="15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</row>
    <row r="539" spans="1:63" ht="15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</row>
    <row r="540" spans="1:63" ht="15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</row>
    <row r="541" spans="1:63" ht="15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</row>
    <row r="542" spans="1:63" ht="15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</row>
    <row r="543" spans="1:63" ht="15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</row>
    <row r="544" spans="1:63" ht="15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</row>
    <row r="545" spans="1:63" ht="15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</row>
    <row r="546" spans="1:63" ht="15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</row>
    <row r="547" spans="1:63" ht="15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</row>
    <row r="548" spans="1:63" ht="15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</row>
    <row r="549" spans="1:63" ht="15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</row>
    <row r="550" spans="1:63" ht="15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</row>
    <row r="551" spans="1:63" ht="15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</row>
    <row r="552" spans="1:63" ht="15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</row>
    <row r="553" spans="1:63" ht="15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</row>
    <row r="554" spans="1:63" ht="15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</row>
    <row r="555" spans="1:63" ht="15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</row>
    <row r="556" spans="1:63" ht="15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</row>
    <row r="557" spans="1:63" ht="15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</row>
    <row r="558" spans="1:63" ht="15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</row>
    <row r="559" spans="1:63" ht="15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</row>
    <row r="560" spans="1:63" ht="15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</row>
    <row r="561" spans="1:63" ht="15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</row>
    <row r="562" spans="1:63" ht="15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</row>
    <row r="563" spans="1:63" ht="15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</row>
    <row r="564" spans="1:63" ht="15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</row>
    <row r="565" spans="1:63" ht="15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</row>
    <row r="566" spans="1:63" ht="15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</row>
    <row r="567" spans="1:63" ht="15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</row>
    <row r="568" spans="1:63" ht="15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</row>
    <row r="569" spans="1:63" ht="15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</row>
    <row r="570" spans="1:63" ht="15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</row>
    <row r="571" spans="1:63" ht="15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</row>
    <row r="572" spans="1:63" ht="15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</row>
    <row r="573" spans="1:63" ht="15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</row>
    <row r="574" spans="1:63" ht="15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</row>
    <row r="575" spans="1:63" ht="15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</row>
    <row r="576" spans="1:63" ht="15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</row>
    <row r="577" spans="1:63" ht="15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</row>
    <row r="578" spans="1:63" ht="15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</row>
    <row r="579" spans="1:63" ht="15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</row>
    <row r="580" spans="1:63" ht="15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</row>
    <row r="581" spans="1:63" ht="15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</row>
    <row r="582" spans="1:63" ht="15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</row>
    <row r="583" spans="1:63" ht="15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</row>
    <row r="584" spans="1:63" ht="15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</row>
    <row r="585" spans="1:63" ht="15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</row>
    <row r="586" spans="1:63" ht="15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</row>
    <row r="587" spans="1:63" ht="15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</row>
    <row r="588" spans="1:63" ht="15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</row>
    <row r="589" spans="1:63" ht="15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</row>
    <row r="590" spans="1:63" ht="15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</row>
    <row r="591" spans="1:63" ht="15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</row>
    <row r="592" spans="1:63" ht="15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</row>
    <row r="593" spans="1:63" ht="15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</row>
    <row r="594" spans="1:63" ht="15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</row>
    <row r="595" spans="1:63" ht="15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</row>
    <row r="596" spans="1:63" ht="15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</row>
    <row r="597" spans="1:63" ht="15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</row>
    <row r="598" spans="1:63" ht="15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</row>
    <row r="599" spans="1:63" ht="15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</row>
    <row r="600" spans="1:63" ht="15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</row>
    <row r="601" spans="1:63" ht="15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</row>
    <row r="602" spans="1:63" ht="15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</row>
    <row r="603" spans="1:63" ht="15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</row>
    <row r="604" spans="1:63" ht="15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</row>
    <row r="605" spans="1:63" ht="15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</row>
    <row r="606" spans="1:63" ht="15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</row>
    <row r="607" spans="1:63" ht="15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</row>
    <row r="608" spans="1:63" ht="15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</row>
    <row r="609" spans="1:63" ht="15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</row>
    <row r="610" spans="1:63" ht="15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</row>
    <row r="611" spans="1:63" ht="15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</row>
    <row r="612" spans="1:63" ht="15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</row>
    <row r="613" spans="1:63" ht="15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</row>
    <row r="614" spans="1:63" ht="15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</row>
    <row r="615" spans="1:63" ht="15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</row>
    <row r="616" spans="1:63" ht="15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</row>
    <row r="617" spans="1:63" ht="15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</row>
    <row r="618" spans="1:63" ht="15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</row>
    <row r="619" spans="1:63" ht="15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</row>
    <row r="620" spans="1:63" ht="15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</row>
    <row r="621" spans="1:63" ht="15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</row>
    <row r="622" spans="1:63" ht="15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</row>
    <row r="623" spans="1:63" ht="15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</row>
    <row r="624" spans="1:63" ht="15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</row>
    <row r="625" spans="1:63" ht="15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</row>
    <row r="626" spans="1:63" ht="15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</row>
    <row r="627" spans="1:63" ht="15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</row>
    <row r="628" spans="1:63" ht="15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</row>
    <row r="629" spans="1:63" ht="15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</row>
    <row r="630" spans="1:63" ht="15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</row>
    <row r="631" spans="1:63" ht="15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</row>
    <row r="632" spans="1:63" ht="15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</row>
    <row r="633" spans="1:63" ht="15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</row>
    <row r="634" spans="1:63" ht="15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</row>
    <row r="635" spans="1:63" ht="15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</row>
    <row r="636" spans="1:63" ht="15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</row>
    <row r="637" spans="1:63" ht="15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</row>
    <row r="638" spans="1:63" ht="15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</row>
    <row r="639" spans="1:63" ht="15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</row>
    <row r="640" spans="1:63" ht="15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</row>
    <row r="641" spans="1:63" ht="15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</row>
    <row r="642" spans="1:63" ht="15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</row>
    <row r="643" spans="1:63" ht="15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</row>
    <row r="644" spans="1:63" ht="15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</row>
    <row r="645" spans="1:63" ht="15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</row>
    <row r="646" spans="1:63" ht="15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</row>
    <row r="647" spans="1:63" ht="15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</row>
    <row r="648" spans="1:63" ht="15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</row>
    <row r="649" spans="1:63" ht="15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</row>
    <row r="650" spans="1:63" ht="15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</row>
    <row r="651" spans="1:63" ht="15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</row>
    <row r="652" spans="1:63" ht="15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</row>
    <row r="653" spans="1:63" ht="15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</row>
    <row r="654" spans="1:63" ht="15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</row>
    <row r="655" spans="1:63" ht="15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</row>
    <row r="656" spans="1:63" ht="15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</row>
    <row r="657" spans="1:63" ht="15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</row>
    <row r="658" spans="1:63" ht="15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</row>
    <row r="659" spans="1:63" ht="15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</row>
    <row r="660" spans="1:63" ht="15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</row>
    <row r="661" spans="1:63" ht="15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</row>
    <row r="662" spans="1:63" ht="15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</row>
    <row r="663" spans="1:63" ht="15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</row>
    <row r="664" spans="1:63" ht="15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</row>
    <row r="665" spans="1:63" ht="15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</row>
    <row r="666" spans="1:63" ht="15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</row>
    <row r="667" spans="1:63" ht="15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</row>
    <row r="668" spans="1:63" ht="15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</row>
    <row r="669" spans="1:63" ht="15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</row>
    <row r="670" spans="1:63" ht="15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</row>
    <row r="671" spans="1:63" ht="15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</row>
    <row r="672" spans="1:63" ht="15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</row>
    <row r="673" spans="1:63" ht="15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</row>
    <row r="674" spans="1:63" ht="15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</row>
    <row r="675" spans="1:63" ht="15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</row>
    <row r="676" spans="1:63" ht="15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</row>
    <row r="677" spans="1:63" ht="15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</row>
    <row r="678" spans="1:63" ht="15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</row>
    <row r="679" spans="1:63" ht="15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</row>
    <row r="680" spans="1:63" ht="15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</row>
    <row r="681" spans="1:63" ht="15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</row>
    <row r="682" spans="1:63" ht="15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</row>
    <row r="683" spans="1:63" ht="15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</row>
    <row r="684" spans="1:63" ht="15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</row>
    <row r="685" spans="1:63" ht="15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</row>
    <row r="686" spans="1:63" ht="15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</row>
    <row r="687" spans="1:63" ht="15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</row>
    <row r="688" spans="1:63" ht="15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</row>
    <row r="689" spans="1:63" ht="15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</row>
    <row r="690" spans="1:63" ht="15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</row>
    <row r="691" spans="1:63" ht="15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</row>
    <row r="692" spans="1:63" ht="15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</row>
    <row r="693" spans="1:63" ht="15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</row>
    <row r="694" spans="1:63" ht="15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</row>
    <row r="695" spans="1:63" ht="15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</row>
    <row r="696" spans="1:63" ht="15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</row>
    <row r="697" spans="1:63" ht="15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</row>
    <row r="698" spans="1:63" ht="15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</row>
    <row r="699" spans="1:63" ht="15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</row>
    <row r="700" spans="1:63" ht="15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</row>
    <row r="701" spans="1:63" ht="15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</row>
    <row r="702" spans="1:63" ht="15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</row>
    <row r="703" spans="1:63" ht="15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</row>
    <row r="704" spans="1:63" ht="15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</row>
    <row r="705" spans="1:63" ht="15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</row>
    <row r="706" spans="1:63" ht="15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</row>
    <row r="707" spans="1:63" ht="15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</row>
    <row r="708" spans="1:63" ht="15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</row>
    <row r="709" spans="1:63" ht="15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</row>
    <row r="710" spans="1:63" ht="15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</row>
    <row r="711" spans="1:63" ht="15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</row>
    <row r="712" spans="1:63" ht="15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</row>
    <row r="713" spans="1:63" ht="15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</row>
    <row r="714" spans="1:63" ht="15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</row>
    <row r="715" spans="1:63" ht="15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</row>
    <row r="716" spans="1:63" ht="15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</row>
    <row r="717" spans="1:63" ht="15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</row>
    <row r="718" spans="1:63" ht="15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</row>
    <row r="719" spans="1:63" ht="15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</row>
    <row r="720" spans="1:63" ht="15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</row>
    <row r="721" spans="1:63" ht="15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</row>
    <row r="722" spans="1:63" ht="15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</row>
    <row r="723" spans="1:63" ht="15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</row>
    <row r="724" spans="1:63" ht="15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</row>
    <row r="725" spans="1:63" ht="15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</row>
    <row r="726" spans="1:63" ht="15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</row>
    <row r="727" spans="1:63" ht="15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</row>
    <row r="728" spans="1:63" ht="15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</row>
    <row r="729" spans="1:63" ht="15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</row>
    <row r="730" spans="1:63" ht="15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</row>
    <row r="731" spans="1:63" ht="15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</row>
    <row r="732" spans="1:63" ht="15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</row>
    <row r="733" spans="1:63" ht="15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</row>
    <row r="734" spans="1:63" ht="15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</row>
    <row r="735" spans="1:63" ht="15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</row>
    <row r="736" spans="1:63" ht="15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</row>
    <row r="737" spans="1:63" ht="15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</row>
    <row r="738" spans="1:63" ht="15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</row>
    <row r="739" spans="1:63" ht="15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</row>
    <row r="740" spans="1:63" ht="15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</row>
    <row r="741" spans="1:63" ht="15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</row>
    <row r="742" spans="1:63" ht="15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</row>
    <row r="743" spans="1:63" ht="15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</row>
    <row r="744" spans="1:63" ht="15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</row>
    <row r="745" spans="1:63" ht="15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</row>
    <row r="746" spans="1:63" ht="15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</row>
    <row r="747" spans="1:63" ht="15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</row>
    <row r="748" spans="1:63" ht="15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</row>
    <row r="749" spans="1:63" ht="15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</row>
    <row r="750" spans="1:63" ht="15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</row>
    <row r="751" spans="1:63" ht="15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</row>
    <row r="752" spans="1:63" ht="15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</row>
    <row r="753" spans="1:63" ht="15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</row>
    <row r="754" spans="1:63" ht="15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</row>
    <row r="755" spans="1:63" ht="15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</row>
    <row r="756" spans="1:63" ht="15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</row>
    <row r="757" spans="1:63" ht="15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</row>
    <row r="758" spans="1:63" ht="15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</row>
    <row r="759" spans="1:63" ht="15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</row>
    <row r="760" spans="1:63" ht="15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</row>
    <row r="761" spans="1:63" ht="15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</row>
    <row r="762" spans="1:63" ht="15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</row>
    <row r="763" spans="1:63" ht="15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</row>
    <row r="764" spans="1:63" ht="15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</row>
    <row r="765" spans="1:63" ht="15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</row>
    <row r="766" spans="1:63" ht="15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</row>
    <row r="767" spans="1:63" ht="15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</row>
    <row r="768" spans="1:63" ht="15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</row>
    <row r="769" spans="1:63" ht="15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</row>
    <row r="770" spans="1:63" ht="15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</row>
    <row r="771" spans="1:63" ht="15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</row>
    <row r="772" spans="1:63" ht="15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</row>
    <row r="773" spans="1:63" ht="15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</row>
    <row r="774" spans="1:63" ht="15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</row>
    <row r="775" spans="1:63" ht="15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</row>
    <row r="776" spans="1:63" ht="15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</row>
    <row r="777" spans="1:63" ht="15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</row>
    <row r="778" spans="1:63" ht="15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</row>
    <row r="779" spans="1:63" ht="15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</row>
    <row r="780" spans="1:63" ht="15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</row>
    <row r="781" spans="1:63" ht="15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</row>
    <row r="782" spans="1:63" ht="15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</row>
    <row r="783" spans="1:63" ht="15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</row>
    <row r="784" spans="1:63" ht="15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</row>
    <row r="785" spans="1:63" ht="15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</row>
    <row r="786" spans="1:63" ht="15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</row>
    <row r="787" spans="1:63" ht="15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</row>
    <row r="788" spans="1:63" ht="15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</row>
    <row r="789" spans="1:63" ht="15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</row>
    <row r="790" spans="1:63" ht="15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</row>
    <row r="791" spans="1:63" ht="15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</row>
    <row r="792" spans="1:63" ht="15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</row>
    <row r="793" spans="1:63" ht="15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</row>
    <row r="794" spans="1:63" ht="15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</row>
    <row r="795" spans="1:63" ht="15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</row>
    <row r="796" spans="1:63" ht="15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</row>
    <row r="797" spans="1:63" ht="15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</row>
    <row r="798" spans="1:63" ht="15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</row>
    <row r="799" spans="1:63" ht="15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</row>
    <row r="800" spans="1:63" ht="15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</row>
    <row r="801" spans="1:63" ht="15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</row>
    <row r="802" spans="1:63" ht="15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</row>
    <row r="803" spans="1:63" ht="15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</row>
    <row r="804" spans="1:63" ht="15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</row>
    <row r="805" spans="1:63" ht="15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</row>
    <row r="806" spans="1:63" ht="15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</row>
    <row r="807" spans="1:63" ht="15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</row>
    <row r="808" spans="1:63" ht="15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</row>
    <row r="809" spans="1:63" ht="15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</row>
    <row r="810" spans="1:63" ht="15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</row>
    <row r="811" spans="1:63" ht="15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</row>
    <row r="812" spans="1:63" ht="15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</row>
    <row r="813" spans="1:63" ht="15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</row>
    <row r="814" spans="1:63" ht="15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</row>
    <row r="815" spans="1:63" ht="15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</row>
    <row r="816" spans="1:63" ht="15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</row>
    <row r="817" spans="1:63" ht="15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</row>
    <row r="818" spans="1:63" ht="15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</row>
    <row r="819" spans="1:63" ht="15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</row>
    <row r="820" spans="1:63" ht="15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</row>
    <row r="821" spans="1:63" ht="15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</row>
    <row r="822" spans="1:63" ht="15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</row>
    <row r="823" spans="1:63" ht="15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</row>
    <row r="824" spans="1:63" ht="15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</row>
    <row r="825" spans="1:63" ht="15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</row>
    <row r="826" spans="1:63" ht="15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</row>
    <row r="827" spans="1:63" ht="15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</row>
    <row r="828" spans="1:63" ht="15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</row>
    <row r="829" spans="1:63" ht="15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</row>
    <row r="830" spans="1:63" ht="15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</row>
    <row r="831" spans="1:63" ht="15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</row>
    <row r="832" spans="1:63" ht="15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</row>
    <row r="833" spans="1:63" ht="15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</row>
    <row r="834" spans="1:63" ht="15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</row>
    <row r="835" spans="1:63" ht="15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</row>
    <row r="836" spans="1:63" ht="15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</row>
    <row r="837" spans="1:63" ht="15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</row>
    <row r="838" spans="1:63" ht="15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</row>
    <row r="839" spans="1:63" ht="15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</row>
    <row r="840" spans="1:63" ht="15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</row>
    <row r="841" spans="1:63" ht="15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</row>
    <row r="842" spans="1:63" ht="15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</row>
    <row r="843" spans="1:63" ht="15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</row>
    <row r="844" spans="1:63" ht="15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</row>
    <row r="845" spans="1:63" ht="15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</row>
    <row r="846" spans="1:63" ht="15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</row>
    <row r="847" spans="1:63" ht="15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</row>
    <row r="848" spans="1:63" ht="15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</row>
    <row r="849" spans="1:63" ht="15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</row>
    <row r="850" spans="1:63" ht="15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</row>
    <row r="851" spans="1:63" ht="15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</row>
    <row r="852" spans="1:63" ht="15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</row>
    <row r="853" spans="1:63" ht="15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</row>
    <row r="854" spans="1:63" ht="15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</row>
    <row r="855" spans="1:63" ht="15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</row>
    <row r="856" spans="1:63" ht="15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</row>
    <row r="857" spans="1:63" ht="15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</row>
    <row r="858" spans="1:63" ht="15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</row>
    <row r="859" spans="1:63" ht="15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</row>
    <row r="860" spans="1:63" ht="15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</row>
    <row r="861" spans="1:63" ht="15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</row>
    <row r="862" spans="1:63" ht="15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</row>
    <row r="863" spans="1:63" ht="15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</row>
    <row r="864" spans="1:63" ht="15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</row>
    <row r="865" spans="1:63" ht="15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</row>
    <row r="866" spans="1:63" ht="15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</row>
    <row r="867" spans="1:63" ht="15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</row>
    <row r="868" spans="1:63" ht="15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</row>
    <row r="869" spans="1:63" ht="15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</row>
    <row r="870" spans="1:63" ht="15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</row>
    <row r="871" spans="1:63" ht="15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</row>
    <row r="872" spans="1:63" ht="15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</row>
    <row r="873" spans="1:63" ht="15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</row>
    <row r="874" spans="1:63" ht="15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</row>
    <row r="875" spans="1:63" ht="15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</row>
    <row r="876" spans="1:63" ht="15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</row>
    <row r="877" spans="1:63" ht="15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</row>
    <row r="878" spans="1:63" ht="15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</row>
    <row r="879" spans="1:63" ht="15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</row>
    <row r="880" spans="1:63" ht="15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</row>
    <row r="881" spans="1:63" ht="15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</row>
    <row r="882" spans="1:63" ht="15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</row>
    <row r="883" spans="1:63" ht="15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</row>
    <row r="884" spans="1:63" ht="15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</row>
    <row r="885" spans="1:63" ht="15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</row>
    <row r="886" spans="1:63" ht="15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</row>
    <row r="887" spans="1:63" ht="15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</row>
    <row r="888" spans="1:63" ht="15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</row>
    <row r="889" spans="1:63" ht="15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</row>
    <row r="890" spans="1:63" ht="15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</row>
    <row r="891" spans="1:63" ht="15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</row>
    <row r="892" spans="1:63" ht="15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</row>
    <row r="893" spans="1:63" ht="15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</row>
    <row r="894" spans="1:63" ht="15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</row>
    <row r="895" spans="1:63" ht="15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</row>
    <row r="896" spans="1:63" ht="15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</row>
    <row r="897" spans="1:63" ht="15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</row>
    <row r="898" spans="1:63" ht="15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</row>
    <row r="899" spans="1:63" ht="15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</row>
    <row r="900" spans="1:63" ht="15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</row>
    <row r="901" spans="1:63" ht="15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</row>
    <row r="902" spans="1:63" ht="15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</row>
    <row r="903" spans="1:63" ht="15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</row>
    <row r="904" spans="1:63" ht="15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</row>
    <row r="905" spans="1:63" ht="15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</row>
    <row r="906" spans="1:63" ht="15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</row>
    <row r="907" spans="1:63" ht="15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</row>
    <row r="908" spans="1:63" ht="15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</row>
    <row r="909" spans="1:63" ht="15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</row>
    <row r="910" spans="1:63" ht="15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</row>
    <row r="911" spans="1:63" ht="15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</row>
    <row r="912" spans="1:63" ht="15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</row>
    <row r="913" spans="1:63" ht="15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</row>
    <row r="914" spans="1:63" ht="15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</row>
    <row r="915" spans="1:63" ht="15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</row>
    <row r="916" spans="1:63" ht="15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</row>
    <row r="917" spans="1:63" ht="15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</row>
    <row r="918" spans="1:63" ht="15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</row>
    <row r="919" spans="1:63" ht="15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</row>
    <row r="920" spans="1:63" ht="15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</row>
    <row r="921" spans="1:63" ht="15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</row>
    <row r="922" spans="1:63" ht="15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</row>
    <row r="923" spans="1:63" ht="15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</row>
    <row r="924" spans="1:63" ht="15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</row>
    <row r="925" spans="1:63" ht="15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</row>
    <row r="926" spans="1:63" ht="15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</row>
    <row r="927" spans="1:63" ht="15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</row>
    <row r="928" spans="1:63" ht="15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</row>
    <row r="929" spans="1:63" ht="15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</row>
    <row r="930" spans="1:63" ht="15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</row>
    <row r="931" spans="1:63" ht="15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</row>
    <row r="932" spans="1:63" ht="15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</row>
    <row r="933" spans="1:63" ht="15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</row>
    <row r="934" spans="1:63" ht="15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</row>
    <row r="935" spans="1:63" ht="15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</row>
    <row r="936" spans="1:63" ht="15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</row>
    <row r="937" spans="1:63" ht="15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</row>
    <row r="938" spans="1:63" ht="15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</row>
    <row r="939" spans="1:63" ht="15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</row>
    <row r="940" spans="1:63" ht="15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</row>
    <row r="941" spans="1:63" ht="15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</row>
    <row r="942" spans="1:63" ht="15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</row>
    <row r="943" spans="1:63" ht="15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</row>
    <row r="944" spans="1:63" ht="15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</row>
    <row r="945" spans="1:63" ht="15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</row>
    <row r="946" spans="1:63" ht="15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</row>
    <row r="947" spans="1:63" ht="15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</row>
    <row r="948" spans="1:63" ht="15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</row>
    <row r="949" spans="1:63" ht="15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</row>
    <row r="950" spans="1:63" ht="15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</row>
    <row r="951" spans="1:63" ht="15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</row>
    <row r="952" spans="1:63" ht="15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</row>
    <row r="953" spans="1:63" ht="15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</row>
    <row r="954" spans="1:63" ht="15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</row>
    <row r="955" spans="1:63" ht="15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</row>
    <row r="956" spans="1:63" ht="15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</row>
    <row r="957" spans="1:63" ht="15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</row>
    <row r="958" spans="1:63" ht="15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</row>
    <row r="959" spans="1:63" ht="15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</row>
    <row r="960" spans="1:63" ht="15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</row>
    <row r="961" spans="1:63" ht="15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</row>
    <row r="962" spans="1:63" ht="15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</row>
    <row r="963" spans="1:63" ht="15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</row>
    <row r="964" spans="1:63" ht="15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</row>
    <row r="965" spans="1:63" ht="15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</row>
    <row r="966" spans="1:63" ht="15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</row>
    <row r="967" spans="1:63" ht="15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</row>
    <row r="968" spans="1:63" ht="15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</row>
    <row r="969" spans="1:63" ht="15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</row>
    <row r="970" spans="1:63" ht="15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</row>
    <row r="971" spans="1:63" ht="15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</row>
    <row r="972" spans="1:63" ht="15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</row>
    <row r="973" spans="1:63" ht="15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</row>
    <row r="974" spans="1:63" ht="15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</row>
    <row r="975" spans="1:63" ht="15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</row>
    <row r="976" spans="1:63" ht="15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</row>
    <row r="977" spans="1:63" ht="15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</row>
    <row r="978" spans="1:63" ht="15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</row>
    <row r="979" spans="1:63" ht="15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</row>
    <row r="980" spans="1:63" ht="15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</row>
    <row r="981" spans="1:63" ht="15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</row>
    <row r="982" spans="1:63" ht="15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</row>
    <row r="983" spans="1:63" ht="15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</row>
    <row r="984" spans="1:63" ht="15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</row>
    <row r="985" spans="1:63" ht="15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</row>
    <row r="986" spans="1:63" ht="15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</row>
    <row r="987" spans="1:63" ht="15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</row>
    <row r="988" spans="1:63" ht="15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</row>
    <row r="989" spans="1:63" ht="15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</row>
    <row r="990" spans="1:63" ht="15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</row>
    <row r="991" spans="1:63" ht="15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</row>
    <row r="992" spans="1:63" ht="15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</row>
    <row r="993" spans="1:63" ht="15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</row>
    <row r="994" spans="1:63" ht="15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</row>
    <row r="995" spans="1:63" ht="15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</row>
    <row r="996" spans="1:63" ht="15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</row>
    <row r="997" spans="1:63" ht="15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</row>
    <row r="998" spans="1:63" ht="15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</row>
    <row r="999" spans="1:63" ht="15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</row>
    <row r="1000" spans="1:63" ht="15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</row>
    <row r="1001" spans="1:63" ht="15.75" customHeight="1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T1001" s="16"/>
      <c r="AU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E1000"/>
  <sheetViews>
    <sheetView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Q20" sqref="Q20:Q24"/>
    </sheetView>
  </sheetViews>
  <sheetFormatPr baseColWidth="10" defaultColWidth="11.1640625" defaultRowHeight="15" customHeight="1"/>
  <cols>
    <col min="1" max="1" width="20.83203125" customWidth="1"/>
    <col min="2" max="2" width="18.1640625" customWidth="1"/>
    <col min="3" max="3" width="12.83203125" customWidth="1"/>
    <col min="4" max="4" width="16.33203125" customWidth="1"/>
    <col min="5" max="5" width="11.5" customWidth="1"/>
    <col min="6" max="6" width="11.83203125" customWidth="1"/>
    <col min="7" max="7" width="15.1640625" customWidth="1"/>
    <col min="8" max="8" width="15.33203125" customWidth="1"/>
    <col min="9" max="9" width="12.5" customWidth="1"/>
    <col min="10" max="10" width="19.83203125" customWidth="1"/>
    <col min="11" max="11" width="20.1640625" customWidth="1"/>
    <col min="12" max="12" width="13.1640625" customWidth="1"/>
    <col min="13" max="13" width="15.6640625" customWidth="1"/>
    <col min="14" max="14" width="15.1640625" customWidth="1"/>
    <col min="15" max="15" width="13.5" customWidth="1"/>
    <col min="16" max="16" width="17.1640625" customWidth="1"/>
    <col min="17" max="17" width="14.1640625" customWidth="1"/>
    <col min="18" max="18" width="17.1640625" customWidth="1"/>
    <col min="19" max="19" width="17.33203125" customWidth="1"/>
    <col min="20" max="20" width="16.33203125" customWidth="1"/>
    <col min="21" max="21" width="13.1640625" customWidth="1"/>
    <col min="22" max="22" width="12.33203125" customWidth="1"/>
    <col min="23" max="23" width="13.1640625" customWidth="1"/>
    <col min="24" max="24" width="22.5" customWidth="1"/>
    <col min="25" max="25" width="12.1640625" customWidth="1"/>
    <col min="26" max="26" width="13.33203125" customWidth="1"/>
    <col min="27" max="27" width="11.6640625" customWidth="1"/>
    <col min="28" max="28" width="11.33203125" customWidth="1"/>
    <col min="29" max="29" width="13.5" customWidth="1"/>
    <col min="30" max="30" width="19.1640625" customWidth="1"/>
    <col min="31" max="31" width="11.5" customWidth="1"/>
    <col min="32" max="32" width="13.5" customWidth="1"/>
    <col min="33" max="33" width="15.5" customWidth="1"/>
    <col min="34" max="34" width="19" customWidth="1"/>
    <col min="35" max="35" width="18.6640625" customWidth="1"/>
    <col min="36" max="37" width="14.1640625" customWidth="1"/>
    <col min="38" max="38" width="17.33203125" customWidth="1"/>
    <col min="39" max="39" width="18.33203125" customWidth="1"/>
    <col min="40" max="40" width="13.5" customWidth="1"/>
    <col min="41" max="41" width="12.33203125" customWidth="1"/>
    <col min="42" max="42" width="16.83203125" customWidth="1"/>
    <col min="43" max="43" width="13" customWidth="1"/>
    <col min="44" max="44" width="13.83203125" customWidth="1"/>
    <col min="45" max="45" width="17.1640625" customWidth="1"/>
    <col min="46" max="46" width="12.83203125" customWidth="1"/>
    <col min="47" max="47" width="13.1640625" customWidth="1"/>
    <col min="48" max="48" width="18" customWidth="1"/>
    <col min="49" max="49" width="13.33203125" customWidth="1"/>
    <col min="50" max="50" width="13.83203125" customWidth="1"/>
    <col min="51" max="51" width="13.6640625" customWidth="1"/>
    <col min="52" max="52" width="13.5" customWidth="1"/>
    <col min="53" max="53" width="16.5" customWidth="1"/>
    <col min="54" max="54" width="13.83203125" customWidth="1"/>
    <col min="55" max="55" width="13.6640625" customWidth="1"/>
    <col min="56" max="57" width="15.83203125" customWidth="1"/>
  </cols>
  <sheetData>
    <row r="1" spans="1:57" ht="33.75" customHeight="1">
      <c r="A1" s="6"/>
      <c r="B1" s="8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15.75" customHeight="1">
      <c r="A2" s="10" t="s">
        <v>3</v>
      </c>
      <c r="B2" s="11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7" ht="15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48">
      <c r="A4" s="19" t="s">
        <v>5</v>
      </c>
      <c r="B4" s="24" t="s">
        <v>6</v>
      </c>
      <c r="C4" s="24" t="s">
        <v>7</v>
      </c>
      <c r="D4" s="24" t="s">
        <v>8</v>
      </c>
      <c r="E4" s="26" t="s">
        <v>9</v>
      </c>
      <c r="F4" s="24" t="s">
        <v>10</v>
      </c>
      <c r="G4" s="24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4" t="s">
        <v>16</v>
      </c>
      <c r="M4" s="24" t="s">
        <v>17</v>
      </c>
      <c r="N4" s="32" t="s">
        <v>18</v>
      </c>
      <c r="O4" s="24" t="s">
        <v>19</v>
      </c>
      <c r="P4" s="24" t="s">
        <v>20</v>
      </c>
      <c r="Q4" s="26" t="s">
        <v>21</v>
      </c>
      <c r="R4" s="24" t="s">
        <v>22</v>
      </c>
      <c r="S4" s="24" t="s">
        <v>23</v>
      </c>
      <c r="T4" s="24" t="s">
        <v>24</v>
      </c>
      <c r="U4" s="26" t="s">
        <v>25</v>
      </c>
      <c r="V4" s="26" t="s">
        <v>26</v>
      </c>
      <c r="W4" s="26" t="s">
        <v>27</v>
      </c>
      <c r="X4" s="26" t="s">
        <v>28</v>
      </c>
      <c r="Y4" s="26" t="s">
        <v>29</v>
      </c>
      <c r="Z4" s="26" t="s">
        <v>30</v>
      </c>
      <c r="AA4" s="24" t="s">
        <v>31</v>
      </c>
      <c r="AB4" s="26" t="s">
        <v>32</v>
      </c>
      <c r="AC4" s="26" t="s">
        <v>33</v>
      </c>
      <c r="AD4" s="26" t="s">
        <v>34</v>
      </c>
      <c r="AE4" s="26" t="s">
        <v>35</v>
      </c>
      <c r="AF4" s="26" t="s">
        <v>36</v>
      </c>
      <c r="AG4" s="26" t="s">
        <v>37</v>
      </c>
      <c r="AH4" s="26" t="s">
        <v>38</v>
      </c>
      <c r="AI4" s="26" t="s">
        <v>39</v>
      </c>
      <c r="AJ4" s="24" t="s">
        <v>40</v>
      </c>
      <c r="AK4" s="24" t="s">
        <v>41</v>
      </c>
      <c r="AL4" s="26" t="s">
        <v>42</v>
      </c>
      <c r="AM4" s="24" t="s">
        <v>43</v>
      </c>
      <c r="AN4" s="24" t="s">
        <v>44</v>
      </c>
      <c r="AO4" s="24" t="s">
        <v>45</v>
      </c>
      <c r="AP4" s="24" t="s">
        <v>46</v>
      </c>
      <c r="AQ4" s="24" t="s">
        <v>47</v>
      </c>
      <c r="AR4" s="24" t="s">
        <v>48</v>
      </c>
      <c r="AS4" s="26" t="s">
        <v>49</v>
      </c>
      <c r="AT4" s="24" t="s">
        <v>50</v>
      </c>
      <c r="AU4" s="24" t="s">
        <v>51</v>
      </c>
      <c r="AV4" s="24" t="s">
        <v>52</v>
      </c>
      <c r="AW4" s="24" t="s">
        <v>53</v>
      </c>
      <c r="AX4" s="24" t="s">
        <v>54</v>
      </c>
      <c r="AY4" s="24" t="s">
        <v>55</v>
      </c>
      <c r="AZ4" s="24" t="s">
        <v>56</v>
      </c>
      <c r="BA4" s="24" t="s">
        <v>57</v>
      </c>
      <c r="BB4" s="24" t="s">
        <v>58</v>
      </c>
      <c r="BC4" s="32" t="s">
        <v>59</v>
      </c>
      <c r="BD4" s="32" t="s">
        <v>60</v>
      </c>
      <c r="BE4" s="40"/>
    </row>
    <row r="5" spans="1:57" ht="15.75" customHeight="1">
      <c r="A5" s="50" t="s">
        <v>64</v>
      </c>
      <c r="B5" s="54" t="s">
        <v>70</v>
      </c>
      <c r="C5" s="54" t="s">
        <v>70</v>
      </c>
      <c r="D5" s="54" t="s">
        <v>70</v>
      </c>
      <c r="E5" s="54" t="s">
        <v>70</v>
      </c>
      <c r="F5" s="54" t="s">
        <v>70</v>
      </c>
      <c r="G5" s="56" t="s">
        <v>112</v>
      </c>
      <c r="H5" s="54" t="s">
        <v>70</v>
      </c>
      <c r="I5" s="54" t="s">
        <v>115</v>
      </c>
      <c r="J5" s="54" t="s">
        <v>116</v>
      </c>
      <c r="K5" s="54" t="s">
        <v>117</v>
      </c>
      <c r="L5" s="54" t="s">
        <v>118</v>
      </c>
      <c r="M5" s="54" t="s">
        <v>119</v>
      </c>
      <c r="N5" s="54" t="s">
        <v>120</v>
      </c>
      <c r="O5" s="54" t="s">
        <v>121</v>
      </c>
      <c r="P5" s="54" t="s">
        <v>122</v>
      </c>
      <c r="Q5" s="54" t="s">
        <v>70</v>
      </c>
      <c r="R5" s="54" t="s">
        <v>123</v>
      </c>
      <c r="S5" s="54" t="s">
        <v>124</v>
      </c>
      <c r="T5" s="54" t="s">
        <v>70</v>
      </c>
      <c r="U5" s="54" t="s">
        <v>70</v>
      </c>
      <c r="V5" s="54" t="s">
        <v>125</v>
      </c>
      <c r="W5" s="54" t="s">
        <v>126</v>
      </c>
      <c r="X5" s="54" t="s">
        <v>127</v>
      </c>
      <c r="Y5" s="54" t="s">
        <v>126</v>
      </c>
      <c r="Z5" s="54" t="s">
        <v>70</v>
      </c>
      <c r="AA5" s="54" t="s">
        <v>126</v>
      </c>
      <c r="AB5" s="54" t="s">
        <v>126</v>
      </c>
      <c r="AC5" s="54" t="s">
        <v>128</v>
      </c>
      <c r="AD5" s="54" t="s">
        <v>129</v>
      </c>
      <c r="AE5" s="54" t="s">
        <v>125</v>
      </c>
      <c r="AF5" s="54" t="s">
        <v>130</v>
      </c>
      <c r="AG5" s="54" t="s">
        <v>131</v>
      </c>
      <c r="AH5" s="54" t="s">
        <v>132</v>
      </c>
      <c r="AI5" s="54" t="s">
        <v>133</v>
      </c>
      <c r="AJ5" s="54" t="s">
        <v>134</v>
      </c>
      <c r="AK5" s="59" t="s">
        <v>134</v>
      </c>
      <c r="AL5" s="54" t="s">
        <v>135</v>
      </c>
      <c r="AM5" s="61" t="s">
        <v>70</v>
      </c>
      <c r="AN5" s="54" t="s">
        <v>70</v>
      </c>
      <c r="AO5" s="54" t="s">
        <v>126</v>
      </c>
      <c r="AP5" s="54" t="s">
        <v>126</v>
      </c>
      <c r="AQ5" s="54" t="s">
        <v>70</v>
      </c>
      <c r="AR5" s="54" t="s">
        <v>126</v>
      </c>
      <c r="AS5" s="61" t="s">
        <v>70</v>
      </c>
      <c r="AT5" s="54" t="s">
        <v>137</v>
      </c>
      <c r="AU5" s="61" t="s">
        <v>138</v>
      </c>
      <c r="AV5" s="54" t="s">
        <v>126</v>
      </c>
      <c r="AW5" s="54" t="s">
        <v>139</v>
      </c>
      <c r="AX5" s="54" t="s">
        <v>126</v>
      </c>
      <c r="AY5" s="54" t="s">
        <v>126</v>
      </c>
      <c r="AZ5" s="54" t="s">
        <v>126</v>
      </c>
      <c r="BA5" s="54" t="s">
        <v>126</v>
      </c>
      <c r="BB5" s="54" t="s">
        <v>140</v>
      </c>
      <c r="BC5" s="54" t="s">
        <v>126</v>
      </c>
      <c r="BD5" s="61" t="s">
        <v>141</v>
      </c>
      <c r="BE5" s="63"/>
    </row>
    <row r="6" spans="1:57" ht="15.75" customHeight="1">
      <c r="A6" s="66">
        <v>1</v>
      </c>
      <c r="B6" s="68">
        <v>751000</v>
      </c>
      <c r="C6" s="70">
        <v>251000</v>
      </c>
      <c r="D6" s="68">
        <v>15000</v>
      </c>
      <c r="E6" s="70">
        <v>1200</v>
      </c>
      <c r="F6" s="75">
        <v>24000</v>
      </c>
      <c r="G6" s="68">
        <v>500</v>
      </c>
      <c r="H6" s="68">
        <v>1404000</v>
      </c>
      <c r="I6" s="75">
        <v>50000</v>
      </c>
      <c r="J6" s="75">
        <v>185000</v>
      </c>
      <c r="K6" s="68">
        <v>100000</v>
      </c>
      <c r="L6" s="68">
        <v>300</v>
      </c>
      <c r="M6" s="68">
        <v>375000</v>
      </c>
      <c r="N6" s="75">
        <v>121800</v>
      </c>
      <c r="O6" s="75">
        <v>7500</v>
      </c>
      <c r="P6" s="75">
        <v>160000</v>
      </c>
      <c r="Q6" s="75">
        <v>12000</v>
      </c>
      <c r="R6" s="75">
        <v>1200000</v>
      </c>
      <c r="S6" s="75">
        <v>640000</v>
      </c>
      <c r="T6" s="75">
        <v>160000</v>
      </c>
      <c r="U6" s="77" t="s">
        <v>145</v>
      </c>
      <c r="V6" s="75">
        <v>360000</v>
      </c>
      <c r="W6" s="75">
        <v>500</v>
      </c>
      <c r="X6" s="75">
        <v>400000</v>
      </c>
      <c r="Y6" s="75">
        <v>30000</v>
      </c>
      <c r="Z6" s="70">
        <v>1040</v>
      </c>
      <c r="AA6" s="68">
        <v>80000</v>
      </c>
      <c r="AB6" s="73">
        <v>1500</v>
      </c>
      <c r="AC6" s="70">
        <v>8200</v>
      </c>
      <c r="AD6" s="70">
        <v>1000</v>
      </c>
      <c r="AE6" s="68">
        <v>630000</v>
      </c>
      <c r="AF6" s="68">
        <v>250</v>
      </c>
      <c r="AG6" s="70">
        <v>2000</v>
      </c>
      <c r="AH6" s="75">
        <v>490000</v>
      </c>
      <c r="AI6" s="70">
        <v>800000</v>
      </c>
      <c r="AJ6" s="68">
        <v>125000</v>
      </c>
      <c r="AK6" s="68">
        <v>945000</v>
      </c>
      <c r="AL6" s="75">
        <v>10000</v>
      </c>
      <c r="AM6" s="78">
        <v>2</v>
      </c>
      <c r="AN6" s="78">
        <v>100</v>
      </c>
      <c r="AO6" s="80">
        <f>150+(2*$AO$44*Inputs!$AP$49)</f>
        <v>226.76923076923077</v>
      </c>
      <c r="AP6" s="78">
        <v>20</v>
      </c>
      <c r="AQ6" s="80">
        <f>2*AQ44*Inputs!AR49</f>
        <v>3.4597333333333333</v>
      </c>
      <c r="AR6" s="82">
        <v>14</v>
      </c>
      <c r="AS6" s="78">
        <v>5</v>
      </c>
      <c r="AT6" s="70">
        <v>400000</v>
      </c>
      <c r="AU6" s="73">
        <v>148500</v>
      </c>
      <c r="AV6" s="73">
        <v>1000</v>
      </c>
      <c r="AW6" s="68">
        <v>60000</v>
      </c>
      <c r="AX6" s="68">
        <v>10000</v>
      </c>
      <c r="AY6" s="68">
        <v>2000</v>
      </c>
      <c r="AZ6" s="82">
        <v>522</v>
      </c>
      <c r="BA6" s="68">
        <v>500000</v>
      </c>
      <c r="BB6" s="68">
        <v>100000</v>
      </c>
      <c r="BC6" s="68">
        <v>25000</v>
      </c>
      <c r="BD6" s="73">
        <v>175000</v>
      </c>
      <c r="BE6" s="83"/>
    </row>
    <row r="7" spans="1:57" ht="15.75" customHeight="1">
      <c r="A7" s="66">
        <v>2</v>
      </c>
      <c r="B7" s="68">
        <v>502000</v>
      </c>
      <c r="C7" s="70">
        <v>127000</v>
      </c>
      <c r="D7" s="68">
        <v>35000</v>
      </c>
      <c r="E7" s="70">
        <v>6000</v>
      </c>
      <c r="F7" s="75">
        <v>31000</v>
      </c>
      <c r="G7" s="68">
        <v>500</v>
      </c>
      <c r="H7" s="68">
        <v>852000</v>
      </c>
      <c r="I7" s="75">
        <f>30*5000</f>
        <v>150000</v>
      </c>
      <c r="J7" s="75">
        <v>245000</v>
      </c>
      <c r="K7" s="68">
        <v>125000</v>
      </c>
      <c r="L7" s="68">
        <v>500</v>
      </c>
      <c r="M7" s="68">
        <v>787500</v>
      </c>
      <c r="N7" s="75">
        <v>457000</v>
      </c>
      <c r="O7" s="75">
        <v>7500</v>
      </c>
      <c r="P7" s="75">
        <v>210000</v>
      </c>
      <c r="Q7" s="75">
        <v>19200</v>
      </c>
      <c r="R7" s="75">
        <v>1200000</v>
      </c>
      <c r="S7" s="75">
        <v>640000</v>
      </c>
      <c r="T7" s="75">
        <v>220000</v>
      </c>
      <c r="U7" s="77" t="s">
        <v>157</v>
      </c>
      <c r="V7" s="75">
        <v>180000</v>
      </c>
      <c r="W7" s="75">
        <v>1000</v>
      </c>
      <c r="X7" s="75">
        <v>1100000</v>
      </c>
      <c r="Y7" s="75">
        <v>30000</v>
      </c>
      <c r="Z7" s="75">
        <v>580</v>
      </c>
      <c r="AA7" s="68">
        <v>85000</v>
      </c>
      <c r="AB7" s="68">
        <v>152</v>
      </c>
      <c r="AC7" s="70">
        <v>4900</v>
      </c>
      <c r="AD7" s="70">
        <v>1000</v>
      </c>
      <c r="AE7" s="68">
        <v>210000</v>
      </c>
      <c r="AF7" s="68">
        <v>700</v>
      </c>
      <c r="AG7" s="70">
        <v>4000</v>
      </c>
      <c r="AH7" s="75">
        <v>500000</v>
      </c>
      <c r="AI7" s="70">
        <v>90000</v>
      </c>
      <c r="AJ7" s="68">
        <v>63100</v>
      </c>
      <c r="AK7" s="68">
        <f>800000+600000</f>
        <v>1400000</v>
      </c>
      <c r="AL7" s="75">
        <v>20000</v>
      </c>
      <c r="AM7" s="80">
        <f>2000*AM44*Inputs!AN49</f>
        <v>22.681818181818183</v>
      </c>
      <c r="AN7" s="80">
        <f>5000*AN44*Inputs!AO49</f>
        <v>33.299999999999997</v>
      </c>
      <c r="AO7" s="80">
        <f>150+(2*$AO$44*Inputs!$AP$49)</f>
        <v>226.76923076923077</v>
      </c>
      <c r="AP7" s="78">
        <v>20</v>
      </c>
      <c r="AQ7" s="82">
        <v>5</v>
      </c>
      <c r="AR7" s="82">
        <v>14</v>
      </c>
      <c r="AS7" s="78">
        <v>12</v>
      </c>
      <c r="AT7" s="70">
        <v>300000</v>
      </c>
      <c r="AU7" s="75">
        <v>93600</v>
      </c>
      <c r="AV7" s="73">
        <v>1000</v>
      </c>
      <c r="AW7" s="68">
        <v>30000</v>
      </c>
      <c r="AX7" s="68">
        <v>15000</v>
      </c>
      <c r="AY7" s="68">
        <v>3000</v>
      </c>
      <c r="AZ7" s="82">
        <v>522</v>
      </c>
      <c r="BA7" s="88">
        <f>(530286+((35*BA44)*Inputs!BB49))</f>
        <v>1578186</v>
      </c>
      <c r="BB7" s="88">
        <v>100000</v>
      </c>
      <c r="BC7" s="68">
        <v>35000</v>
      </c>
      <c r="BD7" s="73">
        <v>150000</v>
      </c>
      <c r="BE7" s="90"/>
    </row>
    <row r="8" spans="1:57" ht="15.75" customHeight="1">
      <c r="A8" s="66">
        <v>3</v>
      </c>
      <c r="B8" s="68">
        <v>778000</v>
      </c>
      <c r="C8" s="70">
        <v>53000</v>
      </c>
      <c r="D8" s="68">
        <v>40000</v>
      </c>
      <c r="E8" s="70">
        <v>20250</v>
      </c>
      <c r="F8" s="75">
        <v>7000</v>
      </c>
      <c r="G8" s="68">
        <v>500</v>
      </c>
      <c r="H8" s="68">
        <v>876000</v>
      </c>
      <c r="I8" s="75">
        <f>35*5200</f>
        <v>182000</v>
      </c>
      <c r="J8" s="75">
        <v>330000</v>
      </c>
      <c r="K8" s="68">
        <v>130000</v>
      </c>
      <c r="L8" s="68">
        <v>300</v>
      </c>
      <c r="M8" s="68">
        <v>1406250</v>
      </c>
      <c r="N8" s="75">
        <v>99000</v>
      </c>
      <c r="O8" s="75">
        <v>7500</v>
      </c>
      <c r="P8" s="75">
        <v>290000</v>
      </c>
      <c r="Q8" s="75">
        <v>25200</v>
      </c>
      <c r="R8" s="75">
        <v>1200000</v>
      </c>
      <c r="S8" s="75">
        <v>640000</v>
      </c>
      <c r="T8" s="75">
        <v>280000</v>
      </c>
      <c r="U8" s="77" t="s">
        <v>159</v>
      </c>
      <c r="V8" s="75">
        <v>360000</v>
      </c>
      <c r="W8" s="75">
        <v>1500</v>
      </c>
      <c r="X8" s="75">
        <v>900000</v>
      </c>
      <c r="Y8" s="75">
        <v>30000</v>
      </c>
      <c r="Z8" s="75">
        <v>1620</v>
      </c>
      <c r="AA8" s="68">
        <v>65000</v>
      </c>
      <c r="AB8" s="68">
        <v>197</v>
      </c>
      <c r="AC8" s="70">
        <v>7400</v>
      </c>
      <c r="AD8" s="70">
        <v>1000</v>
      </c>
      <c r="AE8" s="68">
        <v>630000</v>
      </c>
      <c r="AF8" s="68">
        <v>600</v>
      </c>
      <c r="AG8" s="70">
        <v>2500</v>
      </c>
      <c r="AH8" s="75">
        <v>510000</v>
      </c>
      <c r="AI8" s="70">
        <v>100000</v>
      </c>
      <c r="AJ8" s="68">
        <v>109800</v>
      </c>
      <c r="AK8" s="68">
        <f>945000+1500000</f>
        <v>2445000</v>
      </c>
      <c r="AL8" s="75">
        <v>30000</v>
      </c>
      <c r="AM8" s="80">
        <f>2*AM54*Inputs!AN49</f>
        <v>7.5</v>
      </c>
      <c r="AN8" s="80">
        <f>2*AN49*Inputs!AO49</f>
        <v>39.92</v>
      </c>
      <c r="AO8" s="80">
        <f>150+(2*$AO$44*Inputs!$AP$49)</f>
        <v>226.76923076923077</v>
      </c>
      <c r="AP8" s="78">
        <v>20</v>
      </c>
      <c r="AQ8" s="82">
        <v>3</v>
      </c>
      <c r="AR8" s="82">
        <v>14</v>
      </c>
      <c r="AS8" s="78">
        <v>5</v>
      </c>
      <c r="AT8" s="70">
        <v>150000</v>
      </c>
      <c r="AU8" s="75">
        <v>487500</v>
      </c>
      <c r="AV8" s="73">
        <v>1000</v>
      </c>
      <c r="AW8" s="68">
        <v>60000</v>
      </c>
      <c r="AX8" s="68">
        <v>22500</v>
      </c>
      <c r="AY8" s="68">
        <v>5000</v>
      </c>
      <c r="AZ8" s="82">
        <v>522</v>
      </c>
      <c r="BA8" s="68">
        <v>1000000</v>
      </c>
      <c r="BB8" s="68">
        <f>250*BB64</f>
        <v>139049.82618771726</v>
      </c>
      <c r="BC8" s="68">
        <v>45000</v>
      </c>
      <c r="BD8" s="73">
        <v>340000</v>
      </c>
      <c r="BE8" s="83"/>
    </row>
    <row r="9" spans="1:57" ht="15.75" customHeight="1">
      <c r="A9" s="66">
        <v>4</v>
      </c>
      <c r="B9" s="68">
        <v>504000</v>
      </c>
      <c r="C9" s="70">
        <v>254000</v>
      </c>
      <c r="D9" s="68">
        <v>73000</v>
      </c>
      <c r="E9" s="70">
        <v>13500</v>
      </c>
      <c r="F9" s="75">
        <v>81000</v>
      </c>
      <c r="G9" s="68">
        <v>500</v>
      </c>
      <c r="H9" s="68">
        <v>916000</v>
      </c>
      <c r="I9" s="75">
        <f>40*5000</f>
        <v>200000</v>
      </c>
      <c r="J9" s="75">
        <v>445000</v>
      </c>
      <c r="K9" s="68">
        <v>140000</v>
      </c>
      <c r="L9" s="68">
        <v>2500</v>
      </c>
      <c r="M9" s="68">
        <v>1350000</v>
      </c>
      <c r="N9" s="75">
        <v>161000</v>
      </c>
      <c r="O9" s="75">
        <v>7500</v>
      </c>
      <c r="P9" s="75">
        <v>390000</v>
      </c>
      <c r="Q9" s="75">
        <v>79543</v>
      </c>
      <c r="R9" s="75">
        <v>1200000</v>
      </c>
      <c r="S9" s="75">
        <v>640000</v>
      </c>
      <c r="T9" s="75">
        <v>240000</v>
      </c>
      <c r="U9" s="77" t="s">
        <v>161</v>
      </c>
      <c r="V9" s="75">
        <v>360000</v>
      </c>
      <c r="W9" s="75">
        <v>2000</v>
      </c>
      <c r="X9" s="75">
        <v>4400000</v>
      </c>
      <c r="Y9" s="75">
        <v>30000</v>
      </c>
      <c r="Z9" s="70">
        <v>1660</v>
      </c>
      <c r="AA9" s="68">
        <v>85000</v>
      </c>
      <c r="AB9" s="68">
        <v>360</v>
      </c>
      <c r="AC9" s="70">
        <v>7400</v>
      </c>
      <c r="AD9" s="70">
        <v>1000</v>
      </c>
      <c r="AE9" s="68">
        <v>420000</v>
      </c>
      <c r="AF9" s="68">
        <v>350</v>
      </c>
      <c r="AG9" s="70">
        <v>3500</v>
      </c>
      <c r="AH9" s="75">
        <v>525000</v>
      </c>
      <c r="AI9" s="70">
        <v>100000</v>
      </c>
      <c r="AJ9" s="68">
        <v>148500</v>
      </c>
      <c r="AK9" s="68">
        <f>1400000+700000</f>
        <v>2100000</v>
      </c>
      <c r="AL9" s="75">
        <v>40000</v>
      </c>
      <c r="AM9" s="80">
        <f>1*AM54*Inputs!AN49</f>
        <v>3.75</v>
      </c>
      <c r="AN9" s="78">
        <v>3</v>
      </c>
      <c r="AO9" s="80">
        <f>150+(2*$AO$44*Inputs!$AP$49)</f>
        <v>226.76923076923077</v>
      </c>
      <c r="AP9" s="78">
        <v>20</v>
      </c>
      <c r="AQ9" s="82">
        <v>5</v>
      </c>
      <c r="AR9" s="82">
        <v>14</v>
      </c>
      <c r="AS9" s="80">
        <f>1000*AS44*Inputs!AT49</f>
        <v>9.98</v>
      </c>
      <c r="AT9" s="70">
        <v>350000</v>
      </c>
      <c r="AU9" s="75">
        <v>380625</v>
      </c>
      <c r="AV9" s="73">
        <v>1000</v>
      </c>
      <c r="AW9" s="68">
        <v>90000</v>
      </c>
      <c r="AX9" s="68">
        <v>30000</v>
      </c>
      <c r="AY9" s="68">
        <v>7000</v>
      </c>
      <c r="AZ9" s="82">
        <v>522</v>
      </c>
      <c r="BA9" s="68">
        <v>1400000</v>
      </c>
      <c r="BB9" s="68">
        <v>250000</v>
      </c>
      <c r="BC9" s="68">
        <v>55000</v>
      </c>
      <c r="BD9" s="73">
        <v>300000</v>
      </c>
      <c r="BE9" s="83"/>
    </row>
    <row r="10" spans="1:57" ht="15.75" customHeight="1">
      <c r="A10" s="66">
        <v>5</v>
      </c>
      <c r="B10" s="68">
        <v>1505000</v>
      </c>
      <c r="C10" s="70">
        <v>205000</v>
      </c>
      <c r="D10" s="68">
        <v>50000</v>
      </c>
      <c r="E10" s="70">
        <v>13500</v>
      </c>
      <c r="F10" s="75">
        <v>66000</v>
      </c>
      <c r="G10" s="68">
        <v>500</v>
      </c>
      <c r="H10" s="68">
        <v>964000</v>
      </c>
      <c r="I10" s="75">
        <f>40*7000</f>
        <v>280000</v>
      </c>
      <c r="J10" s="75">
        <v>600000</v>
      </c>
      <c r="K10" s="68">
        <v>155000</v>
      </c>
      <c r="L10" s="68">
        <v>300</v>
      </c>
      <c r="M10" s="68">
        <v>2343750</v>
      </c>
      <c r="N10" s="75">
        <v>102500</v>
      </c>
      <c r="O10" s="75">
        <v>7500</v>
      </c>
      <c r="P10" s="75">
        <v>520000</v>
      </c>
      <c r="Q10" s="75">
        <v>65100</v>
      </c>
      <c r="R10" s="75">
        <v>1200000</v>
      </c>
      <c r="S10" s="75">
        <v>640000</v>
      </c>
      <c r="T10" s="75">
        <v>1050000</v>
      </c>
      <c r="U10" s="77" t="s">
        <v>162</v>
      </c>
      <c r="V10" s="75">
        <v>540000</v>
      </c>
      <c r="W10" s="75">
        <v>2500</v>
      </c>
      <c r="X10" s="75">
        <v>1700000</v>
      </c>
      <c r="Y10" s="75">
        <v>30000</v>
      </c>
      <c r="Z10" s="70">
        <v>1200</v>
      </c>
      <c r="AA10" s="68">
        <v>157500</v>
      </c>
      <c r="AB10" s="68">
        <v>225</v>
      </c>
      <c r="AC10" s="70">
        <v>6200</v>
      </c>
      <c r="AD10" s="70">
        <v>1000</v>
      </c>
      <c r="AE10" s="68">
        <v>420000</v>
      </c>
      <c r="AF10" s="68">
        <v>900</v>
      </c>
      <c r="AG10" s="70">
        <v>5000</v>
      </c>
      <c r="AH10" s="75">
        <v>545000</v>
      </c>
      <c r="AI10" s="75">
        <v>20000</v>
      </c>
      <c r="AJ10" s="68">
        <v>47600</v>
      </c>
      <c r="AK10" s="68">
        <f>1570000+1500000</f>
        <v>3070000</v>
      </c>
      <c r="AL10" s="75">
        <v>50000</v>
      </c>
      <c r="AM10" s="80">
        <f>1*AM49*Inputs!AN49</f>
        <v>1.4925000000000002</v>
      </c>
      <c r="AN10" s="80">
        <f>5*AN49*Inputs!AO49</f>
        <v>99.800000000000011</v>
      </c>
      <c r="AO10" s="80">
        <f>150+(2*AO44*Inputs!AP49)</f>
        <v>226.76923076923077</v>
      </c>
      <c r="AP10" s="78">
        <v>20</v>
      </c>
      <c r="AQ10" s="82">
        <v>3</v>
      </c>
      <c r="AR10" s="82">
        <v>14</v>
      </c>
      <c r="AS10" s="78">
        <v>50</v>
      </c>
      <c r="AT10" s="70">
        <v>125000</v>
      </c>
      <c r="AU10" s="75">
        <v>720000</v>
      </c>
      <c r="AV10" s="73">
        <v>1000</v>
      </c>
      <c r="AW10" s="68">
        <v>90000</v>
      </c>
      <c r="AX10" s="103">
        <v>100000</v>
      </c>
      <c r="AY10" s="68">
        <v>10000</v>
      </c>
      <c r="AZ10" s="82">
        <v>522</v>
      </c>
      <c r="BA10" s="68">
        <f>40*BA44*Inputs!BB49</f>
        <v>1197600.0000000002</v>
      </c>
      <c r="BB10" s="68">
        <f>250*BB64</f>
        <v>139049.82618771726</v>
      </c>
      <c r="BC10" s="68">
        <v>90000</v>
      </c>
      <c r="BD10" s="73">
        <v>200000</v>
      </c>
      <c r="BE10" s="83"/>
    </row>
    <row r="11" spans="1:57" ht="15.75" customHeight="1">
      <c r="A11" s="66"/>
      <c r="B11" s="82"/>
      <c r="C11" s="82"/>
      <c r="D11" s="82"/>
      <c r="E11" s="82"/>
      <c r="F11" s="105"/>
      <c r="G11" s="82"/>
      <c r="H11" s="82"/>
      <c r="I11" s="105"/>
      <c r="J11" s="97"/>
      <c r="K11" s="82"/>
      <c r="L11" s="82"/>
      <c r="M11" s="97"/>
      <c r="N11" s="105"/>
      <c r="O11" s="97"/>
      <c r="P11" s="105"/>
      <c r="Q11" s="82"/>
      <c r="R11" s="105"/>
      <c r="S11" s="105"/>
      <c r="T11" s="105"/>
      <c r="U11" s="82"/>
      <c r="V11" s="82"/>
      <c r="W11" s="82"/>
      <c r="X11" s="82"/>
      <c r="Y11" s="105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105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7"/>
      <c r="BD11" s="97"/>
      <c r="BE11" s="107"/>
    </row>
    <row r="12" spans="1:57" ht="15.75" customHeight="1">
      <c r="A12" s="109" t="s">
        <v>164</v>
      </c>
      <c r="B12" s="56" t="s">
        <v>165</v>
      </c>
      <c r="C12" s="56" t="s">
        <v>166</v>
      </c>
      <c r="D12" s="56" t="s">
        <v>167</v>
      </c>
      <c r="E12" s="56" t="s">
        <v>168</v>
      </c>
      <c r="F12" s="56" t="s">
        <v>169</v>
      </c>
      <c r="G12" s="54" t="s">
        <v>170</v>
      </c>
      <c r="H12" s="56" t="s">
        <v>171</v>
      </c>
      <c r="I12" s="56" t="s">
        <v>172</v>
      </c>
      <c r="J12" s="111" t="s">
        <v>173</v>
      </c>
      <c r="K12" s="56" t="s">
        <v>175</v>
      </c>
      <c r="L12" s="56" t="s">
        <v>176</v>
      </c>
      <c r="M12" s="111" t="s">
        <v>137</v>
      </c>
      <c r="N12" s="56" t="s">
        <v>177</v>
      </c>
      <c r="O12" s="111" t="s">
        <v>178</v>
      </c>
      <c r="P12" s="56" t="s">
        <v>179</v>
      </c>
      <c r="Q12" s="56" t="s">
        <v>180</v>
      </c>
      <c r="R12" s="56" t="s">
        <v>181</v>
      </c>
      <c r="S12" s="112" t="s">
        <v>182</v>
      </c>
      <c r="T12" s="56" t="s">
        <v>167</v>
      </c>
      <c r="U12" s="56" t="s">
        <v>183</v>
      </c>
      <c r="V12" s="56" t="s">
        <v>177</v>
      </c>
      <c r="W12" s="56" t="s">
        <v>184</v>
      </c>
      <c r="X12" s="56" t="s">
        <v>185</v>
      </c>
      <c r="Y12" s="56" t="s">
        <v>169</v>
      </c>
      <c r="Z12" s="56" t="s">
        <v>186</v>
      </c>
      <c r="AA12" s="56" t="s">
        <v>187</v>
      </c>
      <c r="AB12" s="112" t="s">
        <v>188</v>
      </c>
      <c r="AC12" s="56" t="s">
        <v>169</v>
      </c>
      <c r="AD12" s="56" t="s">
        <v>189</v>
      </c>
      <c r="AE12" s="56" t="s">
        <v>169</v>
      </c>
      <c r="AF12" s="56" t="s">
        <v>190</v>
      </c>
      <c r="AG12" s="56" t="s">
        <v>184</v>
      </c>
      <c r="AH12" s="56" t="s">
        <v>171</v>
      </c>
      <c r="AI12" s="56" t="s">
        <v>191</v>
      </c>
      <c r="AJ12" s="56" t="s">
        <v>192</v>
      </c>
      <c r="AK12" s="113" t="s">
        <v>192</v>
      </c>
      <c r="AL12" s="56" t="s">
        <v>193</v>
      </c>
      <c r="AM12" s="56" t="s">
        <v>126</v>
      </c>
      <c r="AN12" s="113" t="s">
        <v>194</v>
      </c>
      <c r="AO12" s="56" t="s">
        <v>166</v>
      </c>
      <c r="AP12" s="56" t="s">
        <v>195</v>
      </c>
      <c r="AQ12" s="56" t="s">
        <v>196</v>
      </c>
      <c r="AR12" s="56" t="s">
        <v>166</v>
      </c>
      <c r="AS12" s="112" t="s">
        <v>197</v>
      </c>
      <c r="AT12" s="56" t="s">
        <v>171</v>
      </c>
      <c r="AU12" s="114" t="s">
        <v>166</v>
      </c>
      <c r="AV12" s="56" t="s">
        <v>198</v>
      </c>
      <c r="AW12" s="56" t="s">
        <v>135</v>
      </c>
      <c r="AX12" s="56" t="s">
        <v>140</v>
      </c>
      <c r="AY12" s="56" t="s">
        <v>166</v>
      </c>
      <c r="AZ12" s="56" t="s">
        <v>166</v>
      </c>
      <c r="BA12" s="56" t="s">
        <v>199</v>
      </c>
      <c r="BB12" s="56" t="s">
        <v>200</v>
      </c>
      <c r="BC12" s="56" t="s">
        <v>201</v>
      </c>
      <c r="BD12" s="56" t="s">
        <v>166</v>
      </c>
      <c r="BE12" s="115"/>
    </row>
    <row r="13" spans="1:57" ht="15.75" customHeight="1">
      <c r="A13" s="66">
        <v>1</v>
      </c>
      <c r="B13" s="68">
        <v>100000</v>
      </c>
      <c r="C13" s="116" t="s">
        <v>202</v>
      </c>
      <c r="D13" s="68">
        <v>7700</v>
      </c>
      <c r="E13" s="68">
        <v>25000</v>
      </c>
      <c r="F13" s="75">
        <v>30000</v>
      </c>
      <c r="G13" s="68">
        <v>420</v>
      </c>
      <c r="H13" s="73">
        <v>50000</v>
      </c>
      <c r="I13" s="75">
        <v>70000</v>
      </c>
      <c r="J13" s="68">
        <v>600000</v>
      </c>
      <c r="K13" s="68">
        <v>500000</v>
      </c>
      <c r="L13" s="68">
        <v>1000</v>
      </c>
      <c r="M13" s="68">
        <v>500000</v>
      </c>
      <c r="N13" s="75">
        <v>55000</v>
      </c>
      <c r="O13" s="68">
        <v>9350</v>
      </c>
      <c r="P13" s="75">
        <v>980000</v>
      </c>
      <c r="Q13" s="70">
        <v>8000</v>
      </c>
      <c r="R13" s="105">
        <v>0</v>
      </c>
      <c r="S13" s="116" t="s">
        <v>202</v>
      </c>
      <c r="T13" s="75">
        <v>200000</v>
      </c>
      <c r="U13" s="75">
        <v>2000</v>
      </c>
      <c r="V13" s="75">
        <v>1166000</v>
      </c>
      <c r="W13" s="75">
        <v>500</v>
      </c>
      <c r="X13" s="75">
        <v>2793750</v>
      </c>
      <c r="Y13" s="75">
        <v>7500</v>
      </c>
      <c r="Z13" s="70">
        <v>60</v>
      </c>
      <c r="AA13" s="75">
        <v>120000</v>
      </c>
      <c r="AB13" s="70">
        <v>200</v>
      </c>
      <c r="AC13" s="70">
        <v>4140</v>
      </c>
      <c r="AD13" s="70">
        <v>1500</v>
      </c>
      <c r="AE13" s="75">
        <v>1534000</v>
      </c>
      <c r="AF13" s="75">
        <v>500</v>
      </c>
      <c r="AG13" s="70">
        <v>100</v>
      </c>
      <c r="AH13" s="75">
        <v>150000</v>
      </c>
      <c r="AI13" s="75">
        <v>20000</v>
      </c>
      <c r="AJ13" s="68">
        <v>350000</v>
      </c>
      <c r="AK13" s="68">
        <v>50000</v>
      </c>
      <c r="AL13" s="70">
        <v>30000</v>
      </c>
      <c r="AM13" s="82">
        <v>16</v>
      </c>
      <c r="AN13" s="117">
        <f>17+(600*$AN$44*Inputs!$AO$49)</f>
        <v>20.995999999999999</v>
      </c>
      <c r="AO13" s="116" t="s">
        <v>202</v>
      </c>
      <c r="AP13" s="118">
        <f>5*$AP$44*Inputs!$AQ$49</f>
        <v>1.37225</v>
      </c>
      <c r="AQ13" s="82">
        <v>5</v>
      </c>
      <c r="AR13" s="116" t="s">
        <v>202</v>
      </c>
      <c r="AS13" s="119">
        <f>18+(500*$AS$44*Inputs!$AT$49)</f>
        <v>22.990000000000002</v>
      </c>
      <c r="AT13" s="73">
        <v>50000</v>
      </c>
      <c r="AU13" s="116" t="s">
        <v>202</v>
      </c>
      <c r="AV13" s="73">
        <v>7200</v>
      </c>
      <c r="AW13" s="68">
        <v>1000000</v>
      </c>
      <c r="AX13" s="68">
        <v>15000</v>
      </c>
      <c r="AY13" s="116" t="s">
        <v>202</v>
      </c>
      <c r="AZ13" s="116" t="s">
        <v>202</v>
      </c>
      <c r="BA13" s="68">
        <v>250000</v>
      </c>
      <c r="BB13" s="68">
        <v>35000</v>
      </c>
      <c r="BC13" s="75">
        <v>25000</v>
      </c>
      <c r="BD13" s="116" t="s">
        <v>202</v>
      </c>
      <c r="BE13" s="83"/>
    </row>
    <row r="14" spans="1:57" ht="15.75" customHeight="1">
      <c r="A14" s="66">
        <v>2</v>
      </c>
      <c r="B14" s="68">
        <v>100000</v>
      </c>
      <c r="C14" s="116" t="s">
        <v>202</v>
      </c>
      <c r="D14" s="68">
        <v>7000</v>
      </c>
      <c r="E14" s="68">
        <v>2500</v>
      </c>
      <c r="F14" s="75">
        <v>30000</v>
      </c>
      <c r="G14" s="68">
        <v>560</v>
      </c>
      <c r="H14" s="73">
        <v>50000</v>
      </c>
      <c r="I14" s="75">
        <v>70000</v>
      </c>
      <c r="J14" s="68">
        <v>600000</v>
      </c>
      <c r="K14" s="68">
        <v>400000</v>
      </c>
      <c r="L14" s="68">
        <v>1000</v>
      </c>
      <c r="M14" s="68">
        <v>500000</v>
      </c>
      <c r="N14" s="75">
        <v>60000</v>
      </c>
      <c r="O14" s="68">
        <v>10625</v>
      </c>
      <c r="P14" s="75">
        <v>1100000</v>
      </c>
      <c r="Q14" s="70">
        <v>8000</v>
      </c>
      <c r="R14" s="75">
        <v>150000</v>
      </c>
      <c r="S14" s="116" t="s">
        <v>202</v>
      </c>
      <c r="T14" s="75">
        <v>193750</v>
      </c>
      <c r="U14" s="75">
        <v>2000</v>
      </c>
      <c r="V14" s="75">
        <v>1189000</v>
      </c>
      <c r="W14" s="75">
        <v>500</v>
      </c>
      <c r="X14" s="75">
        <v>930000</v>
      </c>
      <c r="Y14" s="75">
        <v>7500</v>
      </c>
      <c r="Z14" s="70">
        <v>60</v>
      </c>
      <c r="AA14" s="75">
        <v>120000</v>
      </c>
      <c r="AB14" s="70">
        <v>200</v>
      </c>
      <c r="AC14" s="70">
        <v>4140</v>
      </c>
      <c r="AD14" s="70">
        <v>2000</v>
      </c>
      <c r="AE14" s="75">
        <v>1520000</v>
      </c>
      <c r="AF14" s="75">
        <v>500</v>
      </c>
      <c r="AG14" s="70">
        <v>100</v>
      </c>
      <c r="AH14" s="75">
        <v>150000</v>
      </c>
      <c r="AI14" s="70">
        <v>45000</v>
      </c>
      <c r="AJ14" s="68">
        <v>350000</v>
      </c>
      <c r="AK14" s="68">
        <v>50000</v>
      </c>
      <c r="AL14" s="70">
        <v>160000</v>
      </c>
      <c r="AM14" s="82">
        <v>16</v>
      </c>
      <c r="AN14" s="117">
        <f>17+(600*$AN$44*Inputs!$AO$49)</f>
        <v>20.995999999999999</v>
      </c>
      <c r="AO14" s="116" t="s">
        <v>202</v>
      </c>
      <c r="AP14" s="118">
        <f>5*$AP$44*Inputs!$AQ$49</f>
        <v>1.37225</v>
      </c>
      <c r="AQ14" s="82">
        <v>6</v>
      </c>
      <c r="AR14" s="116" t="s">
        <v>202</v>
      </c>
      <c r="AS14" s="119">
        <f>18+(500*$AS$44*Inputs!$AT$49)</f>
        <v>22.990000000000002</v>
      </c>
      <c r="AT14" s="73">
        <v>50000</v>
      </c>
      <c r="AU14" s="116" t="s">
        <v>202</v>
      </c>
      <c r="AV14" s="73">
        <v>9300</v>
      </c>
      <c r="AW14" s="68">
        <v>13500000</v>
      </c>
      <c r="AX14" s="68">
        <v>30000</v>
      </c>
      <c r="AY14" s="116" t="s">
        <v>202</v>
      </c>
      <c r="AZ14" s="116" t="s">
        <v>202</v>
      </c>
      <c r="BA14" s="68">
        <v>500000</v>
      </c>
      <c r="BB14" s="68">
        <v>35000</v>
      </c>
      <c r="BC14" s="75">
        <v>25000</v>
      </c>
      <c r="BD14" s="116" t="s">
        <v>202</v>
      </c>
      <c r="BE14" s="83"/>
    </row>
    <row r="15" spans="1:57" ht="15.75" customHeight="1">
      <c r="A15" s="66">
        <v>3</v>
      </c>
      <c r="B15" s="68">
        <v>100000</v>
      </c>
      <c r="C15" s="116" t="s">
        <v>202</v>
      </c>
      <c r="D15" s="68">
        <v>7350</v>
      </c>
      <c r="E15" s="82">
        <v>500</v>
      </c>
      <c r="F15" s="75">
        <v>30000</v>
      </c>
      <c r="G15" s="68">
        <v>490</v>
      </c>
      <c r="H15" s="73">
        <v>50000</v>
      </c>
      <c r="I15" s="75">
        <v>70000</v>
      </c>
      <c r="J15" s="68">
        <v>600000</v>
      </c>
      <c r="K15" s="68">
        <v>300000</v>
      </c>
      <c r="L15" s="68">
        <v>1000</v>
      </c>
      <c r="M15" s="68">
        <v>750000</v>
      </c>
      <c r="N15" s="75">
        <v>75000</v>
      </c>
      <c r="O15" s="68">
        <v>11550</v>
      </c>
      <c r="P15" s="75">
        <v>1300000</v>
      </c>
      <c r="Q15" s="70">
        <v>8000</v>
      </c>
      <c r="R15" s="75">
        <v>300000</v>
      </c>
      <c r="S15" s="116" t="s">
        <v>202</v>
      </c>
      <c r="T15" s="75">
        <v>181250</v>
      </c>
      <c r="U15" s="75">
        <v>2000</v>
      </c>
      <c r="V15" s="75">
        <v>867000</v>
      </c>
      <c r="W15" s="75">
        <v>500</v>
      </c>
      <c r="X15" s="75">
        <v>1390000</v>
      </c>
      <c r="Y15" s="75">
        <v>7500</v>
      </c>
      <c r="Z15" s="70">
        <v>60</v>
      </c>
      <c r="AA15" s="75">
        <v>120000</v>
      </c>
      <c r="AB15" s="70">
        <v>200</v>
      </c>
      <c r="AC15" s="70">
        <v>4140</v>
      </c>
      <c r="AD15" s="70">
        <v>1000</v>
      </c>
      <c r="AE15" s="75">
        <v>484000</v>
      </c>
      <c r="AF15" s="75">
        <v>500</v>
      </c>
      <c r="AG15" s="70">
        <v>100</v>
      </c>
      <c r="AH15" s="75">
        <v>150000</v>
      </c>
      <c r="AI15" s="70">
        <v>35000</v>
      </c>
      <c r="AJ15" s="68">
        <v>350000</v>
      </c>
      <c r="AK15" s="68">
        <v>50000</v>
      </c>
      <c r="AL15" s="70">
        <v>450000</v>
      </c>
      <c r="AM15" s="82">
        <v>16</v>
      </c>
      <c r="AN15" s="117">
        <f>17+(600*$AN$44*Inputs!$AO$49)</f>
        <v>20.995999999999999</v>
      </c>
      <c r="AO15" s="116" t="s">
        <v>202</v>
      </c>
      <c r="AP15" s="118">
        <f>5*$AP$44*Inputs!$AQ$49</f>
        <v>1.37225</v>
      </c>
      <c r="AQ15" s="82">
        <v>7</v>
      </c>
      <c r="AR15" s="116" t="s">
        <v>202</v>
      </c>
      <c r="AS15" s="119">
        <f>18+(500*$AS$44*Inputs!$AT$49)</f>
        <v>22.990000000000002</v>
      </c>
      <c r="AT15" s="73">
        <v>50000</v>
      </c>
      <c r="AU15" s="116" t="s">
        <v>202</v>
      </c>
      <c r="AV15" s="73">
        <v>7200</v>
      </c>
      <c r="AW15" s="68">
        <v>1600000</v>
      </c>
      <c r="AX15" s="68">
        <v>15000</v>
      </c>
      <c r="AY15" s="116" t="s">
        <v>202</v>
      </c>
      <c r="AZ15" s="116" t="s">
        <v>202</v>
      </c>
      <c r="BA15" s="68">
        <v>400000</v>
      </c>
      <c r="BB15" s="68">
        <v>35000</v>
      </c>
      <c r="BC15" s="75">
        <v>25000</v>
      </c>
      <c r="BD15" s="116" t="s">
        <v>202</v>
      </c>
      <c r="BE15" s="83"/>
    </row>
    <row r="16" spans="1:57" ht="15.75" customHeight="1">
      <c r="A16" s="66">
        <v>4</v>
      </c>
      <c r="B16" s="68">
        <v>100000</v>
      </c>
      <c r="C16" s="116" t="s">
        <v>202</v>
      </c>
      <c r="D16" s="68">
        <v>7350</v>
      </c>
      <c r="E16" s="82">
        <v>100</v>
      </c>
      <c r="F16" s="75">
        <v>30000</v>
      </c>
      <c r="G16" s="68">
        <v>350</v>
      </c>
      <c r="H16" s="73">
        <v>50000</v>
      </c>
      <c r="I16" s="75">
        <v>100000</v>
      </c>
      <c r="J16" s="68">
        <v>600000</v>
      </c>
      <c r="K16" s="68">
        <v>600000</v>
      </c>
      <c r="L16" s="68">
        <v>1000</v>
      </c>
      <c r="M16" s="75">
        <v>500000</v>
      </c>
      <c r="N16" s="75">
        <v>55000</v>
      </c>
      <c r="O16" s="68">
        <v>14725</v>
      </c>
      <c r="P16" s="68">
        <f>5*P83</f>
        <v>3500000</v>
      </c>
      <c r="Q16" s="70">
        <v>8000</v>
      </c>
      <c r="R16" s="75">
        <v>450000</v>
      </c>
      <c r="S16" s="116" t="s">
        <v>202</v>
      </c>
      <c r="T16" s="75">
        <v>193750</v>
      </c>
      <c r="U16" s="75">
        <v>2000</v>
      </c>
      <c r="V16" s="75">
        <v>1027000</v>
      </c>
      <c r="W16" s="75">
        <v>500</v>
      </c>
      <c r="X16" s="75">
        <v>1820000</v>
      </c>
      <c r="Y16" s="75">
        <v>7500</v>
      </c>
      <c r="Z16" s="70">
        <v>60</v>
      </c>
      <c r="AA16" s="75">
        <v>120000</v>
      </c>
      <c r="AB16" s="70">
        <v>200</v>
      </c>
      <c r="AC16" s="70">
        <v>4140</v>
      </c>
      <c r="AD16" s="70">
        <v>3000</v>
      </c>
      <c r="AE16" s="75">
        <v>722000</v>
      </c>
      <c r="AF16" s="75">
        <v>500</v>
      </c>
      <c r="AG16" s="70">
        <v>100</v>
      </c>
      <c r="AH16" s="75">
        <v>150000</v>
      </c>
      <c r="AI16" s="70">
        <v>45000</v>
      </c>
      <c r="AJ16" s="68">
        <v>350000</v>
      </c>
      <c r="AK16" s="68">
        <v>50000</v>
      </c>
      <c r="AL16" s="70">
        <v>200000</v>
      </c>
      <c r="AM16" s="82">
        <v>16</v>
      </c>
      <c r="AN16" s="117">
        <f>17+(600*$AN$44*Inputs!$AO$49)</f>
        <v>20.995999999999999</v>
      </c>
      <c r="AO16" s="116" t="s">
        <v>202</v>
      </c>
      <c r="AP16" s="118">
        <f>5*$AP$44*Inputs!$AQ$49</f>
        <v>1.37225</v>
      </c>
      <c r="AQ16" s="82">
        <v>8</v>
      </c>
      <c r="AR16" s="116" t="s">
        <v>202</v>
      </c>
      <c r="AS16" s="119">
        <f>18+(500*$AS$44*Inputs!$AT$49)</f>
        <v>22.990000000000002</v>
      </c>
      <c r="AT16" s="73">
        <v>50000</v>
      </c>
      <c r="AU16" s="116" t="s">
        <v>202</v>
      </c>
      <c r="AV16" s="73">
        <v>5100</v>
      </c>
      <c r="AW16" s="68">
        <v>2250000</v>
      </c>
      <c r="AX16" s="68">
        <v>12000</v>
      </c>
      <c r="AY16" s="116" t="s">
        <v>202</v>
      </c>
      <c r="AZ16" s="116" t="s">
        <v>202</v>
      </c>
      <c r="BA16" s="68">
        <v>300000</v>
      </c>
      <c r="BB16" s="68">
        <v>35000</v>
      </c>
      <c r="BC16" s="75">
        <v>25000</v>
      </c>
      <c r="BD16" s="116" t="s">
        <v>202</v>
      </c>
      <c r="BE16" s="83"/>
    </row>
    <row r="17" spans="1:57" ht="15.75" customHeight="1">
      <c r="A17" s="66">
        <v>5</v>
      </c>
      <c r="B17" s="68">
        <v>100000</v>
      </c>
      <c r="C17" s="116" t="s">
        <v>202</v>
      </c>
      <c r="D17" s="68">
        <v>7350</v>
      </c>
      <c r="E17" s="68">
        <v>1000</v>
      </c>
      <c r="F17" s="75">
        <v>30000</v>
      </c>
      <c r="G17" s="68">
        <v>280</v>
      </c>
      <c r="H17" s="73">
        <v>50000</v>
      </c>
      <c r="I17" s="75">
        <v>100000</v>
      </c>
      <c r="J17" s="68">
        <v>600000</v>
      </c>
      <c r="K17" s="75">
        <v>630000</v>
      </c>
      <c r="L17" s="68">
        <v>1000</v>
      </c>
      <c r="M17" s="68">
        <v>500000</v>
      </c>
      <c r="N17" s="75">
        <v>95000</v>
      </c>
      <c r="O17" s="68">
        <v>48450</v>
      </c>
      <c r="P17" s="75">
        <v>1500000</v>
      </c>
      <c r="Q17" s="70">
        <v>8000</v>
      </c>
      <c r="R17" s="75">
        <v>600000</v>
      </c>
      <c r="S17" s="116" t="s">
        <v>202</v>
      </c>
      <c r="T17" s="73">
        <v>200000</v>
      </c>
      <c r="U17" s="75">
        <v>2000</v>
      </c>
      <c r="V17" s="75">
        <v>663000</v>
      </c>
      <c r="W17" s="75">
        <v>500</v>
      </c>
      <c r="X17" s="75">
        <v>1160000</v>
      </c>
      <c r="Y17" s="75">
        <v>7500</v>
      </c>
      <c r="Z17" s="70">
        <v>60</v>
      </c>
      <c r="AA17" s="75">
        <v>120000</v>
      </c>
      <c r="AB17" s="70">
        <v>200</v>
      </c>
      <c r="AC17" s="70">
        <v>4140</v>
      </c>
      <c r="AD17" s="70">
        <v>2500</v>
      </c>
      <c r="AE17" s="75">
        <v>2815000</v>
      </c>
      <c r="AF17" s="75">
        <v>500</v>
      </c>
      <c r="AG17" s="70">
        <v>100</v>
      </c>
      <c r="AH17" s="75">
        <v>150000</v>
      </c>
      <c r="AI17" s="70">
        <v>45000</v>
      </c>
      <c r="AJ17" s="68">
        <v>350000</v>
      </c>
      <c r="AK17" s="68">
        <v>50000</v>
      </c>
      <c r="AL17" s="70">
        <v>500000</v>
      </c>
      <c r="AM17" s="82">
        <v>16</v>
      </c>
      <c r="AN17" s="117">
        <f>17+(600*$AN$44*Inputs!$AO$49)</f>
        <v>20.995999999999999</v>
      </c>
      <c r="AO17" s="116" t="s">
        <v>202</v>
      </c>
      <c r="AP17" s="118">
        <f>5*$AP$44*Inputs!$AQ$49</f>
        <v>1.37225</v>
      </c>
      <c r="AQ17" s="82">
        <v>9</v>
      </c>
      <c r="AR17" s="116" t="s">
        <v>202</v>
      </c>
      <c r="AS17" s="119">
        <f>18+(500*$AS$44*Inputs!$AT$49)</f>
        <v>22.990000000000002</v>
      </c>
      <c r="AT17" s="73">
        <v>50000</v>
      </c>
      <c r="AU17" s="116" t="s">
        <v>202</v>
      </c>
      <c r="AV17" s="73">
        <v>8400</v>
      </c>
      <c r="AW17" s="68">
        <v>2100000</v>
      </c>
      <c r="AX17" s="68">
        <v>40000</v>
      </c>
      <c r="AY17" s="116" t="s">
        <v>202</v>
      </c>
      <c r="AZ17" s="116" t="s">
        <v>202</v>
      </c>
      <c r="BA17" s="68">
        <v>200000</v>
      </c>
      <c r="BB17" s="68">
        <v>35000</v>
      </c>
      <c r="BC17" s="75">
        <v>25000</v>
      </c>
      <c r="BD17" s="116" t="s">
        <v>202</v>
      </c>
      <c r="BE17" s="83"/>
    </row>
    <row r="18" spans="1:57" ht="15.75" customHeight="1">
      <c r="A18" s="66"/>
      <c r="B18" s="82"/>
      <c r="C18" s="82"/>
      <c r="D18" s="82"/>
      <c r="E18" s="82"/>
      <c r="F18" s="105"/>
      <c r="G18" s="82"/>
      <c r="H18" s="82"/>
      <c r="I18" s="105"/>
      <c r="J18" s="97"/>
      <c r="K18" s="82"/>
      <c r="L18" s="82"/>
      <c r="M18" s="97"/>
      <c r="N18" s="105"/>
      <c r="O18" s="97"/>
      <c r="P18" s="105"/>
      <c r="Q18" s="82"/>
      <c r="R18" s="105"/>
      <c r="S18" s="105"/>
      <c r="T18" s="105"/>
      <c r="U18" s="82"/>
      <c r="V18" s="105"/>
      <c r="W18" s="105"/>
      <c r="X18" s="82"/>
      <c r="Y18" s="105"/>
      <c r="Z18" s="105"/>
      <c r="AA18" s="82"/>
      <c r="AB18" s="105"/>
      <c r="AC18" s="82"/>
      <c r="AD18" s="82"/>
      <c r="AE18" s="105"/>
      <c r="AF18" s="105"/>
      <c r="AG18" s="105"/>
      <c r="AH18" s="105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7"/>
      <c r="BD18" s="105"/>
      <c r="BE18" s="107"/>
    </row>
    <row r="19" spans="1:57" ht="15.75" customHeight="1">
      <c r="A19" s="109" t="s">
        <v>203</v>
      </c>
      <c r="B19" s="56" t="s">
        <v>204</v>
      </c>
      <c r="C19" s="56" t="s">
        <v>166</v>
      </c>
      <c r="D19" s="56" t="s">
        <v>205</v>
      </c>
      <c r="E19" s="56" t="s">
        <v>166</v>
      </c>
      <c r="F19" s="56" t="s">
        <v>166</v>
      </c>
      <c r="G19" s="56" t="s">
        <v>171</v>
      </c>
      <c r="H19" s="56" t="s">
        <v>166</v>
      </c>
      <c r="I19" s="56" t="s">
        <v>206</v>
      </c>
      <c r="J19" s="56" t="s">
        <v>207</v>
      </c>
      <c r="K19" s="56" t="s">
        <v>166</v>
      </c>
      <c r="L19" s="56" t="s">
        <v>137</v>
      </c>
      <c r="M19" s="56" t="s">
        <v>169</v>
      </c>
      <c r="N19" s="112" t="s">
        <v>166</v>
      </c>
      <c r="O19" s="111" t="s">
        <v>123</v>
      </c>
      <c r="P19" s="56" t="s">
        <v>207</v>
      </c>
      <c r="Q19" s="56" t="s">
        <v>208</v>
      </c>
      <c r="R19" s="56" t="s">
        <v>209</v>
      </c>
      <c r="S19" s="56" t="s">
        <v>166</v>
      </c>
      <c r="T19" s="56" t="s">
        <v>210</v>
      </c>
      <c r="U19" s="56" t="s">
        <v>211</v>
      </c>
      <c r="V19" s="56" t="s">
        <v>166</v>
      </c>
      <c r="W19" s="56" t="s">
        <v>166</v>
      </c>
      <c r="X19" s="56" t="s">
        <v>169</v>
      </c>
      <c r="Y19" s="56" t="s">
        <v>166</v>
      </c>
      <c r="Z19" s="56" t="s">
        <v>166</v>
      </c>
      <c r="AA19" s="56" t="s">
        <v>166</v>
      </c>
      <c r="AB19" s="56" t="s">
        <v>166</v>
      </c>
      <c r="AC19" s="56" t="s">
        <v>166</v>
      </c>
      <c r="AD19" s="56" t="s">
        <v>212</v>
      </c>
      <c r="AE19" s="56" t="s">
        <v>166</v>
      </c>
      <c r="AF19" s="56" t="s">
        <v>166</v>
      </c>
      <c r="AG19" s="56" t="s">
        <v>166</v>
      </c>
      <c r="AH19" s="56" t="s">
        <v>166</v>
      </c>
      <c r="AI19" s="56" t="s">
        <v>213</v>
      </c>
      <c r="AJ19" s="56" t="s">
        <v>166</v>
      </c>
      <c r="AK19" s="56" t="s">
        <v>166</v>
      </c>
      <c r="AL19" s="56" t="s">
        <v>214</v>
      </c>
      <c r="AM19" s="56" t="s">
        <v>166</v>
      </c>
      <c r="AN19" s="56" t="s">
        <v>166</v>
      </c>
      <c r="AO19" s="56" t="s">
        <v>166</v>
      </c>
      <c r="AP19" s="56" t="s">
        <v>166</v>
      </c>
      <c r="AQ19" s="56" t="s">
        <v>192</v>
      </c>
      <c r="AR19" s="56" t="s">
        <v>166</v>
      </c>
      <c r="AS19" s="56" t="s">
        <v>166</v>
      </c>
      <c r="AT19" s="56" t="s">
        <v>166</v>
      </c>
      <c r="AU19" s="56" t="s">
        <v>166</v>
      </c>
      <c r="AV19" s="56" t="s">
        <v>215</v>
      </c>
      <c r="AW19" s="56" t="s">
        <v>184</v>
      </c>
      <c r="AX19" s="56" t="s">
        <v>216</v>
      </c>
      <c r="AY19" s="56" t="s">
        <v>166</v>
      </c>
      <c r="AZ19" s="56" t="s">
        <v>166</v>
      </c>
      <c r="BA19" s="56" t="s">
        <v>166</v>
      </c>
      <c r="BB19" s="56" t="s">
        <v>166</v>
      </c>
      <c r="BC19" s="56" t="s">
        <v>166</v>
      </c>
      <c r="BD19" s="56" t="s">
        <v>166</v>
      </c>
      <c r="BE19" s="115"/>
    </row>
    <row r="20" spans="1:57" ht="15.75" customHeight="1">
      <c r="A20" s="66">
        <v>1</v>
      </c>
      <c r="B20" s="68">
        <f>Inputs!$C$49*$B$44</f>
        <v>270000</v>
      </c>
      <c r="C20" s="116" t="s">
        <v>202</v>
      </c>
      <c r="D20" s="68">
        <v>2500</v>
      </c>
      <c r="E20" s="116" t="s">
        <v>202</v>
      </c>
      <c r="F20" s="116" t="s">
        <v>202</v>
      </c>
      <c r="G20" s="68">
        <v>140</v>
      </c>
      <c r="H20" s="116" t="s">
        <v>202</v>
      </c>
      <c r="I20" s="75">
        <v>452000</v>
      </c>
      <c r="J20" s="75">
        <v>1200000</v>
      </c>
      <c r="K20" s="116" t="s">
        <v>202</v>
      </c>
      <c r="L20" s="82">
        <v>550</v>
      </c>
      <c r="M20" s="75">
        <v>250000</v>
      </c>
      <c r="N20" s="116" t="s">
        <v>202</v>
      </c>
      <c r="O20" s="68">
        <v>2250</v>
      </c>
      <c r="P20" s="75">
        <v>2500000</v>
      </c>
      <c r="Q20" s="75">
        <v>24857</v>
      </c>
      <c r="R20" s="75">
        <v>712857</v>
      </c>
      <c r="S20" s="116" t="s">
        <v>202</v>
      </c>
      <c r="T20" s="75">
        <v>94500</v>
      </c>
      <c r="U20" s="70">
        <v>33000</v>
      </c>
      <c r="V20" s="116" t="s">
        <v>202</v>
      </c>
      <c r="W20" s="116" t="s">
        <v>202</v>
      </c>
      <c r="X20" s="75">
        <v>400000</v>
      </c>
      <c r="Y20" s="116" t="s">
        <v>202</v>
      </c>
      <c r="Z20" s="116" t="s">
        <v>202</v>
      </c>
      <c r="AA20" s="116" t="s">
        <v>202</v>
      </c>
      <c r="AB20" s="78" t="s">
        <v>202</v>
      </c>
      <c r="AC20" s="116" t="s">
        <v>202</v>
      </c>
      <c r="AD20" s="70">
        <v>2800</v>
      </c>
      <c r="AE20" s="116" t="s">
        <v>202</v>
      </c>
      <c r="AF20" s="116" t="s">
        <v>202</v>
      </c>
      <c r="AG20" s="116" t="s">
        <v>202</v>
      </c>
      <c r="AH20" s="116" t="s">
        <v>202</v>
      </c>
      <c r="AI20" s="70">
        <v>44000</v>
      </c>
      <c r="AJ20" s="116" t="s">
        <v>202</v>
      </c>
      <c r="AK20" s="116" t="s">
        <v>202</v>
      </c>
      <c r="AL20" s="75">
        <v>20000</v>
      </c>
      <c r="AM20" s="116" t="s">
        <v>202</v>
      </c>
      <c r="AN20" s="116" t="s">
        <v>202</v>
      </c>
      <c r="AO20" s="116" t="s">
        <v>202</v>
      </c>
      <c r="AP20" s="116" t="s">
        <v>202</v>
      </c>
      <c r="AQ20" s="82">
        <v>4</v>
      </c>
      <c r="AR20" s="116" t="s">
        <v>202</v>
      </c>
      <c r="AS20" s="116" t="s">
        <v>202</v>
      </c>
      <c r="AT20" s="116" t="s">
        <v>202</v>
      </c>
      <c r="AU20" s="116" t="s">
        <v>202</v>
      </c>
      <c r="AV20" s="70">
        <v>4100</v>
      </c>
      <c r="AW20" s="68">
        <v>181000</v>
      </c>
      <c r="AX20" s="68">
        <v>5000</v>
      </c>
      <c r="AY20" s="116" t="s">
        <v>202</v>
      </c>
      <c r="AZ20" s="116" t="s">
        <v>202</v>
      </c>
      <c r="BA20" s="116" t="s">
        <v>202</v>
      </c>
      <c r="BB20" s="116" t="s">
        <v>202</v>
      </c>
      <c r="BC20" s="116" t="s">
        <v>202</v>
      </c>
      <c r="BD20" s="116" t="s">
        <v>202</v>
      </c>
      <c r="BE20" s="107"/>
    </row>
    <row r="21" spans="1:57" ht="15.75" customHeight="1">
      <c r="A21" s="66">
        <v>2</v>
      </c>
      <c r="B21" s="68">
        <f>Inputs!$C$49*$B$44</f>
        <v>270000</v>
      </c>
      <c r="C21" s="116" t="s">
        <v>202</v>
      </c>
      <c r="D21" s="68">
        <v>2500</v>
      </c>
      <c r="E21" s="116" t="s">
        <v>202</v>
      </c>
      <c r="F21" s="116" t="s">
        <v>202</v>
      </c>
      <c r="G21" s="68">
        <v>140</v>
      </c>
      <c r="H21" s="116" t="s">
        <v>202</v>
      </c>
      <c r="I21" s="75">
        <v>722000</v>
      </c>
      <c r="J21" s="75">
        <v>1200000</v>
      </c>
      <c r="K21" s="116" t="s">
        <v>202</v>
      </c>
      <c r="L21" s="82">
        <v>660</v>
      </c>
      <c r="M21" s="75">
        <v>250000</v>
      </c>
      <c r="N21" s="116" t="s">
        <v>202</v>
      </c>
      <c r="O21" s="68">
        <v>12000</v>
      </c>
      <c r="P21" s="75">
        <v>2500000</v>
      </c>
      <c r="Q21" s="75">
        <v>24857</v>
      </c>
      <c r="R21" s="75">
        <v>712857</v>
      </c>
      <c r="S21" s="116" t="s">
        <v>202</v>
      </c>
      <c r="T21" s="75">
        <v>90000</v>
      </c>
      <c r="U21" s="70">
        <v>33000</v>
      </c>
      <c r="V21" s="116" t="s">
        <v>202</v>
      </c>
      <c r="W21" s="116" t="s">
        <v>202</v>
      </c>
      <c r="X21" s="75">
        <v>400000</v>
      </c>
      <c r="Y21" s="116" t="s">
        <v>202</v>
      </c>
      <c r="Z21" s="116" t="s">
        <v>202</v>
      </c>
      <c r="AA21" s="116" t="s">
        <v>202</v>
      </c>
      <c r="AB21" s="78" t="s">
        <v>202</v>
      </c>
      <c r="AC21" s="116" t="s">
        <v>202</v>
      </c>
      <c r="AD21" s="70">
        <v>6000</v>
      </c>
      <c r="AE21" s="116" t="s">
        <v>202</v>
      </c>
      <c r="AF21" s="116" t="s">
        <v>202</v>
      </c>
      <c r="AG21" s="116" t="s">
        <v>202</v>
      </c>
      <c r="AH21" s="116" t="s">
        <v>202</v>
      </c>
      <c r="AI21" s="70">
        <v>38000</v>
      </c>
      <c r="AJ21" s="116" t="s">
        <v>202</v>
      </c>
      <c r="AK21" s="116" t="s">
        <v>202</v>
      </c>
      <c r="AL21" s="75">
        <v>20000</v>
      </c>
      <c r="AM21" s="116" t="s">
        <v>202</v>
      </c>
      <c r="AN21" s="116" t="s">
        <v>202</v>
      </c>
      <c r="AO21" s="116" t="s">
        <v>202</v>
      </c>
      <c r="AP21" s="116" t="s">
        <v>202</v>
      </c>
      <c r="AQ21" s="82">
        <v>4</v>
      </c>
      <c r="AR21" s="116" t="s">
        <v>202</v>
      </c>
      <c r="AS21" s="116" t="s">
        <v>202</v>
      </c>
      <c r="AT21" s="116" t="s">
        <v>202</v>
      </c>
      <c r="AU21" s="116" t="s">
        <v>202</v>
      </c>
      <c r="AV21" s="70">
        <v>4100</v>
      </c>
      <c r="AW21" s="68">
        <v>55000</v>
      </c>
      <c r="AX21" s="68">
        <v>5000</v>
      </c>
      <c r="AY21" s="116" t="s">
        <v>202</v>
      </c>
      <c r="AZ21" s="116" t="s">
        <v>202</v>
      </c>
      <c r="BA21" s="116" t="s">
        <v>202</v>
      </c>
      <c r="BB21" s="116" t="s">
        <v>202</v>
      </c>
      <c r="BC21" s="116" t="s">
        <v>202</v>
      </c>
      <c r="BD21" s="116" t="s">
        <v>202</v>
      </c>
      <c r="BE21" s="107"/>
    </row>
    <row r="22" spans="1:57" ht="15.75" customHeight="1">
      <c r="A22" s="66">
        <v>3</v>
      </c>
      <c r="B22" s="68">
        <f>Inputs!$C$49*$B$44</f>
        <v>270000</v>
      </c>
      <c r="C22" s="116" t="s">
        <v>202</v>
      </c>
      <c r="D22" s="68">
        <v>2400</v>
      </c>
      <c r="E22" s="116" t="s">
        <v>202</v>
      </c>
      <c r="F22" s="116" t="s">
        <v>202</v>
      </c>
      <c r="G22" s="68">
        <v>140</v>
      </c>
      <c r="H22" s="116" t="s">
        <v>202</v>
      </c>
      <c r="I22" s="75">
        <v>182000</v>
      </c>
      <c r="J22" s="75">
        <v>1200000</v>
      </c>
      <c r="K22" s="116" t="s">
        <v>202</v>
      </c>
      <c r="L22" s="82">
        <v>770</v>
      </c>
      <c r="M22" s="75">
        <v>250000</v>
      </c>
      <c r="N22" s="116" t="s">
        <v>202</v>
      </c>
      <c r="O22" s="68">
        <v>7600</v>
      </c>
      <c r="P22" s="75">
        <v>2500000</v>
      </c>
      <c r="Q22" s="75">
        <v>24857</v>
      </c>
      <c r="R22" s="75">
        <v>712857</v>
      </c>
      <c r="S22" s="116" t="s">
        <v>202</v>
      </c>
      <c r="T22" s="75">
        <v>96750</v>
      </c>
      <c r="U22" s="70">
        <v>33000</v>
      </c>
      <c r="V22" s="116" t="s">
        <v>202</v>
      </c>
      <c r="W22" s="116" t="s">
        <v>202</v>
      </c>
      <c r="X22" s="75">
        <v>400000</v>
      </c>
      <c r="Y22" s="116" t="s">
        <v>202</v>
      </c>
      <c r="Z22" s="116" t="s">
        <v>202</v>
      </c>
      <c r="AA22" s="116" t="s">
        <v>202</v>
      </c>
      <c r="AB22" s="78" t="s">
        <v>202</v>
      </c>
      <c r="AC22" s="116" t="s">
        <v>202</v>
      </c>
      <c r="AD22" s="70">
        <v>4000</v>
      </c>
      <c r="AE22" s="116" t="s">
        <v>202</v>
      </c>
      <c r="AF22" s="116" t="s">
        <v>202</v>
      </c>
      <c r="AG22" s="116" t="s">
        <v>202</v>
      </c>
      <c r="AH22" s="116" t="s">
        <v>202</v>
      </c>
      <c r="AI22" s="70">
        <v>20000</v>
      </c>
      <c r="AJ22" s="116" t="s">
        <v>202</v>
      </c>
      <c r="AK22" s="116" t="s">
        <v>202</v>
      </c>
      <c r="AL22" s="75">
        <v>20000</v>
      </c>
      <c r="AM22" s="116" t="s">
        <v>202</v>
      </c>
      <c r="AN22" s="116" t="s">
        <v>202</v>
      </c>
      <c r="AO22" s="116" t="s">
        <v>202</v>
      </c>
      <c r="AP22" s="116" t="s">
        <v>202</v>
      </c>
      <c r="AQ22" s="82">
        <v>4</v>
      </c>
      <c r="AR22" s="116" t="s">
        <v>202</v>
      </c>
      <c r="AS22" s="116" t="s">
        <v>202</v>
      </c>
      <c r="AT22" s="116" t="s">
        <v>202</v>
      </c>
      <c r="AU22" s="116" t="s">
        <v>202</v>
      </c>
      <c r="AV22" s="70">
        <v>4100</v>
      </c>
      <c r="AW22" s="68">
        <v>85000</v>
      </c>
      <c r="AX22" s="68">
        <v>5000</v>
      </c>
      <c r="AY22" s="116" t="s">
        <v>202</v>
      </c>
      <c r="AZ22" s="116" t="s">
        <v>202</v>
      </c>
      <c r="BA22" s="116" t="s">
        <v>202</v>
      </c>
      <c r="BB22" s="116" t="s">
        <v>202</v>
      </c>
      <c r="BC22" s="116" t="s">
        <v>202</v>
      </c>
      <c r="BD22" s="116" t="s">
        <v>202</v>
      </c>
      <c r="BE22" s="107"/>
    </row>
    <row r="23" spans="1:57" ht="15.75" customHeight="1">
      <c r="A23" s="66">
        <v>4</v>
      </c>
      <c r="B23" s="68">
        <f>Inputs!$C$49*$B$44</f>
        <v>270000</v>
      </c>
      <c r="C23" s="116" t="s">
        <v>202</v>
      </c>
      <c r="D23" s="68">
        <v>2500</v>
      </c>
      <c r="E23" s="116" t="s">
        <v>202</v>
      </c>
      <c r="F23" s="116" t="s">
        <v>202</v>
      </c>
      <c r="G23" s="68">
        <v>140</v>
      </c>
      <c r="H23" s="116" t="s">
        <v>202</v>
      </c>
      <c r="I23" s="75">
        <v>722000</v>
      </c>
      <c r="J23" s="75">
        <v>1200000</v>
      </c>
      <c r="K23" s="116" t="s">
        <v>202</v>
      </c>
      <c r="L23" s="82">
        <v>550</v>
      </c>
      <c r="M23" s="75">
        <v>250000</v>
      </c>
      <c r="N23" s="116" t="s">
        <v>202</v>
      </c>
      <c r="O23" s="75">
        <v>5200</v>
      </c>
      <c r="P23" s="75">
        <v>2500000</v>
      </c>
      <c r="Q23" s="75">
        <v>24857</v>
      </c>
      <c r="R23" s="75">
        <v>712857</v>
      </c>
      <c r="S23" s="116" t="s">
        <v>202</v>
      </c>
      <c r="T23" s="75">
        <v>78750</v>
      </c>
      <c r="U23" s="70">
        <v>33000</v>
      </c>
      <c r="V23" s="116" t="s">
        <v>202</v>
      </c>
      <c r="W23" s="116" t="s">
        <v>202</v>
      </c>
      <c r="X23" s="75">
        <v>400000</v>
      </c>
      <c r="Y23" s="116" t="s">
        <v>202</v>
      </c>
      <c r="Z23" s="116" t="s">
        <v>202</v>
      </c>
      <c r="AA23" s="116" t="s">
        <v>202</v>
      </c>
      <c r="AB23" s="78" t="s">
        <v>202</v>
      </c>
      <c r="AC23" s="116" t="s">
        <v>202</v>
      </c>
      <c r="AD23" s="68">
        <v>1400</v>
      </c>
      <c r="AE23" s="116" t="s">
        <v>202</v>
      </c>
      <c r="AF23" s="116" t="s">
        <v>202</v>
      </c>
      <c r="AG23" s="116" t="s">
        <v>202</v>
      </c>
      <c r="AH23" s="116" t="s">
        <v>202</v>
      </c>
      <c r="AI23" s="70">
        <v>70000</v>
      </c>
      <c r="AJ23" s="116" t="s">
        <v>202</v>
      </c>
      <c r="AK23" s="116" t="s">
        <v>202</v>
      </c>
      <c r="AL23" s="75">
        <v>20000</v>
      </c>
      <c r="AM23" s="116" t="s">
        <v>202</v>
      </c>
      <c r="AN23" s="116" t="s">
        <v>202</v>
      </c>
      <c r="AO23" s="116" t="s">
        <v>202</v>
      </c>
      <c r="AP23" s="116" t="s">
        <v>202</v>
      </c>
      <c r="AQ23" s="82">
        <v>4</v>
      </c>
      <c r="AR23" s="116" t="s">
        <v>202</v>
      </c>
      <c r="AS23" s="116" t="s">
        <v>202</v>
      </c>
      <c r="AT23" s="116" t="s">
        <v>202</v>
      </c>
      <c r="AU23" s="116" t="s">
        <v>202</v>
      </c>
      <c r="AV23" s="70">
        <v>4100</v>
      </c>
      <c r="AW23" s="68">
        <v>41000</v>
      </c>
      <c r="AX23" s="68">
        <v>5000</v>
      </c>
      <c r="AY23" s="116" t="s">
        <v>202</v>
      </c>
      <c r="AZ23" s="116" t="s">
        <v>202</v>
      </c>
      <c r="BA23" s="116" t="s">
        <v>202</v>
      </c>
      <c r="BB23" s="116" t="s">
        <v>202</v>
      </c>
      <c r="BC23" s="116" t="s">
        <v>202</v>
      </c>
      <c r="BD23" s="116" t="s">
        <v>202</v>
      </c>
      <c r="BE23" s="107"/>
    </row>
    <row r="24" spans="1:57" ht="15.75" customHeight="1">
      <c r="A24" s="66">
        <v>5</v>
      </c>
      <c r="B24" s="68">
        <f>Inputs!$C$49*$B$44</f>
        <v>270000</v>
      </c>
      <c r="C24" s="116" t="s">
        <v>202</v>
      </c>
      <c r="D24" s="68">
        <v>2600</v>
      </c>
      <c r="E24" s="116" t="s">
        <v>202</v>
      </c>
      <c r="F24" s="116" t="s">
        <v>202</v>
      </c>
      <c r="G24" s="68">
        <v>140</v>
      </c>
      <c r="H24" s="116" t="s">
        <v>202</v>
      </c>
      <c r="I24" s="75">
        <v>342000</v>
      </c>
      <c r="J24" s="75">
        <v>1200000</v>
      </c>
      <c r="K24" s="116" t="s">
        <v>202</v>
      </c>
      <c r="L24" s="82">
        <v>660</v>
      </c>
      <c r="M24" s="75">
        <v>250000</v>
      </c>
      <c r="N24" s="116" t="s">
        <v>202</v>
      </c>
      <c r="O24" s="68">
        <v>4400</v>
      </c>
      <c r="P24" s="75">
        <v>2500000</v>
      </c>
      <c r="Q24" s="75">
        <v>24857</v>
      </c>
      <c r="R24" s="75">
        <v>712857</v>
      </c>
      <c r="S24" s="116" t="s">
        <v>202</v>
      </c>
      <c r="T24" s="75">
        <v>78750</v>
      </c>
      <c r="U24" s="70">
        <v>33000</v>
      </c>
      <c r="V24" s="116" t="s">
        <v>202</v>
      </c>
      <c r="W24" s="116" t="s">
        <v>202</v>
      </c>
      <c r="X24" s="75">
        <v>400000</v>
      </c>
      <c r="Y24" s="116" t="s">
        <v>202</v>
      </c>
      <c r="Z24" s="116" t="s">
        <v>202</v>
      </c>
      <c r="AA24" s="116" t="s">
        <v>202</v>
      </c>
      <c r="AB24" s="78" t="s">
        <v>202</v>
      </c>
      <c r="AC24" s="116" t="s">
        <v>202</v>
      </c>
      <c r="AD24" s="68">
        <v>3200</v>
      </c>
      <c r="AE24" s="116" t="s">
        <v>202</v>
      </c>
      <c r="AF24" s="116" t="s">
        <v>202</v>
      </c>
      <c r="AG24" s="116" t="s">
        <v>202</v>
      </c>
      <c r="AH24" s="116" t="s">
        <v>202</v>
      </c>
      <c r="AI24" s="70">
        <v>20000</v>
      </c>
      <c r="AJ24" s="116" t="s">
        <v>202</v>
      </c>
      <c r="AK24" s="116" t="s">
        <v>202</v>
      </c>
      <c r="AL24" s="75">
        <v>20000</v>
      </c>
      <c r="AM24" s="116" t="s">
        <v>202</v>
      </c>
      <c r="AN24" s="116" t="s">
        <v>202</v>
      </c>
      <c r="AO24" s="116" t="s">
        <v>202</v>
      </c>
      <c r="AP24" s="116" t="s">
        <v>202</v>
      </c>
      <c r="AQ24" s="82">
        <v>4</v>
      </c>
      <c r="AR24" s="116" t="s">
        <v>202</v>
      </c>
      <c r="AS24" s="116" t="s">
        <v>202</v>
      </c>
      <c r="AT24" s="116" t="s">
        <v>202</v>
      </c>
      <c r="AU24" s="116" t="s">
        <v>202</v>
      </c>
      <c r="AV24" s="70">
        <v>4100</v>
      </c>
      <c r="AW24" s="68">
        <v>99000</v>
      </c>
      <c r="AX24" s="68">
        <v>5000</v>
      </c>
      <c r="AY24" s="116" t="s">
        <v>202</v>
      </c>
      <c r="AZ24" s="116" t="s">
        <v>202</v>
      </c>
      <c r="BA24" s="116" t="s">
        <v>202</v>
      </c>
      <c r="BB24" s="116" t="s">
        <v>202</v>
      </c>
      <c r="BC24" s="116" t="s">
        <v>202</v>
      </c>
      <c r="BD24" s="116" t="s">
        <v>202</v>
      </c>
      <c r="BE24" s="107"/>
    </row>
    <row r="25" spans="1:57" ht="15.75" customHeight="1">
      <c r="A25" s="66"/>
      <c r="B25" s="82"/>
      <c r="C25" s="82"/>
      <c r="D25" s="82"/>
      <c r="E25" s="82"/>
      <c r="F25" s="105"/>
      <c r="G25" s="82"/>
      <c r="H25" s="105"/>
      <c r="I25" s="105"/>
      <c r="J25" s="105"/>
      <c r="K25" s="105"/>
      <c r="L25" s="82"/>
      <c r="M25" s="105"/>
      <c r="N25" s="105"/>
      <c r="O25" s="97"/>
      <c r="P25" s="105"/>
      <c r="Q25" s="82"/>
      <c r="R25" s="105"/>
      <c r="S25" s="105"/>
      <c r="T25" s="105"/>
      <c r="U25" s="82"/>
      <c r="V25" s="105"/>
      <c r="W25" s="105"/>
      <c r="X25" s="105"/>
      <c r="Y25" s="105"/>
      <c r="Z25" s="105"/>
      <c r="AA25" s="105"/>
      <c r="AB25" s="105"/>
      <c r="AC25" s="105"/>
      <c r="AD25" s="82"/>
      <c r="AE25" s="105"/>
      <c r="AF25" s="105"/>
      <c r="AG25" s="105"/>
      <c r="AH25" s="105"/>
      <c r="AI25" s="82"/>
      <c r="AJ25" s="82"/>
      <c r="AK25" s="82"/>
      <c r="AL25" s="105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105"/>
      <c r="BD25" s="105"/>
      <c r="BE25" s="107"/>
    </row>
    <row r="26" spans="1:57" ht="15.75" customHeight="1">
      <c r="A26" s="109" t="s">
        <v>217</v>
      </c>
      <c r="B26" s="56" t="s">
        <v>169</v>
      </c>
      <c r="C26" s="56" t="s">
        <v>166</v>
      </c>
      <c r="D26" s="56" t="s">
        <v>218</v>
      </c>
      <c r="E26" s="56" t="s">
        <v>166</v>
      </c>
      <c r="F26" s="56" t="s">
        <v>166</v>
      </c>
      <c r="G26" s="56" t="s">
        <v>166</v>
      </c>
      <c r="H26" s="56" t="s">
        <v>166</v>
      </c>
      <c r="I26" s="56" t="s">
        <v>166</v>
      </c>
      <c r="J26" s="56" t="s">
        <v>166</v>
      </c>
      <c r="K26" s="56" t="s">
        <v>166</v>
      </c>
      <c r="L26" s="56" t="s">
        <v>215</v>
      </c>
      <c r="M26" s="56" t="s">
        <v>166</v>
      </c>
      <c r="N26" s="56" t="s">
        <v>166</v>
      </c>
      <c r="O26" s="56" t="s">
        <v>169</v>
      </c>
      <c r="P26" s="56" t="s">
        <v>166</v>
      </c>
      <c r="Q26" s="56" t="s">
        <v>166</v>
      </c>
      <c r="R26" s="56" t="s">
        <v>169</v>
      </c>
      <c r="S26" s="56" t="s">
        <v>166</v>
      </c>
      <c r="T26" s="56" t="s">
        <v>218</v>
      </c>
      <c r="U26" s="56" t="s">
        <v>166</v>
      </c>
      <c r="V26" s="56" t="s">
        <v>166</v>
      </c>
      <c r="W26" s="56" t="s">
        <v>166</v>
      </c>
      <c r="X26" s="56" t="s">
        <v>166</v>
      </c>
      <c r="Y26" s="56" t="s">
        <v>166</v>
      </c>
      <c r="Z26" s="56" t="s">
        <v>166</v>
      </c>
      <c r="AA26" s="56" t="s">
        <v>166</v>
      </c>
      <c r="AB26" s="56" t="s">
        <v>166</v>
      </c>
      <c r="AC26" s="56" t="s">
        <v>166</v>
      </c>
      <c r="AD26" s="56" t="s">
        <v>169</v>
      </c>
      <c r="AE26" s="56" t="s">
        <v>166</v>
      </c>
      <c r="AF26" s="56" t="s">
        <v>166</v>
      </c>
      <c r="AG26" s="56" t="s">
        <v>166</v>
      </c>
      <c r="AH26" s="56" t="s">
        <v>166</v>
      </c>
      <c r="AI26" s="56" t="s">
        <v>166</v>
      </c>
      <c r="AJ26" s="56" t="s">
        <v>166</v>
      </c>
      <c r="AK26" s="56" t="s">
        <v>166</v>
      </c>
      <c r="AL26" s="56" t="s">
        <v>166</v>
      </c>
      <c r="AM26" s="56" t="s">
        <v>166</v>
      </c>
      <c r="AN26" s="56" t="s">
        <v>166</v>
      </c>
      <c r="AO26" s="56" t="s">
        <v>166</v>
      </c>
      <c r="AP26" s="56" t="s">
        <v>166</v>
      </c>
      <c r="AQ26" s="56" t="s">
        <v>166</v>
      </c>
      <c r="AR26" s="56" t="s">
        <v>166</v>
      </c>
      <c r="AS26" s="56" t="s">
        <v>166</v>
      </c>
      <c r="AT26" s="56" t="s">
        <v>166</v>
      </c>
      <c r="AU26" s="56" t="s">
        <v>166</v>
      </c>
      <c r="AV26" s="56" t="s">
        <v>166</v>
      </c>
      <c r="AW26" s="56" t="s">
        <v>166</v>
      </c>
      <c r="AX26" s="56" t="s">
        <v>166</v>
      </c>
      <c r="AY26" s="56" t="s">
        <v>166</v>
      </c>
      <c r="AZ26" s="56" t="s">
        <v>166</v>
      </c>
      <c r="BA26" s="56" t="s">
        <v>166</v>
      </c>
      <c r="BB26" s="56" t="s">
        <v>166</v>
      </c>
      <c r="BC26" s="56" t="s">
        <v>166</v>
      </c>
      <c r="BD26" s="56" t="s">
        <v>166</v>
      </c>
      <c r="BE26" s="115"/>
    </row>
    <row r="27" spans="1:57" ht="15.75" customHeight="1">
      <c r="A27" s="66">
        <v>1</v>
      </c>
      <c r="B27" s="68">
        <v>100000</v>
      </c>
      <c r="C27" s="116" t="s">
        <v>202</v>
      </c>
      <c r="D27" s="68">
        <v>2000</v>
      </c>
      <c r="E27" s="116" t="s">
        <v>202</v>
      </c>
      <c r="F27" s="116" t="s">
        <v>202</v>
      </c>
      <c r="G27" s="116" t="s">
        <v>202</v>
      </c>
      <c r="H27" s="116" t="s">
        <v>202</v>
      </c>
      <c r="I27" s="116" t="s">
        <v>202</v>
      </c>
      <c r="J27" s="116" t="s">
        <v>202</v>
      </c>
      <c r="K27" s="116" t="s">
        <v>202</v>
      </c>
      <c r="L27" s="82">
        <v>100</v>
      </c>
      <c r="M27" s="116" t="s">
        <v>202</v>
      </c>
      <c r="N27" s="116" t="s">
        <v>202</v>
      </c>
      <c r="O27" s="75">
        <v>1000</v>
      </c>
      <c r="P27" s="116" t="s">
        <v>202</v>
      </c>
      <c r="Q27" s="116" t="s">
        <v>202</v>
      </c>
      <c r="R27" s="75">
        <v>600000</v>
      </c>
      <c r="S27" s="116" t="s">
        <v>202</v>
      </c>
      <c r="T27" s="75">
        <v>61875</v>
      </c>
      <c r="U27" s="116" t="s">
        <v>202</v>
      </c>
      <c r="V27" s="116" t="s">
        <v>202</v>
      </c>
      <c r="W27" s="116" t="s">
        <v>202</v>
      </c>
      <c r="X27" s="116" t="s">
        <v>202</v>
      </c>
      <c r="Y27" s="116" t="s">
        <v>202</v>
      </c>
      <c r="Z27" s="116" t="s">
        <v>202</v>
      </c>
      <c r="AA27" s="116" t="s">
        <v>202</v>
      </c>
      <c r="AB27" s="116" t="s">
        <v>202</v>
      </c>
      <c r="AC27" s="116" t="s">
        <v>202</v>
      </c>
      <c r="AD27" s="78">
        <v>500</v>
      </c>
      <c r="AE27" s="116" t="s">
        <v>202</v>
      </c>
      <c r="AF27" s="116" t="s">
        <v>202</v>
      </c>
      <c r="AG27" s="116" t="s">
        <v>202</v>
      </c>
      <c r="AH27" s="116" t="s">
        <v>202</v>
      </c>
      <c r="AI27" s="116" t="s">
        <v>202</v>
      </c>
      <c r="AJ27" s="116" t="s">
        <v>202</v>
      </c>
      <c r="AK27" s="116" t="s">
        <v>202</v>
      </c>
      <c r="AL27" s="116" t="s">
        <v>202</v>
      </c>
      <c r="AM27" s="116" t="s">
        <v>202</v>
      </c>
      <c r="AN27" s="116" t="s">
        <v>202</v>
      </c>
      <c r="AO27" s="116" t="s">
        <v>202</v>
      </c>
      <c r="AP27" s="116" t="s">
        <v>202</v>
      </c>
      <c r="AQ27" s="116" t="s">
        <v>202</v>
      </c>
      <c r="AR27" s="116" t="s">
        <v>202</v>
      </c>
      <c r="AS27" s="116" t="s">
        <v>202</v>
      </c>
      <c r="AT27" s="116" t="s">
        <v>202</v>
      </c>
      <c r="AU27" s="116" t="s">
        <v>202</v>
      </c>
      <c r="AV27" s="116" t="s">
        <v>202</v>
      </c>
      <c r="AW27" s="116" t="s">
        <v>202</v>
      </c>
      <c r="AX27" s="116" t="s">
        <v>202</v>
      </c>
      <c r="AY27" s="116" t="s">
        <v>202</v>
      </c>
      <c r="AZ27" s="116" t="s">
        <v>202</v>
      </c>
      <c r="BA27" s="116" t="s">
        <v>202</v>
      </c>
      <c r="BB27" s="116" t="s">
        <v>202</v>
      </c>
      <c r="BC27" s="116" t="s">
        <v>202</v>
      </c>
      <c r="BD27" s="116" t="s">
        <v>202</v>
      </c>
      <c r="BE27" s="107"/>
    </row>
    <row r="28" spans="1:57" ht="15.75" customHeight="1">
      <c r="A28" s="66">
        <v>2</v>
      </c>
      <c r="B28" s="68">
        <v>100000</v>
      </c>
      <c r="C28" s="116" t="s">
        <v>202</v>
      </c>
      <c r="D28" s="68">
        <v>2800</v>
      </c>
      <c r="E28" s="116" t="s">
        <v>202</v>
      </c>
      <c r="F28" s="116" t="s">
        <v>202</v>
      </c>
      <c r="G28" s="116" t="s">
        <v>202</v>
      </c>
      <c r="H28" s="116" t="s">
        <v>202</v>
      </c>
      <c r="I28" s="116" t="s">
        <v>202</v>
      </c>
      <c r="J28" s="116" t="s">
        <v>202</v>
      </c>
      <c r="K28" s="116" t="s">
        <v>202</v>
      </c>
      <c r="L28" s="82">
        <v>100</v>
      </c>
      <c r="M28" s="116" t="s">
        <v>202</v>
      </c>
      <c r="N28" s="116" t="s">
        <v>202</v>
      </c>
      <c r="O28" s="75">
        <v>1000</v>
      </c>
      <c r="P28" s="116" t="s">
        <v>202</v>
      </c>
      <c r="Q28" s="116" t="s">
        <v>202</v>
      </c>
      <c r="R28" s="75">
        <v>600000</v>
      </c>
      <c r="S28" s="116" t="s">
        <v>202</v>
      </c>
      <c r="T28" s="75">
        <v>56250</v>
      </c>
      <c r="U28" s="116" t="s">
        <v>202</v>
      </c>
      <c r="V28" s="116" t="s">
        <v>202</v>
      </c>
      <c r="W28" s="116" t="s">
        <v>202</v>
      </c>
      <c r="X28" s="116" t="s">
        <v>202</v>
      </c>
      <c r="Y28" s="116" t="s">
        <v>202</v>
      </c>
      <c r="Z28" s="116" t="s">
        <v>202</v>
      </c>
      <c r="AA28" s="116" t="s">
        <v>202</v>
      </c>
      <c r="AB28" s="116" t="s">
        <v>202</v>
      </c>
      <c r="AC28" s="116" t="s">
        <v>202</v>
      </c>
      <c r="AD28" s="82">
        <v>500</v>
      </c>
      <c r="AE28" s="116" t="s">
        <v>202</v>
      </c>
      <c r="AF28" s="116" t="s">
        <v>202</v>
      </c>
      <c r="AG28" s="116" t="s">
        <v>202</v>
      </c>
      <c r="AH28" s="116" t="s">
        <v>202</v>
      </c>
      <c r="AI28" s="116" t="s">
        <v>202</v>
      </c>
      <c r="AJ28" s="116" t="s">
        <v>202</v>
      </c>
      <c r="AK28" s="116" t="s">
        <v>202</v>
      </c>
      <c r="AL28" s="116" t="s">
        <v>202</v>
      </c>
      <c r="AM28" s="116" t="s">
        <v>202</v>
      </c>
      <c r="AN28" s="116" t="s">
        <v>202</v>
      </c>
      <c r="AO28" s="116" t="s">
        <v>202</v>
      </c>
      <c r="AP28" s="116" t="s">
        <v>202</v>
      </c>
      <c r="AQ28" s="116" t="s">
        <v>202</v>
      </c>
      <c r="AR28" s="116" t="s">
        <v>202</v>
      </c>
      <c r="AS28" s="116" t="s">
        <v>202</v>
      </c>
      <c r="AT28" s="116" t="s">
        <v>202</v>
      </c>
      <c r="AU28" s="116" t="s">
        <v>202</v>
      </c>
      <c r="AV28" s="116" t="s">
        <v>202</v>
      </c>
      <c r="AW28" s="116" t="s">
        <v>202</v>
      </c>
      <c r="AX28" s="116" t="s">
        <v>202</v>
      </c>
      <c r="AY28" s="116" t="s">
        <v>202</v>
      </c>
      <c r="AZ28" s="116" t="s">
        <v>202</v>
      </c>
      <c r="BA28" s="116" t="s">
        <v>202</v>
      </c>
      <c r="BB28" s="116" t="s">
        <v>202</v>
      </c>
      <c r="BC28" s="116" t="s">
        <v>202</v>
      </c>
      <c r="BD28" s="116" t="s">
        <v>202</v>
      </c>
      <c r="BE28" s="107"/>
    </row>
    <row r="29" spans="1:57" ht="15.75" customHeight="1">
      <c r="A29" s="66">
        <v>3</v>
      </c>
      <c r="B29" s="68">
        <v>100000</v>
      </c>
      <c r="C29" s="116" t="s">
        <v>202</v>
      </c>
      <c r="D29" s="68">
        <v>2000</v>
      </c>
      <c r="E29" s="116" t="s">
        <v>202</v>
      </c>
      <c r="F29" s="116" t="s">
        <v>202</v>
      </c>
      <c r="G29" s="116" t="s">
        <v>202</v>
      </c>
      <c r="H29" s="116" t="s">
        <v>202</v>
      </c>
      <c r="I29" s="116" t="s">
        <v>202</v>
      </c>
      <c r="J29" s="116" t="s">
        <v>202</v>
      </c>
      <c r="K29" s="116" t="s">
        <v>202</v>
      </c>
      <c r="L29" s="82">
        <v>100</v>
      </c>
      <c r="M29" s="116" t="s">
        <v>202</v>
      </c>
      <c r="N29" s="116" t="s">
        <v>202</v>
      </c>
      <c r="O29" s="75">
        <v>1000</v>
      </c>
      <c r="P29" s="116" t="s">
        <v>202</v>
      </c>
      <c r="Q29" s="116" t="s">
        <v>202</v>
      </c>
      <c r="R29" s="75">
        <v>600000</v>
      </c>
      <c r="S29" s="116" t="s">
        <v>202</v>
      </c>
      <c r="T29" s="75">
        <v>39375</v>
      </c>
      <c r="U29" s="116" t="s">
        <v>202</v>
      </c>
      <c r="V29" s="116" t="s">
        <v>202</v>
      </c>
      <c r="W29" s="116" t="s">
        <v>202</v>
      </c>
      <c r="X29" s="116" t="s">
        <v>202</v>
      </c>
      <c r="Y29" s="116" t="s">
        <v>202</v>
      </c>
      <c r="Z29" s="116" t="s">
        <v>202</v>
      </c>
      <c r="AA29" s="116" t="s">
        <v>202</v>
      </c>
      <c r="AB29" s="116" t="s">
        <v>202</v>
      </c>
      <c r="AC29" s="116" t="s">
        <v>202</v>
      </c>
      <c r="AD29" s="82">
        <v>500</v>
      </c>
      <c r="AE29" s="116" t="s">
        <v>202</v>
      </c>
      <c r="AF29" s="116" t="s">
        <v>202</v>
      </c>
      <c r="AG29" s="116" t="s">
        <v>202</v>
      </c>
      <c r="AH29" s="116" t="s">
        <v>202</v>
      </c>
      <c r="AI29" s="116" t="s">
        <v>202</v>
      </c>
      <c r="AJ29" s="116" t="s">
        <v>202</v>
      </c>
      <c r="AK29" s="116" t="s">
        <v>202</v>
      </c>
      <c r="AL29" s="116" t="s">
        <v>202</v>
      </c>
      <c r="AM29" s="116" t="s">
        <v>202</v>
      </c>
      <c r="AN29" s="116" t="s">
        <v>202</v>
      </c>
      <c r="AO29" s="116" t="s">
        <v>202</v>
      </c>
      <c r="AP29" s="116" t="s">
        <v>202</v>
      </c>
      <c r="AQ29" s="116" t="s">
        <v>202</v>
      </c>
      <c r="AR29" s="116" t="s">
        <v>202</v>
      </c>
      <c r="AS29" s="116" t="s">
        <v>202</v>
      </c>
      <c r="AT29" s="116" t="s">
        <v>202</v>
      </c>
      <c r="AU29" s="116" t="s">
        <v>202</v>
      </c>
      <c r="AV29" s="116" t="s">
        <v>202</v>
      </c>
      <c r="AW29" s="116" t="s">
        <v>202</v>
      </c>
      <c r="AX29" s="116" t="s">
        <v>202</v>
      </c>
      <c r="AY29" s="116" t="s">
        <v>202</v>
      </c>
      <c r="AZ29" s="116" t="s">
        <v>202</v>
      </c>
      <c r="BA29" s="116" t="s">
        <v>202</v>
      </c>
      <c r="BB29" s="116" t="s">
        <v>202</v>
      </c>
      <c r="BC29" s="116" t="s">
        <v>202</v>
      </c>
      <c r="BD29" s="116" t="s">
        <v>202</v>
      </c>
      <c r="BE29" s="107"/>
    </row>
    <row r="30" spans="1:57" ht="15.75" customHeight="1">
      <c r="A30" s="66">
        <v>4</v>
      </c>
      <c r="B30" s="68">
        <v>100000</v>
      </c>
      <c r="C30" s="116" t="s">
        <v>202</v>
      </c>
      <c r="D30" s="68">
        <v>2000</v>
      </c>
      <c r="E30" s="116" t="s">
        <v>202</v>
      </c>
      <c r="F30" s="116" t="s">
        <v>202</v>
      </c>
      <c r="G30" s="116" t="s">
        <v>202</v>
      </c>
      <c r="H30" s="116" t="s">
        <v>202</v>
      </c>
      <c r="I30" s="116" t="s">
        <v>202</v>
      </c>
      <c r="J30" s="116" t="s">
        <v>202</v>
      </c>
      <c r="K30" s="116" t="s">
        <v>202</v>
      </c>
      <c r="L30" s="82">
        <v>100</v>
      </c>
      <c r="M30" s="116" t="s">
        <v>202</v>
      </c>
      <c r="N30" s="116" t="s">
        <v>202</v>
      </c>
      <c r="O30" s="75">
        <v>1000</v>
      </c>
      <c r="P30" s="116" t="s">
        <v>202</v>
      </c>
      <c r="Q30" s="116" t="s">
        <v>202</v>
      </c>
      <c r="R30" s="75">
        <v>600000</v>
      </c>
      <c r="S30" s="116" t="s">
        <v>202</v>
      </c>
      <c r="T30" s="75">
        <v>45000</v>
      </c>
      <c r="U30" s="116" t="s">
        <v>202</v>
      </c>
      <c r="V30" s="116" t="s">
        <v>202</v>
      </c>
      <c r="W30" s="116" t="s">
        <v>202</v>
      </c>
      <c r="X30" s="116" t="s">
        <v>202</v>
      </c>
      <c r="Y30" s="116" t="s">
        <v>202</v>
      </c>
      <c r="Z30" s="116" t="s">
        <v>202</v>
      </c>
      <c r="AA30" s="116" t="s">
        <v>202</v>
      </c>
      <c r="AB30" s="116" t="s">
        <v>202</v>
      </c>
      <c r="AC30" s="116" t="s">
        <v>202</v>
      </c>
      <c r="AD30" s="82">
        <v>500</v>
      </c>
      <c r="AE30" s="116" t="s">
        <v>202</v>
      </c>
      <c r="AF30" s="116" t="s">
        <v>202</v>
      </c>
      <c r="AG30" s="116" t="s">
        <v>202</v>
      </c>
      <c r="AH30" s="116" t="s">
        <v>202</v>
      </c>
      <c r="AI30" s="116" t="s">
        <v>202</v>
      </c>
      <c r="AJ30" s="116" t="s">
        <v>202</v>
      </c>
      <c r="AK30" s="116" t="s">
        <v>202</v>
      </c>
      <c r="AL30" s="116" t="s">
        <v>202</v>
      </c>
      <c r="AM30" s="116" t="s">
        <v>202</v>
      </c>
      <c r="AN30" s="116" t="s">
        <v>202</v>
      </c>
      <c r="AO30" s="116" t="s">
        <v>202</v>
      </c>
      <c r="AP30" s="116" t="s">
        <v>202</v>
      </c>
      <c r="AQ30" s="116" t="s">
        <v>202</v>
      </c>
      <c r="AR30" s="116" t="s">
        <v>202</v>
      </c>
      <c r="AS30" s="116" t="s">
        <v>202</v>
      </c>
      <c r="AT30" s="116" t="s">
        <v>202</v>
      </c>
      <c r="AU30" s="116" t="s">
        <v>202</v>
      </c>
      <c r="AV30" s="116" t="s">
        <v>202</v>
      </c>
      <c r="AW30" s="116" t="s">
        <v>202</v>
      </c>
      <c r="AX30" s="116" t="s">
        <v>202</v>
      </c>
      <c r="AY30" s="116" t="s">
        <v>202</v>
      </c>
      <c r="AZ30" s="116" t="s">
        <v>202</v>
      </c>
      <c r="BA30" s="116" t="s">
        <v>202</v>
      </c>
      <c r="BB30" s="116" t="s">
        <v>202</v>
      </c>
      <c r="BC30" s="116" t="s">
        <v>202</v>
      </c>
      <c r="BD30" s="116" t="s">
        <v>202</v>
      </c>
      <c r="BE30" s="107"/>
    </row>
    <row r="31" spans="1:57" ht="15.75" customHeight="1">
      <c r="A31" s="66">
        <v>5</v>
      </c>
      <c r="B31" s="68">
        <v>100000</v>
      </c>
      <c r="C31" s="116" t="s">
        <v>202</v>
      </c>
      <c r="D31" s="68">
        <v>1550</v>
      </c>
      <c r="E31" s="116" t="s">
        <v>202</v>
      </c>
      <c r="F31" s="116" t="s">
        <v>202</v>
      </c>
      <c r="G31" s="116" t="s">
        <v>202</v>
      </c>
      <c r="H31" s="116" t="s">
        <v>202</v>
      </c>
      <c r="I31" s="116" t="s">
        <v>202</v>
      </c>
      <c r="J31" s="116" t="s">
        <v>202</v>
      </c>
      <c r="K31" s="116" t="s">
        <v>202</v>
      </c>
      <c r="L31" s="82">
        <v>100</v>
      </c>
      <c r="M31" s="116" t="s">
        <v>202</v>
      </c>
      <c r="N31" s="116" t="s">
        <v>202</v>
      </c>
      <c r="O31" s="75">
        <v>1000</v>
      </c>
      <c r="P31" s="116" t="s">
        <v>202</v>
      </c>
      <c r="Q31" s="116" t="s">
        <v>202</v>
      </c>
      <c r="R31" s="75">
        <v>600000</v>
      </c>
      <c r="S31" s="116" t="s">
        <v>202</v>
      </c>
      <c r="T31" s="75">
        <v>45000</v>
      </c>
      <c r="U31" s="116" t="s">
        <v>202</v>
      </c>
      <c r="V31" s="116" t="s">
        <v>202</v>
      </c>
      <c r="W31" s="116" t="s">
        <v>202</v>
      </c>
      <c r="X31" s="116" t="s">
        <v>202</v>
      </c>
      <c r="Y31" s="116" t="s">
        <v>202</v>
      </c>
      <c r="Z31" s="116" t="s">
        <v>202</v>
      </c>
      <c r="AA31" s="116" t="s">
        <v>202</v>
      </c>
      <c r="AB31" s="116" t="s">
        <v>202</v>
      </c>
      <c r="AC31" s="116" t="s">
        <v>202</v>
      </c>
      <c r="AD31" s="82">
        <v>500</v>
      </c>
      <c r="AE31" s="116" t="s">
        <v>202</v>
      </c>
      <c r="AF31" s="116" t="s">
        <v>202</v>
      </c>
      <c r="AG31" s="116" t="s">
        <v>202</v>
      </c>
      <c r="AH31" s="116" t="s">
        <v>202</v>
      </c>
      <c r="AI31" s="116" t="s">
        <v>202</v>
      </c>
      <c r="AJ31" s="116" t="s">
        <v>202</v>
      </c>
      <c r="AK31" s="116" t="s">
        <v>202</v>
      </c>
      <c r="AL31" s="116" t="s">
        <v>202</v>
      </c>
      <c r="AM31" s="116" t="s">
        <v>202</v>
      </c>
      <c r="AN31" s="116" t="s">
        <v>202</v>
      </c>
      <c r="AO31" s="116" t="s">
        <v>202</v>
      </c>
      <c r="AP31" s="116" t="s">
        <v>202</v>
      </c>
      <c r="AQ31" s="116" t="s">
        <v>202</v>
      </c>
      <c r="AR31" s="116" t="s">
        <v>202</v>
      </c>
      <c r="AS31" s="116" t="s">
        <v>202</v>
      </c>
      <c r="AT31" s="116" t="s">
        <v>202</v>
      </c>
      <c r="AU31" s="116" t="s">
        <v>202</v>
      </c>
      <c r="AV31" s="116" t="s">
        <v>202</v>
      </c>
      <c r="AW31" s="116" t="s">
        <v>202</v>
      </c>
      <c r="AX31" s="116" t="s">
        <v>202</v>
      </c>
      <c r="AY31" s="116" t="s">
        <v>202</v>
      </c>
      <c r="AZ31" s="116" t="s">
        <v>202</v>
      </c>
      <c r="BA31" s="116" t="s">
        <v>202</v>
      </c>
      <c r="BB31" s="116" t="s">
        <v>202</v>
      </c>
      <c r="BC31" s="116" t="s">
        <v>202</v>
      </c>
      <c r="BD31" s="116" t="s">
        <v>202</v>
      </c>
      <c r="BE31" s="107"/>
    </row>
    <row r="32" spans="1:57" ht="15.75" customHeight="1">
      <c r="A32" s="66"/>
      <c r="B32" s="82"/>
      <c r="C32" s="82"/>
      <c r="D32" s="82"/>
      <c r="E32" s="82"/>
      <c r="F32" s="105"/>
      <c r="G32" s="82"/>
      <c r="H32" s="82"/>
      <c r="I32" s="105"/>
      <c r="J32" s="97"/>
      <c r="K32" s="82"/>
      <c r="L32" s="82"/>
      <c r="M32" s="105"/>
      <c r="N32" s="105"/>
      <c r="O32" s="97"/>
      <c r="P32" s="97"/>
      <c r="Q32" s="82"/>
      <c r="R32" s="105"/>
      <c r="S32" s="105"/>
      <c r="T32" s="97"/>
      <c r="U32" s="82"/>
      <c r="V32" s="105"/>
      <c r="W32" s="105"/>
      <c r="X32" s="105"/>
      <c r="Y32" s="105"/>
      <c r="Z32" s="105"/>
      <c r="AA32" s="105"/>
      <c r="AB32" s="82"/>
      <c r="AC32" s="105"/>
      <c r="AD32" s="82"/>
      <c r="AE32" s="105"/>
      <c r="AF32" s="82"/>
      <c r="AG32" s="82"/>
      <c r="AH32" s="105"/>
      <c r="AI32" s="105"/>
      <c r="AJ32" s="82"/>
      <c r="AK32" s="82"/>
      <c r="AL32" s="105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7"/>
      <c r="BD32" s="97"/>
      <c r="BE32" s="107"/>
    </row>
    <row r="33" spans="1:57" ht="15.75" customHeight="1">
      <c r="A33" s="109" t="s">
        <v>220</v>
      </c>
      <c r="B33" s="122">
        <v>100000</v>
      </c>
      <c r="C33" s="56">
        <v>0</v>
      </c>
      <c r="D33" s="122">
        <f>AVERAGE(D27:D31)</f>
        <v>2070</v>
      </c>
      <c r="E33" s="123">
        <v>5000</v>
      </c>
      <c r="F33" s="56">
        <v>0</v>
      </c>
      <c r="G33" s="122">
        <v>0</v>
      </c>
      <c r="H33" s="122">
        <v>200000</v>
      </c>
      <c r="I33" s="122">
        <v>0</v>
      </c>
      <c r="J33" s="122">
        <v>10000000</v>
      </c>
      <c r="K33" s="122">
        <v>3000000</v>
      </c>
      <c r="L33" s="122">
        <v>0</v>
      </c>
      <c r="M33" s="122">
        <v>0</v>
      </c>
      <c r="N33" s="122">
        <v>0</v>
      </c>
      <c r="O33" s="122">
        <v>0</v>
      </c>
      <c r="P33" s="122">
        <v>3600000</v>
      </c>
      <c r="Q33" s="123">
        <v>35000</v>
      </c>
      <c r="R33" s="56">
        <v>0</v>
      </c>
      <c r="S33" s="56">
        <v>1677000</v>
      </c>
      <c r="T33" s="122">
        <f>AVERAGE(T27:T31)</f>
        <v>49500</v>
      </c>
      <c r="U33" s="122">
        <v>30000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56">
        <v>0</v>
      </c>
      <c r="AB33" s="122">
        <v>500</v>
      </c>
      <c r="AC33" s="122">
        <v>0</v>
      </c>
      <c r="AD33" s="122">
        <v>10000</v>
      </c>
      <c r="AE33" s="122">
        <v>0</v>
      </c>
      <c r="AF33" s="122">
        <v>1000</v>
      </c>
      <c r="AG33" s="122">
        <v>1000</v>
      </c>
      <c r="AH33" s="122">
        <v>0</v>
      </c>
      <c r="AI33" s="122">
        <v>0</v>
      </c>
      <c r="AJ33" s="56">
        <v>0</v>
      </c>
      <c r="AK33" s="56">
        <v>0</v>
      </c>
      <c r="AL33" s="122">
        <v>7500</v>
      </c>
      <c r="AM33" s="56">
        <v>4</v>
      </c>
      <c r="AN33" s="56">
        <v>0</v>
      </c>
      <c r="AO33" s="56">
        <v>30</v>
      </c>
      <c r="AP33" s="124">
        <f>5*$AP$44*Inputs!$AQ$49</f>
        <v>1.37225</v>
      </c>
      <c r="AQ33" s="56">
        <v>0</v>
      </c>
      <c r="AR33" s="112">
        <v>3</v>
      </c>
      <c r="AS33" s="112"/>
      <c r="AT33" s="56">
        <v>0</v>
      </c>
      <c r="AU33" s="56">
        <v>0</v>
      </c>
      <c r="AV33" s="56">
        <v>0</v>
      </c>
      <c r="AW33" s="56">
        <v>0</v>
      </c>
      <c r="AX33" s="56">
        <v>5000</v>
      </c>
      <c r="AY33" s="56">
        <v>2000</v>
      </c>
      <c r="AZ33" s="56">
        <v>0</v>
      </c>
      <c r="BA33" s="56">
        <v>0</v>
      </c>
      <c r="BB33" s="56">
        <v>0</v>
      </c>
      <c r="BC33" s="56">
        <v>0</v>
      </c>
      <c r="BD33" s="112">
        <v>0</v>
      </c>
      <c r="BE33" s="115"/>
    </row>
    <row r="34" spans="1:57" ht="15.75" customHeight="1">
      <c r="A34" s="125" t="s">
        <v>221</v>
      </c>
      <c r="B34" s="126">
        <f>IFERROR(B33/Inputs!C49,0)</f>
        <v>5.5555555555555552E-2</v>
      </c>
      <c r="C34" s="126">
        <f>IFERROR(C33/Inputs!D49,0)</f>
        <v>0</v>
      </c>
      <c r="D34" s="126">
        <f>IFERROR(D33/Inputs!E49,0)</f>
        <v>0.18818181818181817</v>
      </c>
      <c r="E34" s="126">
        <f>IFERROR(E33/Inputs!F49,0)</f>
        <v>0.43859649122807015</v>
      </c>
      <c r="F34" s="126">
        <f>IFERROR(F33/Inputs!G49,0)</f>
        <v>0</v>
      </c>
      <c r="G34" s="126">
        <f>IFERROR(G33/Inputs!H49,0)</f>
        <v>0</v>
      </c>
      <c r="H34" s="126">
        <f>IFERROR(H33/Inputs!I49,0)</f>
        <v>0.1</v>
      </c>
      <c r="I34" s="126">
        <f>IFERROR(I33/Inputs!J49,0)</f>
        <v>0</v>
      </c>
      <c r="J34" s="126">
        <f>IFERROR(J33/Inputs!K49,0)</f>
        <v>0.90909090909090906</v>
      </c>
      <c r="K34" s="126">
        <f>IFERROR(K33/Inputs!L49,0)</f>
        <v>31.578947368421051</v>
      </c>
      <c r="L34" s="126">
        <f>IFERROR(L33/Inputs!M49,0)</f>
        <v>0</v>
      </c>
      <c r="M34" s="126">
        <f>IFERROR(M33/Inputs!N49,0)</f>
        <v>0</v>
      </c>
      <c r="N34" s="126">
        <f>IFERROR(N33/Inputs!O49,0)</f>
        <v>0</v>
      </c>
      <c r="O34" s="126">
        <f>IFERROR(O33/Inputs!P49,0)</f>
        <v>0</v>
      </c>
      <c r="P34" s="126">
        <f>IFERROR(P33/Inputs!Q49,0)</f>
        <v>3</v>
      </c>
      <c r="Q34" s="126">
        <f>IFERROR(Q33/Inputs!R49,0)</f>
        <v>0.14583333333333334</v>
      </c>
      <c r="R34" s="126">
        <f>IFERROR(R33/Inputs!S49,0)</f>
        <v>0</v>
      </c>
      <c r="S34" s="126">
        <f>IFERROR(S33/Inputs!T49,0)</f>
        <v>0.79614508165590581</v>
      </c>
      <c r="T34" s="126">
        <f>IFERROR(T33/Inputs!U49,0)</f>
        <v>0.2475</v>
      </c>
      <c r="U34" s="126">
        <f>IFERROR(U33/Inputs!V49,0)</f>
        <v>0.5714285714285714</v>
      </c>
      <c r="V34" s="126">
        <f>IFERROR(V33/Inputs!W49,0)</f>
        <v>0</v>
      </c>
      <c r="W34" s="126">
        <f>IFERROR(W33/Inputs!X49,0)</f>
        <v>0</v>
      </c>
      <c r="X34" s="126">
        <f>IFERROR(X33/Inputs!Y49,0)</f>
        <v>0</v>
      </c>
      <c r="Y34" s="126">
        <f>IFERROR(Y33/Inputs!Z49,0)</f>
        <v>0</v>
      </c>
      <c r="Z34" s="126">
        <f>IFERROR(Z33/Inputs!AA49,0)</f>
        <v>0</v>
      </c>
      <c r="AA34" s="126">
        <f>IFERROR(AA33/Inputs!AB49,0)</f>
        <v>0</v>
      </c>
      <c r="AB34" s="126">
        <f>IFERROR(AB33/Inputs!AC49,0)</f>
        <v>1.3888888888888888E-2</v>
      </c>
      <c r="AC34" s="126">
        <f>IFERROR(AC33/Inputs!AD49,0)</f>
        <v>0</v>
      </c>
      <c r="AD34" s="126">
        <f>IFERROR(AD33/Inputs!AE49,0)</f>
        <v>2</v>
      </c>
      <c r="AE34" s="126">
        <f>IFERROR(AE33/Inputs!AF49,0)</f>
        <v>0</v>
      </c>
      <c r="AF34" s="126">
        <f>IFERROR(AF33/Inputs!AG49,0)</f>
        <v>0.30864197530864196</v>
      </c>
      <c r="AG34" s="126">
        <f>IFERROR(AG33/Inputs!AH49,0)</f>
        <v>0.5</v>
      </c>
      <c r="AH34" s="126">
        <f>IFERROR(AH33/Inputs!AI49,0)</f>
        <v>0</v>
      </c>
      <c r="AI34" s="126">
        <f>IFERROR(AI33/Inputs!AJ49,0)</f>
        <v>0</v>
      </c>
      <c r="AJ34" s="126">
        <f>IFERROR(AJ33/Inputs!AK49,0)</f>
        <v>0</v>
      </c>
      <c r="AK34" s="126">
        <f>IFERROR(AK33/Inputs!AL49,0)</f>
        <v>0</v>
      </c>
      <c r="AL34" s="126">
        <f>IFERROR(AL33/Inputs!AM49,0)</f>
        <v>1.4999999999999999E-2</v>
      </c>
      <c r="AM34" s="126">
        <f>IFERROR(AM33/Inputs!AN49,0)</f>
        <v>0.26666666666666666</v>
      </c>
      <c r="AN34" s="126">
        <f>IFERROR(AN33/Inputs!AO49,0)</f>
        <v>0</v>
      </c>
      <c r="AO34" s="126">
        <f>IFERROR(AO33/Inputs!AP49,0)</f>
        <v>0.3</v>
      </c>
      <c r="AP34" s="126">
        <f>IFERROR(AP33/Inputs!AQ49,0)</f>
        <v>0.20791666666666667</v>
      </c>
      <c r="AQ34" s="126">
        <f>IFERROR(AQ33/Inputs!AR49,0)</f>
        <v>0</v>
      </c>
      <c r="AR34" s="126">
        <f>IFERROR(AR33/Inputs!AS49,0)</f>
        <v>0.375</v>
      </c>
      <c r="AS34" s="126"/>
      <c r="AT34" s="126">
        <f>IFERROR(AT33/Inputs!AU49,0)</f>
        <v>0</v>
      </c>
      <c r="AU34" s="126">
        <f>IFERROR(AU33/Inputs!AV49,0)</f>
        <v>0</v>
      </c>
      <c r="AV34" s="126">
        <f>IFERROR(AV33/Inputs!AW49,0)</f>
        <v>0</v>
      </c>
      <c r="AW34" s="126">
        <f>IFERROR(AW33/Inputs!AX49,0)</f>
        <v>0</v>
      </c>
      <c r="AX34" s="126">
        <f>IFERROR(AX33/Inputs!AY49,0)</f>
        <v>1.6666666666666668E-3</v>
      </c>
      <c r="AY34" s="126">
        <f>IFERROR(AY33/Inputs!AZ49,0)</f>
        <v>2E-3</v>
      </c>
      <c r="AZ34" s="126">
        <f>IFERROR(AZ33/Inputs!BA49,0)</f>
        <v>0</v>
      </c>
      <c r="BA34" s="126">
        <f>IFERROR(BA33/Inputs!BB49,0)</f>
        <v>0</v>
      </c>
      <c r="BB34" s="126">
        <f>IFERROR(BB33/Inputs!BC49,0)</f>
        <v>0</v>
      </c>
      <c r="BC34" s="126">
        <f>IFERROR(BC33/Inputs!BD49,0)</f>
        <v>0</v>
      </c>
      <c r="BD34" s="130">
        <v>0</v>
      </c>
      <c r="BE34" s="131"/>
    </row>
    <row r="35" spans="1:57" ht="15.75" customHeight="1">
      <c r="A35" s="66"/>
      <c r="B35" s="82"/>
      <c r="C35" s="82"/>
      <c r="D35" s="132"/>
      <c r="E35" s="82"/>
      <c r="F35" s="82"/>
      <c r="G35" s="82"/>
      <c r="H35" s="82"/>
      <c r="I35" s="97"/>
      <c r="J35" s="97"/>
      <c r="K35" s="82"/>
      <c r="L35" s="82"/>
      <c r="M35" s="105"/>
      <c r="N35" s="105"/>
      <c r="O35" s="97"/>
      <c r="P35" s="97"/>
      <c r="Q35" s="82"/>
      <c r="R35" s="105"/>
      <c r="S35" s="105"/>
      <c r="T35" s="97"/>
      <c r="U35" s="82"/>
      <c r="V35" s="82"/>
      <c r="W35" s="82"/>
      <c r="X35" s="105"/>
      <c r="Y35" s="82"/>
      <c r="Z35" s="105"/>
      <c r="AA35" s="105"/>
      <c r="AB35" s="82"/>
      <c r="AC35" s="82"/>
      <c r="AD35" s="82"/>
      <c r="AE35" s="82"/>
      <c r="AF35" s="82"/>
      <c r="AG35" s="82"/>
      <c r="AH35" s="82"/>
      <c r="AI35" s="105"/>
      <c r="AJ35" s="82"/>
      <c r="AK35" s="82"/>
      <c r="AL35" s="105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7"/>
      <c r="BD35" s="97"/>
      <c r="BE35" s="107"/>
    </row>
    <row r="36" spans="1:57" ht="15.75" customHeight="1">
      <c r="A36" s="133" t="s">
        <v>63</v>
      </c>
      <c r="B36" s="134" t="s">
        <v>223</v>
      </c>
      <c r="C36" s="135"/>
      <c r="D36" s="88" t="s">
        <v>224</v>
      </c>
      <c r="E36" s="135"/>
      <c r="F36" s="135"/>
      <c r="G36" s="137"/>
      <c r="H36" s="137"/>
      <c r="I36" s="88" t="s">
        <v>225</v>
      </c>
      <c r="J36" s="138" t="s">
        <v>226</v>
      </c>
      <c r="K36" s="97"/>
      <c r="L36" s="97"/>
      <c r="M36" s="139" t="s">
        <v>227</v>
      </c>
      <c r="N36" s="140"/>
      <c r="O36" s="88" t="s">
        <v>228</v>
      </c>
      <c r="P36" s="134" t="s">
        <v>229</v>
      </c>
      <c r="Q36" s="141" t="s">
        <v>230</v>
      </c>
      <c r="R36" s="142"/>
      <c r="S36" s="143" t="s">
        <v>231</v>
      </c>
      <c r="T36" s="88" t="s">
        <v>232</v>
      </c>
      <c r="U36" s="135"/>
      <c r="V36" s="135"/>
      <c r="W36" s="135"/>
      <c r="X36" s="135"/>
      <c r="Y36" s="135"/>
      <c r="Z36" s="135" t="s">
        <v>233</v>
      </c>
      <c r="AA36" s="97"/>
      <c r="AB36" s="135"/>
      <c r="AC36" s="135"/>
      <c r="AD36" s="135" t="s">
        <v>234</v>
      </c>
      <c r="AE36" s="135"/>
      <c r="AF36" s="135"/>
      <c r="AG36" s="135" t="s">
        <v>235</v>
      </c>
      <c r="AH36" s="135"/>
      <c r="AI36" s="144"/>
      <c r="AJ36" s="145" t="s">
        <v>236</v>
      </c>
      <c r="AK36" s="145" t="s">
        <v>237</v>
      </c>
      <c r="AL36" s="144" t="s">
        <v>238</v>
      </c>
      <c r="AM36" s="135"/>
      <c r="AN36" s="135"/>
      <c r="AO36" s="135"/>
      <c r="AP36" s="141" t="s">
        <v>239</v>
      </c>
      <c r="AQ36" s="135"/>
      <c r="AR36" s="135" t="s">
        <v>240</v>
      </c>
      <c r="AS36" s="135"/>
      <c r="AT36" s="135"/>
      <c r="AU36" s="135" t="s">
        <v>241</v>
      </c>
      <c r="AV36" s="135" t="s">
        <v>242</v>
      </c>
      <c r="AW36" s="135" t="s">
        <v>243</v>
      </c>
      <c r="AX36" s="135" t="s">
        <v>244</v>
      </c>
      <c r="AY36" s="135" t="s">
        <v>245</v>
      </c>
      <c r="AZ36" s="135"/>
      <c r="BA36" s="141" t="s">
        <v>246</v>
      </c>
      <c r="BB36" s="141" t="s">
        <v>247</v>
      </c>
      <c r="BC36" s="88" t="s">
        <v>248</v>
      </c>
      <c r="BD36" s="88"/>
      <c r="BE36" s="146"/>
    </row>
    <row r="37" spans="1:57" ht="15.75" customHeight="1">
      <c r="A37" s="66"/>
      <c r="B37" s="82"/>
      <c r="C37" s="82"/>
      <c r="D37" s="82"/>
      <c r="E37" s="82"/>
      <c r="F37" s="82"/>
      <c r="G37" s="82"/>
      <c r="H37" s="82"/>
      <c r="I37" s="97"/>
      <c r="J37" s="97"/>
      <c r="K37" s="82"/>
      <c r="L37" s="82"/>
      <c r="M37" s="97"/>
      <c r="N37" s="105"/>
      <c r="O37" s="97"/>
      <c r="P37" s="97"/>
      <c r="Q37" s="82"/>
      <c r="R37" s="97"/>
      <c r="S37" s="97"/>
      <c r="T37" s="97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105"/>
      <c r="AJ37" s="82"/>
      <c r="AK37" s="82"/>
      <c r="AL37" s="105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7"/>
      <c r="BD37" s="97"/>
      <c r="BE37" s="107"/>
    </row>
    <row r="38" spans="1:57" ht="15.75" customHeight="1">
      <c r="A38" s="133" t="s">
        <v>249</v>
      </c>
      <c r="B38" s="134" t="s">
        <v>250</v>
      </c>
      <c r="C38" s="147">
        <v>1000000</v>
      </c>
      <c r="D38" s="138">
        <v>100000</v>
      </c>
      <c r="E38" s="148">
        <v>12500</v>
      </c>
      <c r="F38" s="148">
        <v>2000000</v>
      </c>
      <c r="G38" s="138">
        <v>1000</v>
      </c>
      <c r="H38" s="138">
        <v>6000000</v>
      </c>
      <c r="I38" s="138">
        <v>1000000</v>
      </c>
      <c r="J38" s="149">
        <v>5500000</v>
      </c>
      <c r="K38" s="149">
        <v>10000000</v>
      </c>
      <c r="L38" s="138">
        <v>20000</v>
      </c>
      <c r="M38" s="149">
        <v>3500000</v>
      </c>
      <c r="N38" s="149">
        <v>1250000</v>
      </c>
      <c r="O38" s="149">
        <v>40000</v>
      </c>
      <c r="P38" s="149">
        <v>10000000</v>
      </c>
      <c r="Q38" s="147" t="s">
        <v>83</v>
      </c>
      <c r="R38" s="149">
        <v>6000000</v>
      </c>
      <c r="S38" s="149">
        <v>5000000</v>
      </c>
      <c r="T38" s="149">
        <v>1000000</v>
      </c>
      <c r="U38" s="147" t="s">
        <v>85</v>
      </c>
      <c r="V38" s="148" t="s">
        <v>86</v>
      </c>
      <c r="W38" s="148">
        <v>2000</v>
      </c>
      <c r="X38" s="148">
        <v>3000000</v>
      </c>
      <c r="Y38" s="147" t="s">
        <v>89</v>
      </c>
      <c r="Z38" s="147">
        <v>10000</v>
      </c>
      <c r="AA38" s="149">
        <v>1400000</v>
      </c>
      <c r="AB38" s="148">
        <v>5000</v>
      </c>
      <c r="AC38" s="148">
        <v>40000</v>
      </c>
      <c r="AD38" s="148" t="s">
        <v>92</v>
      </c>
      <c r="AE38" s="148" t="s">
        <v>86</v>
      </c>
      <c r="AF38" s="147" t="s">
        <v>93</v>
      </c>
      <c r="AG38" s="148">
        <v>15000</v>
      </c>
      <c r="AH38" s="148">
        <v>2000000</v>
      </c>
      <c r="AI38" s="150">
        <v>2000000</v>
      </c>
      <c r="AJ38" s="148">
        <v>100000</v>
      </c>
      <c r="AK38" s="145" t="s">
        <v>251</v>
      </c>
      <c r="AL38" s="150">
        <v>200000</v>
      </c>
      <c r="AM38" s="151" t="s">
        <v>97</v>
      </c>
      <c r="AN38" s="135" t="s">
        <v>98</v>
      </c>
      <c r="AO38" s="135" t="s">
        <v>99</v>
      </c>
      <c r="AP38" s="135" t="s">
        <v>252</v>
      </c>
      <c r="AQ38" s="141" t="s">
        <v>101</v>
      </c>
      <c r="AR38" s="135" t="s">
        <v>102</v>
      </c>
      <c r="AS38" s="51" t="s">
        <v>103</v>
      </c>
      <c r="AT38" s="141" t="s">
        <v>253</v>
      </c>
      <c r="AU38" s="147" t="s">
        <v>105</v>
      </c>
      <c r="AV38" s="135" t="s">
        <v>106</v>
      </c>
      <c r="AW38" s="135" t="s">
        <v>107</v>
      </c>
      <c r="AX38" s="135" t="s">
        <v>254</v>
      </c>
      <c r="AY38" s="135" t="s">
        <v>109</v>
      </c>
      <c r="AZ38" s="135" t="s">
        <v>110</v>
      </c>
      <c r="BA38" s="138" t="s">
        <v>255</v>
      </c>
      <c r="BB38" s="138" t="s">
        <v>256</v>
      </c>
      <c r="BC38" s="149" t="s">
        <v>257</v>
      </c>
      <c r="BD38" s="149" t="s">
        <v>142</v>
      </c>
      <c r="BE38" s="152"/>
    </row>
    <row r="39" spans="1:57" ht="15.75" customHeight="1">
      <c r="A39" s="66"/>
      <c r="B39" s="82"/>
      <c r="C39" s="82"/>
      <c r="D39" s="82"/>
      <c r="E39" s="82"/>
      <c r="F39" s="82"/>
      <c r="G39" s="82"/>
      <c r="H39" s="82"/>
      <c r="I39" s="97"/>
      <c r="J39" s="97"/>
      <c r="K39" s="82"/>
      <c r="L39" s="82"/>
      <c r="M39" s="97"/>
      <c r="N39" s="105"/>
      <c r="O39" s="97"/>
      <c r="P39" s="97"/>
      <c r="Q39" s="82"/>
      <c r="R39" s="97"/>
      <c r="S39" s="97"/>
      <c r="T39" s="97"/>
      <c r="U39" s="82"/>
      <c r="V39" s="82">
        <f>50*V44</f>
        <v>12.475</v>
      </c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105"/>
      <c r="AJ39" s="82"/>
      <c r="AK39" s="82"/>
      <c r="AL39" s="105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7"/>
      <c r="BD39" s="97"/>
      <c r="BE39" s="107"/>
    </row>
    <row r="40" spans="1:57" ht="15.75" customHeight="1">
      <c r="A40" s="125" t="s">
        <v>258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4"/>
    </row>
    <row r="41" spans="1:57" ht="15.75" customHeight="1">
      <c r="A41" s="66" t="s">
        <v>259</v>
      </c>
      <c r="B41" s="82" t="s">
        <v>260</v>
      </c>
      <c r="C41" s="82" t="s">
        <v>166</v>
      </c>
      <c r="D41" s="82" t="s">
        <v>166</v>
      </c>
      <c r="E41" s="82" t="s">
        <v>166</v>
      </c>
      <c r="F41" s="82" t="s">
        <v>166</v>
      </c>
      <c r="G41" s="82" t="s">
        <v>166</v>
      </c>
      <c r="H41" s="82" t="s">
        <v>166</v>
      </c>
      <c r="I41" s="82" t="s">
        <v>166</v>
      </c>
      <c r="J41" s="82" t="s">
        <v>166</v>
      </c>
      <c r="K41" s="82" t="s">
        <v>166</v>
      </c>
      <c r="L41" s="82" t="s">
        <v>166</v>
      </c>
      <c r="M41" s="82" t="s">
        <v>166</v>
      </c>
      <c r="N41" s="82" t="s">
        <v>166</v>
      </c>
      <c r="O41" s="82" t="s">
        <v>166</v>
      </c>
      <c r="P41" s="82" t="s">
        <v>166</v>
      </c>
      <c r="Q41" s="82" t="s">
        <v>166</v>
      </c>
      <c r="R41" s="82" t="s">
        <v>261</v>
      </c>
      <c r="S41" s="82" t="s">
        <v>166</v>
      </c>
      <c r="T41" s="82" t="s">
        <v>166</v>
      </c>
      <c r="U41" s="82" t="s">
        <v>166</v>
      </c>
      <c r="V41" s="82" t="s">
        <v>262</v>
      </c>
      <c r="W41" s="82" t="s">
        <v>166</v>
      </c>
      <c r="X41" s="82" t="s">
        <v>166</v>
      </c>
      <c r="Y41" s="82" t="s">
        <v>166</v>
      </c>
      <c r="Z41" s="82" t="s">
        <v>166</v>
      </c>
      <c r="AA41" s="82" t="s">
        <v>166</v>
      </c>
      <c r="AB41" s="82" t="s">
        <v>166</v>
      </c>
      <c r="AC41" s="82" t="s">
        <v>166</v>
      </c>
      <c r="AD41" s="82" t="s">
        <v>262</v>
      </c>
      <c r="AE41" s="82" t="s">
        <v>262</v>
      </c>
      <c r="AF41" s="82" t="s">
        <v>263</v>
      </c>
      <c r="AG41" s="82" t="s">
        <v>166</v>
      </c>
      <c r="AH41" s="82" t="s">
        <v>166</v>
      </c>
      <c r="AI41" s="82" t="s">
        <v>166</v>
      </c>
      <c r="AJ41" s="82" t="s">
        <v>264</v>
      </c>
      <c r="AK41" s="82" t="s">
        <v>264</v>
      </c>
      <c r="AL41" s="82" t="s">
        <v>166</v>
      </c>
      <c r="AM41" s="82" t="s">
        <v>265</v>
      </c>
      <c r="AN41" s="82" t="s">
        <v>265</v>
      </c>
      <c r="AO41" s="82" t="s">
        <v>266</v>
      </c>
      <c r="AP41" s="82" t="s">
        <v>262</v>
      </c>
      <c r="AQ41" s="82" t="s">
        <v>266</v>
      </c>
      <c r="AR41" s="82" t="s">
        <v>265</v>
      </c>
      <c r="AS41" s="78" t="s">
        <v>265</v>
      </c>
      <c r="AT41" s="82" t="s">
        <v>166</v>
      </c>
      <c r="AU41" s="82" t="s">
        <v>267</v>
      </c>
      <c r="AV41" s="82" t="s">
        <v>166</v>
      </c>
      <c r="AW41" s="82" t="s">
        <v>262</v>
      </c>
      <c r="AX41" s="82" t="s">
        <v>268</v>
      </c>
      <c r="AY41" s="82" t="s">
        <v>267</v>
      </c>
      <c r="AZ41" s="82" t="s">
        <v>166</v>
      </c>
      <c r="BA41" s="82" t="s">
        <v>262</v>
      </c>
      <c r="BB41" s="82" t="s">
        <v>269</v>
      </c>
      <c r="BC41" s="82" t="s">
        <v>269</v>
      </c>
      <c r="BD41" s="82" t="s">
        <v>166</v>
      </c>
      <c r="BE41" s="107"/>
    </row>
    <row r="42" spans="1:57" ht="15.75" customHeight="1">
      <c r="A42" s="66" t="s">
        <v>270</v>
      </c>
      <c r="B42" s="82">
        <v>40</v>
      </c>
      <c r="C42" s="82" t="s">
        <v>166</v>
      </c>
      <c r="D42" s="82" t="s">
        <v>166</v>
      </c>
      <c r="E42" s="82" t="s">
        <v>166</v>
      </c>
      <c r="F42" s="82" t="s">
        <v>166</v>
      </c>
      <c r="G42" s="82" t="s">
        <v>166</v>
      </c>
      <c r="H42" s="82" t="s">
        <v>166</v>
      </c>
      <c r="I42" s="82" t="s">
        <v>166</v>
      </c>
      <c r="J42" s="82" t="s">
        <v>166</v>
      </c>
      <c r="K42" s="82" t="s">
        <v>166</v>
      </c>
      <c r="L42" s="82" t="s">
        <v>166</v>
      </c>
      <c r="M42" s="82" t="s">
        <v>166</v>
      </c>
      <c r="N42" s="82" t="s">
        <v>166</v>
      </c>
      <c r="O42" s="82" t="s">
        <v>166</v>
      </c>
      <c r="P42" s="82" t="s">
        <v>166</v>
      </c>
      <c r="Q42" s="82" t="s">
        <v>166</v>
      </c>
      <c r="R42" s="82">
        <v>7</v>
      </c>
      <c r="S42" s="82" t="s">
        <v>166</v>
      </c>
      <c r="T42" s="82" t="s">
        <v>166</v>
      </c>
      <c r="U42" s="82" t="s">
        <v>166</v>
      </c>
      <c r="V42" s="82">
        <v>20</v>
      </c>
      <c r="W42" s="82" t="s">
        <v>166</v>
      </c>
      <c r="X42" s="82" t="s">
        <v>166</v>
      </c>
      <c r="Y42" s="82" t="s">
        <v>166</v>
      </c>
      <c r="Z42" s="82" t="s">
        <v>166</v>
      </c>
      <c r="AA42" s="82" t="s">
        <v>166</v>
      </c>
      <c r="AB42" s="82" t="s">
        <v>166</v>
      </c>
      <c r="AC42" s="82" t="s">
        <v>166</v>
      </c>
      <c r="AD42" s="82">
        <v>100</v>
      </c>
      <c r="AE42" s="82">
        <v>20</v>
      </c>
      <c r="AF42" s="82">
        <v>24</v>
      </c>
      <c r="AG42" s="82" t="s">
        <v>166</v>
      </c>
      <c r="AH42" s="82" t="s">
        <v>166</v>
      </c>
      <c r="AI42" s="82" t="s">
        <v>166</v>
      </c>
      <c r="AJ42" s="82" t="s">
        <v>166</v>
      </c>
      <c r="AK42" s="82" t="s">
        <v>166</v>
      </c>
      <c r="AL42" s="82" t="s">
        <v>166</v>
      </c>
      <c r="AM42" s="82">
        <v>6600</v>
      </c>
      <c r="AN42" s="82">
        <v>30000</v>
      </c>
      <c r="AO42" s="82">
        <v>13</v>
      </c>
      <c r="AP42" s="82">
        <v>120</v>
      </c>
      <c r="AQ42" s="82">
        <v>30</v>
      </c>
      <c r="AR42" s="82">
        <v>5000</v>
      </c>
      <c r="AS42" s="78">
        <v>5000</v>
      </c>
      <c r="AT42" s="82" t="s">
        <v>166</v>
      </c>
      <c r="AU42" s="82">
        <v>83</v>
      </c>
      <c r="AV42" s="82" t="s">
        <v>166</v>
      </c>
      <c r="AW42" s="82">
        <v>20</v>
      </c>
      <c r="AX42" s="82">
        <v>100</v>
      </c>
      <c r="AY42" s="82">
        <v>200</v>
      </c>
      <c r="AZ42" s="82" t="s">
        <v>166</v>
      </c>
      <c r="BA42" s="82">
        <v>250</v>
      </c>
      <c r="BB42" s="82">
        <v>600</v>
      </c>
      <c r="BC42" s="82" t="s">
        <v>166</v>
      </c>
      <c r="BD42" s="82" t="s">
        <v>166</v>
      </c>
      <c r="BE42" s="107"/>
    </row>
    <row r="43" spans="1:57" ht="15.75" customHeight="1">
      <c r="A43" s="66" t="s">
        <v>271</v>
      </c>
      <c r="B43" s="155">
        <v>6</v>
      </c>
      <c r="C43" s="155" t="s">
        <v>166</v>
      </c>
      <c r="D43" s="155" t="s">
        <v>166</v>
      </c>
      <c r="E43" s="155" t="s">
        <v>166</v>
      </c>
      <c r="F43" s="155" t="s">
        <v>166</v>
      </c>
      <c r="G43" s="155" t="s">
        <v>166</v>
      </c>
      <c r="H43" s="155" t="s">
        <v>166</v>
      </c>
      <c r="I43" s="155" t="s">
        <v>166</v>
      </c>
      <c r="J43" s="155" t="s">
        <v>166</v>
      </c>
      <c r="K43" s="155" t="s">
        <v>166</v>
      </c>
      <c r="L43" s="155" t="s">
        <v>166</v>
      </c>
      <c r="M43" s="155" t="s">
        <v>166</v>
      </c>
      <c r="N43" s="155" t="s">
        <v>166</v>
      </c>
      <c r="O43" s="155" t="s">
        <v>166</v>
      </c>
      <c r="P43" s="155" t="s">
        <v>166</v>
      </c>
      <c r="Q43" s="155" t="s">
        <v>166</v>
      </c>
      <c r="R43" s="155">
        <v>4.99</v>
      </c>
      <c r="S43" s="155" t="s">
        <v>166</v>
      </c>
      <c r="T43" s="155" t="s">
        <v>166</v>
      </c>
      <c r="U43" s="155" t="s">
        <v>166</v>
      </c>
      <c r="V43" s="155">
        <v>4.99</v>
      </c>
      <c r="W43" s="155" t="s">
        <v>166</v>
      </c>
      <c r="X43" s="155" t="s">
        <v>166</v>
      </c>
      <c r="Y43" s="155" t="s">
        <v>166</v>
      </c>
      <c r="Z43" s="155" t="s">
        <v>166</v>
      </c>
      <c r="AA43" s="155" t="s">
        <v>166</v>
      </c>
      <c r="AB43" s="155" t="s">
        <v>166</v>
      </c>
      <c r="AC43" s="155" t="s">
        <v>166</v>
      </c>
      <c r="AD43" s="155">
        <v>9.99</v>
      </c>
      <c r="AE43" s="155">
        <v>4.99</v>
      </c>
      <c r="AF43" s="155">
        <v>4.99</v>
      </c>
      <c r="AG43" s="155" t="s">
        <v>166</v>
      </c>
      <c r="AH43" s="155" t="s">
        <v>166</v>
      </c>
      <c r="AI43" s="155" t="s">
        <v>166</v>
      </c>
      <c r="AJ43" s="155" t="s">
        <v>166</v>
      </c>
      <c r="AK43" s="155" t="s">
        <v>166</v>
      </c>
      <c r="AL43" s="155" t="s">
        <v>166</v>
      </c>
      <c r="AM43" s="155">
        <v>4.99</v>
      </c>
      <c r="AN43" s="155">
        <v>9.99</v>
      </c>
      <c r="AO43" s="155">
        <v>4.99</v>
      </c>
      <c r="AP43" s="155">
        <v>4.99</v>
      </c>
      <c r="AQ43" s="155">
        <v>4.99</v>
      </c>
      <c r="AR43" s="155">
        <v>4.99</v>
      </c>
      <c r="AS43" s="156">
        <v>4.99</v>
      </c>
      <c r="AT43" s="155" t="s">
        <v>166</v>
      </c>
      <c r="AU43" s="155">
        <v>4.99</v>
      </c>
      <c r="AV43" s="155" t="s">
        <v>166</v>
      </c>
      <c r="AW43" s="155">
        <v>4.99</v>
      </c>
      <c r="AX43" s="155">
        <v>9.99</v>
      </c>
      <c r="AY43" s="155">
        <v>4.99</v>
      </c>
      <c r="AZ43" s="155" t="s">
        <v>166</v>
      </c>
      <c r="BA43" s="155">
        <v>4.99</v>
      </c>
      <c r="BB43" s="155">
        <v>4.99</v>
      </c>
      <c r="BC43" s="155" t="s">
        <v>166</v>
      </c>
      <c r="BD43" s="155" t="s">
        <v>166</v>
      </c>
      <c r="BE43" s="107"/>
    </row>
    <row r="44" spans="1:57" ht="15.75" customHeight="1">
      <c r="A44" s="66" t="s">
        <v>272</v>
      </c>
      <c r="B44" s="155">
        <f>IFERROR(B43/B42,0)</f>
        <v>0.15</v>
      </c>
      <c r="C44" s="155" t="s">
        <v>166</v>
      </c>
      <c r="D44" s="155" t="s">
        <v>166</v>
      </c>
      <c r="E44" s="155" t="s">
        <v>166</v>
      </c>
      <c r="F44" s="155" t="s">
        <v>166</v>
      </c>
      <c r="G44" s="155" t="s">
        <v>166</v>
      </c>
      <c r="H44" s="155" t="s">
        <v>166</v>
      </c>
      <c r="I44" s="155" t="s">
        <v>166</v>
      </c>
      <c r="J44" s="155" t="s">
        <v>166</v>
      </c>
      <c r="K44" s="155" t="s">
        <v>166</v>
      </c>
      <c r="L44" s="155" t="s">
        <v>166</v>
      </c>
      <c r="M44" s="155" t="s">
        <v>166</v>
      </c>
      <c r="N44" s="155" t="s">
        <v>166</v>
      </c>
      <c r="O44" s="155" t="s">
        <v>166</v>
      </c>
      <c r="P44" s="155" t="s">
        <v>166</v>
      </c>
      <c r="Q44" s="155" t="s">
        <v>166</v>
      </c>
      <c r="R44" s="155">
        <f>IFERROR(R43/R42,0)</f>
        <v>0.71285714285714286</v>
      </c>
      <c r="S44" s="155" t="s">
        <v>166</v>
      </c>
      <c r="T44" s="155" t="s">
        <v>166</v>
      </c>
      <c r="U44" s="155" t="s">
        <v>166</v>
      </c>
      <c r="V44" s="155">
        <f>IFERROR(V43/V42,0)</f>
        <v>0.2495</v>
      </c>
      <c r="W44" s="155" t="s">
        <v>166</v>
      </c>
      <c r="X44" s="155" t="s">
        <v>166</v>
      </c>
      <c r="Y44" s="155" t="s">
        <v>166</v>
      </c>
      <c r="Z44" s="155" t="s">
        <v>166</v>
      </c>
      <c r="AA44" s="155" t="s">
        <v>166</v>
      </c>
      <c r="AB44" s="155" t="s">
        <v>166</v>
      </c>
      <c r="AC44" s="155" t="s">
        <v>166</v>
      </c>
      <c r="AD44" s="155">
        <f t="shared" ref="AD44:AF44" si="0">IFERROR(AD43/AD42,0)</f>
        <v>9.9900000000000003E-2</v>
      </c>
      <c r="AE44" s="155">
        <f t="shared" si="0"/>
        <v>0.2495</v>
      </c>
      <c r="AF44" s="155">
        <f t="shared" si="0"/>
        <v>0.20791666666666667</v>
      </c>
      <c r="AG44" s="155" t="s">
        <v>166</v>
      </c>
      <c r="AH44" s="155" t="s">
        <v>166</v>
      </c>
      <c r="AI44" s="155" t="s">
        <v>166</v>
      </c>
      <c r="AJ44" s="155" t="s">
        <v>166</v>
      </c>
      <c r="AK44" s="155" t="s">
        <v>166</v>
      </c>
      <c r="AL44" s="155" t="s">
        <v>166</v>
      </c>
      <c r="AM44" s="155">
        <f t="shared" ref="AM44:AS44" si="1">IFERROR(AM43/AM42,0)</f>
        <v>7.5606060606060613E-4</v>
      </c>
      <c r="AN44" s="155">
        <f t="shared" si="1"/>
        <v>3.3300000000000002E-4</v>
      </c>
      <c r="AO44" s="155">
        <f t="shared" si="1"/>
        <v>0.38384615384615384</v>
      </c>
      <c r="AP44" s="155">
        <f t="shared" si="1"/>
        <v>4.1583333333333333E-2</v>
      </c>
      <c r="AQ44" s="155">
        <f t="shared" si="1"/>
        <v>0.16633333333333333</v>
      </c>
      <c r="AR44" s="157">
        <f t="shared" si="1"/>
        <v>9.9799999999999997E-4</v>
      </c>
      <c r="AS44" s="157">
        <f t="shared" si="1"/>
        <v>9.9799999999999997E-4</v>
      </c>
      <c r="AT44" s="155" t="s">
        <v>166</v>
      </c>
      <c r="AU44" s="155">
        <f>IFERROR(AU43/AU42,0)</f>
        <v>6.0120481927710849E-2</v>
      </c>
      <c r="AV44" s="155" t="s">
        <v>166</v>
      </c>
      <c r="AW44" s="155">
        <f t="shared" ref="AW44:AY44" si="2">IFERROR(AW43/AW42,0)</f>
        <v>0.2495</v>
      </c>
      <c r="AX44" s="155">
        <f t="shared" si="2"/>
        <v>9.9900000000000003E-2</v>
      </c>
      <c r="AY44" s="155">
        <f t="shared" si="2"/>
        <v>2.495E-2</v>
      </c>
      <c r="AZ44" s="155" t="s">
        <v>166</v>
      </c>
      <c r="BA44" s="155">
        <f t="shared" ref="BA44:BB44" si="3">IFERROR(BA43/BA42,0)</f>
        <v>1.9960000000000002E-2</v>
      </c>
      <c r="BB44" s="155">
        <f t="shared" si="3"/>
        <v>8.3166666666666667E-3</v>
      </c>
      <c r="BC44" s="155" t="s">
        <v>166</v>
      </c>
      <c r="BD44" s="155" t="s">
        <v>166</v>
      </c>
      <c r="BE44" s="158"/>
    </row>
    <row r="45" spans="1:57" ht="15.75" customHeight="1">
      <c r="A45" s="66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107"/>
    </row>
    <row r="46" spans="1:57" ht="15.75" customHeight="1">
      <c r="A46" s="66" t="s">
        <v>259</v>
      </c>
      <c r="B46" s="82" t="s">
        <v>263</v>
      </c>
      <c r="C46" s="82" t="s">
        <v>166</v>
      </c>
      <c r="D46" s="82" t="s">
        <v>166</v>
      </c>
      <c r="E46" s="82" t="s">
        <v>166</v>
      </c>
      <c r="F46" s="82" t="s">
        <v>166</v>
      </c>
      <c r="G46" s="82" t="s">
        <v>166</v>
      </c>
      <c r="H46" s="82" t="s">
        <v>166</v>
      </c>
      <c r="I46" s="82" t="s">
        <v>166</v>
      </c>
      <c r="J46" s="82" t="s">
        <v>166</v>
      </c>
      <c r="K46" s="82" t="s">
        <v>166</v>
      </c>
      <c r="L46" s="82" t="s">
        <v>166</v>
      </c>
      <c r="M46" s="82" t="s">
        <v>166</v>
      </c>
      <c r="N46" s="82" t="s">
        <v>166</v>
      </c>
      <c r="O46" s="82" t="s">
        <v>166</v>
      </c>
      <c r="P46" s="82" t="s">
        <v>166</v>
      </c>
      <c r="Q46" s="82" t="s">
        <v>166</v>
      </c>
      <c r="R46" s="82" t="s">
        <v>166</v>
      </c>
      <c r="S46" s="82" t="s">
        <v>166</v>
      </c>
      <c r="T46" s="82" t="s">
        <v>166</v>
      </c>
      <c r="U46" s="82" t="s">
        <v>166</v>
      </c>
      <c r="V46" s="82" t="s">
        <v>166</v>
      </c>
      <c r="W46" s="82" t="s">
        <v>166</v>
      </c>
      <c r="X46" s="82" t="s">
        <v>166</v>
      </c>
      <c r="Y46" s="82" t="s">
        <v>166</v>
      </c>
      <c r="Z46" s="82" t="s">
        <v>166</v>
      </c>
      <c r="AA46" s="82" t="s">
        <v>166</v>
      </c>
      <c r="AB46" s="82" t="s">
        <v>166</v>
      </c>
      <c r="AC46" s="82" t="s">
        <v>166</v>
      </c>
      <c r="AD46" s="82" t="s">
        <v>273</v>
      </c>
      <c r="AE46" s="82" t="s">
        <v>166</v>
      </c>
      <c r="AF46" s="82" t="s">
        <v>166</v>
      </c>
      <c r="AG46" s="82" t="s">
        <v>166</v>
      </c>
      <c r="AH46" s="82" t="s">
        <v>166</v>
      </c>
      <c r="AI46" s="82" t="s">
        <v>166</v>
      </c>
      <c r="AJ46" s="82" t="s">
        <v>274</v>
      </c>
      <c r="AK46" s="82" t="s">
        <v>274</v>
      </c>
      <c r="AL46" s="82" t="s">
        <v>166</v>
      </c>
      <c r="AM46" s="82" t="s">
        <v>266</v>
      </c>
      <c r="AN46" s="82" t="s">
        <v>266</v>
      </c>
      <c r="AO46" s="82" t="s">
        <v>166</v>
      </c>
      <c r="AP46" s="82" t="s">
        <v>275</v>
      </c>
      <c r="AQ46" s="82" t="s">
        <v>276</v>
      </c>
      <c r="AR46" s="82" t="s">
        <v>166</v>
      </c>
      <c r="AS46" s="78" t="s">
        <v>277</v>
      </c>
      <c r="AT46" s="82" t="s">
        <v>166</v>
      </c>
      <c r="AU46" s="82" t="s">
        <v>166</v>
      </c>
      <c r="AV46" s="82" t="s">
        <v>166</v>
      </c>
      <c r="AW46" s="82" t="s">
        <v>166</v>
      </c>
      <c r="AX46" s="82" t="s">
        <v>166</v>
      </c>
      <c r="AY46" s="82" t="s">
        <v>166</v>
      </c>
      <c r="AZ46" s="82" t="s">
        <v>166</v>
      </c>
      <c r="BA46" s="82" t="s">
        <v>166</v>
      </c>
      <c r="BB46" s="82" t="s">
        <v>166</v>
      </c>
      <c r="BC46" s="82" t="s">
        <v>166</v>
      </c>
      <c r="BD46" s="82" t="s">
        <v>166</v>
      </c>
      <c r="BE46" s="107"/>
    </row>
    <row r="47" spans="1:57" ht="15.75" customHeight="1">
      <c r="A47" s="66" t="s">
        <v>270</v>
      </c>
      <c r="B47" s="82">
        <v>93</v>
      </c>
      <c r="C47" s="82" t="s">
        <v>166</v>
      </c>
      <c r="D47" s="82" t="s">
        <v>166</v>
      </c>
      <c r="E47" s="82" t="s">
        <v>166</v>
      </c>
      <c r="F47" s="82" t="s">
        <v>166</v>
      </c>
      <c r="G47" s="82" t="s">
        <v>166</v>
      </c>
      <c r="H47" s="82" t="s">
        <v>166</v>
      </c>
      <c r="I47" s="82" t="s">
        <v>166</v>
      </c>
      <c r="J47" s="82" t="s">
        <v>166</v>
      </c>
      <c r="K47" s="82" t="s">
        <v>166</v>
      </c>
      <c r="L47" s="82" t="s">
        <v>166</v>
      </c>
      <c r="M47" s="82" t="s">
        <v>166</v>
      </c>
      <c r="N47" s="82" t="s">
        <v>166</v>
      </c>
      <c r="O47" s="82" t="s">
        <v>166</v>
      </c>
      <c r="P47" s="82" t="s">
        <v>166</v>
      </c>
      <c r="Q47" s="82" t="s">
        <v>166</v>
      </c>
      <c r="R47" s="82" t="s">
        <v>166</v>
      </c>
      <c r="S47" s="82" t="s">
        <v>166</v>
      </c>
      <c r="T47" s="82" t="s">
        <v>166</v>
      </c>
      <c r="U47" s="82" t="s">
        <v>166</v>
      </c>
      <c r="V47" s="82" t="s">
        <v>166</v>
      </c>
      <c r="W47" s="82" t="s">
        <v>166</v>
      </c>
      <c r="X47" s="82" t="s">
        <v>166</v>
      </c>
      <c r="Y47" s="82" t="s">
        <v>166</v>
      </c>
      <c r="Z47" s="82" t="s">
        <v>166</v>
      </c>
      <c r="AA47" s="82" t="s">
        <v>166</v>
      </c>
      <c r="AB47" s="82" t="s">
        <v>166</v>
      </c>
      <c r="AC47" s="82" t="s">
        <v>166</v>
      </c>
      <c r="AD47" s="82">
        <v>1000</v>
      </c>
      <c r="AE47" s="82" t="s">
        <v>166</v>
      </c>
      <c r="AF47" s="82" t="s">
        <v>166</v>
      </c>
      <c r="AG47" s="82" t="s">
        <v>166</v>
      </c>
      <c r="AH47" s="82" t="s">
        <v>166</v>
      </c>
      <c r="AI47" s="82" t="s">
        <v>166</v>
      </c>
      <c r="AJ47" s="82" t="s">
        <v>166</v>
      </c>
      <c r="AK47" s="82" t="s">
        <v>166</v>
      </c>
      <c r="AL47" s="82" t="s">
        <v>166</v>
      </c>
      <c r="AM47" s="82">
        <v>20</v>
      </c>
      <c r="AN47" s="82">
        <v>5</v>
      </c>
      <c r="AO47" s="82" t="s">
        <v>166</v>
      </c>
      <c r="AP47" s="82">
        <v>2900</v>
      </c>
      <c r="AQ47" s="82" t="s">
        <v>166</v>
      </c>
      <c r="AR47" s="82" t="s">
        <v>166</v>
      </c>
      <c r="AS47" s="78">
        <v>10</v>
      </c>
      <c r="AT47" s="82" t="s">
        <v>166</v>
      </c>
      <c r="AU47" s="82" t="s">
        <v>166</v>
      </c>
      <c r="AV47" s="82" t="s">
        <v>166</v>
      </c>
      <c r="AW47" s="82" t="s">
        <v>166</v>
      </c>
      <c r="AX47" s="82" t="s">
        <v>166</v>
      </c>
      <c r="AY47" s="82" t="s">
        <v>166</v>
      </c>
      <c r="AZ47" s="82" t="s">
        <v>166</v>
      </c>
      <c r="BA47" s="82" t="s">
        <v>166</v>
      </c>
      <c r="BB47" s="82" t="s">
        <v>166</v>
      </c>
      <c r="BC47" s="82" t="s">
        <v>166</v>
      </c>
      <c r="BD47" s="82" t="s">
        <v>166</v>
      </c>
      <c r="BE47" s="107"/>
    </row>
    <row r="48" spans="1:57" ht="15.75" customHeight="1">
      <c r="A48" s="66" t="s">
        <v>271</v>
      </c>
      <c r="B48" s="155">
        <v>5</v>
      </c>
      <c r="C48" s="155" t="s">
        <v>166</v>
      </c>
      <c r="D48" s="155" t="s">
        <v>166</v>
      </c>
      <c r="E48" s="155" t="s">
        <v>166</v>
      </c>
      <c r="F48" s="155" t="s">
        <v>166</v>
      </c>
      <c r="G48" s="155" t="s">
        <v>166</v>
      </c>
      <c r="H48" s="155" t="s">
        <v>166</v>
      </c>
      <c r="I48" s="155" t="s">
        <v>166</v>
      </c>
      <c r="J48" s="155" t="s">
        <v>166</v>
      </c>
      <c r="K48" s="155" t="s">
        <v>166</v>
      </c>
      <c r="L48" s="155" t="s">
        <v>166</v>
      </c>
      <c r="M48" s="155" t="s">
        <v>166</v>
      </c>
      <c r="N48" s="155" t="s">
        <v>166</v>
      </c>
      <c r="O48" s="155" t="s">
        <v>166</v>
      </c>
      <c r="P48" s="155" t="s">
        <v>166</v>
      </c>
      <c r="Q48" s="155" t="s">
        <v>166</v>
      </c>
      <c r="R48" s="155" t="s">
        <v>166</v>
      </c>
      <c r="S48" s="155" t="s">
        <v>166</v>
      </c>
      <c r="T48" s="155" t="s">
        <v>166</v>
      </c>
      <c r="U48" s="155" t="s">
        <v>166</v>
      </c>
      <c r="V48" s="155" t="s">
        <v>166</v>
      </c>
      <c r="W48" s="155" t="s">
        <v>166</v>
      </c>
      <c r="X48" s="155" t="s">
        <v>166</v>
      </c>
      <c r="Y48" s="155" t="s">
        <v>166</v>
      </c>
      <c r="Z48" s="155" t="s">
        <v>166</v>
      </c>
      <c r="AA48" s="155" t="s">
        <v>166</v>
      </c>
      <c r="AB48" s="155" t="s">
        <v>166</v>
      </c>
      <c r="AC48" s="155" t="s">
        <v>166</v>
      </c>
      <c r="AD48" s="155">
        <v>14.99</v>
      </c>
      <c r="AE48" s="155" t="s">
        <v>166</v>
      </c>
      <c r="AF48" s="155" t="s">
        <v>166</v>
      </c>
      <c r="AG48" s="155" t="s">
        <v>166</v>
      </c>
      <c r="AH48" s="155" t="s">
        <v>166</v>
      </c>
      <c r="AI48" s="155" t="s">
        <v>166</v>
      </c>
      <c r="AJ48" s="155" t="s">
        <v>166</v>
      </c>
      <c r="AK48" s="155" t="s">
        <v>166</v>
      </c>
      <c r="AL48" s="155" t="s">
        <v>166</v>
      </c>
      <c r="AM48" s="155">
        <v>1.99</v>
      </c>
      <c r="AN48" s="155">
        <v>4.99</v>
      </c>
      <c r="AO48" s="155" t="s">
        <v>166</v>
      </c>
      <c r="AP48" s="155">
        <v>4.99</v>
      </c>
      <c r="AQ48" s="155" t="s">
        <v>166</v>
      </c>
      <c r="AR48" s="155" t="s">
        <v>166</v>
      </c>
      <c r="AS48" s="156">
        <v>2.99</v>
      </c>
      <c r="AT48" s="155" t="s">
        <v>166</v>
      </c>
      <c r="AU48" s="155" t="s">
        <v>166</v>
      </c>
      <c r="AV48" s="155" t="s">
        <v>166</v>
      </c>
      <c r="AW48" s="155" t="s">
        <v>166</v>
      </c>
      <c r="AX48" s="155" t="s">
        <v>166</v>
      </c>
      <c r="AY48" s="155" t="s">
        <v>166</v>
      </c>
      <c r="AZ48" s="155" t="s">
        <v>166</v>
      </c>
      <c r="BA48" s="155" t="s">
        <v>166</v>
      </c>
      <c r="BB48" s="155" t="s">
        <v>166</v>
      </c>
      <c r="BC48" s="155" t="s">
        <v>166</v>
      </c>
      <c r="BD48" s="155" t="s">
        <v>166</v>
      </c>
      <c r="BE48" s="107"/>
    </row>
    <row r="49" spans="1:57" ht="15.75" customHeight="1">
      <c r="A49" s="66" t="s">
        <v>272</v>
      </c>
      <c r="B49" s="157">
        <f>IFERROR(B48/B47,0)</f>
        <v>5.3763440860215055E-2</v>
      </c>
      <c r="C49" s="155" t="s">
        <v>166</v>
      </c>
      <c r="D49" s="155" t="s">
        <v>166</v>
      </c>
      <c r="E49" s="155" t="s">
        <v>166</v>
      </c>
      <c r="F49" s="155" t="s">
        <v>166</v>
      </c>
      <c r="G49" s="155" t="s">
        <v>166</v>
      </c>
      <c r="H49" s="155" t="s">
        <v>166</v>
      </c>
      <c r="I49" s="155" t="s">
        <v>166</v>
      </c>
      <c r="J49" s="155" t="s">
        <v>166</v>
      </c>
      <c r="K49" s="155" t="s">
        <v>166</v>
      </c>
      <c r="L49" s="155" t="s">
        <v>166</v>
      </c>
      <c r="M49" s="155" t="s">
        <v>166</v>
      </c>
      <c r="N49" s="155" t="s">
        <v>166</v>
      </c>
      <c r="O49" s="155" t="s">
        <v>166</v>
      </c>
      <c r="P49" s="155" t="s">
        <v>166</v>
      </c>
      <c r="Q49" s="155" t="s">
        <v>166</v>
      </c>
      <c r="R49" s="155" t="s">
        <v>166</v>
      </c>
      <c r="S49" s="155" t="s">
        <v>166</v>
      </c>
      <c r="T49" s="155" t="s">
        <v>166</v>
      </c>
      <c r="U49" s="155" t="s">
        <v>166</v>
      </c>
      <c r="V49" s="155" t="s">
        <v>166</v>
      </c>
      <c r="W49" s="155" t="s">
        <v>166</v>
      </c>
      <c r="X49" s="155" t="s">
        <v>166</v>
      </c>
      <c r="Y49" s="155" t="s">
        <v>166</v>
      </c>
      <c r="Z49" s="155" t="s">
        <v>166</v>
      </c>
      <c r="AA49" s="155" t="s">
        <v>166</v>
      </c>
      <c r="AB49" s="155" t="s">
        <v>166</v>
      </c>
      <c r="AC49" s="155" t="s">
        <v>166</v>
      </c>
      <c r="AD49" s="155">
        <f>IFERROR(AD48/AD47,0)</f>
        <v>1.499E-2</v>
      </c>
      <c r="AE49" s="155" t="s">
        <v>166</v>
      </c>
      <c r="AF49" s="155" t="s">
        <v>166</v>
      </c>
      <c r="AG49" s="155" t="s">
        <v>166</v>
      </c>
      <c r="AH49" s="155" t="s">
        <v>166</v>
      </c>
      <c r="AI49" s="155" t="s">
        <v>166</v>
      </c>
      <c r="AJ49" s="155" t="s">
        <v>166</v>
      </c>
      <c r="AK49" s="155" t="s">
        <v>166</v>
      </c>
      <c r="AL49" s="155" t="s">
        <v>166</v>
      </c>
      <c r="AM49" s="155">
        <f t="shared" ref="AM49:AN49" si="4">IFERROR(AM48/AM47,0)</f>
        <v>9.9500000000000005E-2</v>
      </c>
      <c r="AN49" s="155">
        <f t="shared" si="4"/>
        <v>0.998</v>
      </c>
      <c r="AO49" s="155" t="s">
        <v>166</v>
      </c>
      <c r="AP49" s="157">
        <f>IFERROR(AP48/AP47,0)</f>
        <v>1.7206896551724138E-3</v>
      </c>
      <c r="AQ49" s="155" t="s">
        <v>166</v>
      </c>
      <c r="AR49" s="155" t="s">
        <v>166</v>
      </c>
      <c r="AS49" s="155">
        <f>IFERROR(AS48/AS47,0)</f>
        <v>0.29900000000000004</v>
      </c>
      <c r="AT49" s="155" t="s">
        <v>166</v>
      </c>
      <c r="AU49" s="155" t="s">
        <v>166</v>
      </c>
      <c r="AV49" s="155" t="s">
        <v>166</v>
      </c>
      <c r="AW49" s="155" t="s">
        <v>166</v>
      </c>
      <c r="AX49" s="155" t="s">
        <v>166</v>
      </c>
      <c r="AY49" s="155" t="s">
        <v>166</v>
      </c>
      <c r="AZ49" s="155" t="s">
        <v>166</v>
      </c>
      <c r="BA49" s="155" t="s">
        <v>166</v>
      </c>
      <c r="BB49" s="155" t="s">
        <v>166</v>
      </c>
      <c r="BC49" s="155" t="s">
        <v>166</v>
      </c>
      <c r="BD49" s="155" t="s">
        <v>166</v>
      </c>
      <c r="BE49" s="107"/>
    </row>
    <row r="50" spans="1:57" ht="15.75" customHeight="1">
      <c r="A50" s="66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107"/>
    </row>
    <row r="51" spans="1:57" ht="15.75" customHeight="1">
      <c r="A51" s="66" t="s">
        <v>259</v>
      </c>
      <c r="B51" s="82" t="s">
        <v>166</v>
      </c>
      <c r="C51" s="82" t="s">
        <v>166</v>
      </c>
      <c r="D51" s="82" t="s">
        <v>166</v>
      </c>
      <c r="E51" s="82" t="s">
        <v>166</v>
      </c>
      <c r="F51" s="82" t="s">
        <v>166</v>
      </c>
      <c r="G51" s="82" t="s">
        <v>166</v>
      </c>
      <c r="H51" s="82" t="s">
        <v>166</v>
      </c>
      <c r="I51" s="82" t="s">
        <v>166</v>
      </c>
      <c r="J51" s="82" t="s">
        <v>166</v>
      </c>
      <c r="K51" s="82" t="s">
        <v>166</v>
      </c>
      <c r="L51" s="82" t="s">
        <v>166</v>
      </c>
      <c r="M51" s="82" t="s">
        <v>166</v>
      </c>
      <c r="N51" s="82" t="s">
        <v>166</v>
      </c>
      <c r="O51" s="82" t="s">
        <v>166</v>
      </c>
      <c r="P51" s="82" t="s">
        <v>166</v>
      </c>
      <c r="Q51" s="82" t="s">
        <v>166</v>
      </c>
      <c r="R51" s="82" t="s">
        <v>166</v>
      </c>
      <c r="S51" s="82" t="s">
        <v>166</v>
      </c>
      <c r="T51" s="82" t="s">
        <v>166</v>
      </c>
      <c r="U51" s="82" t="s">
        <v>166</v>
      </c>
      <c r="V51" s="82" t="s">
        <v>166</v>
      </c>
      <c r="W51" s="82" t="s">
        <v>166</v>
      </c>
      <c r="X51" s="82" t="s">
        <v>166</v>
      </c>
      <c r="Y51" s="82" t="s">
        <v>166</v>
      </c>
      <c r="Z51" s="82" t="s">
        <v>166</v>
      </c>
      <c r="AA51" s="82" t="s">
        <v>166</v>
      </c>
      <c r="AB51" s="82" t="s">
        <v>166</v>
      </c>
      <c r="AC51" s="82" t="s">
        <v>166</v>
      </c>
      <c r="AD51" s="82" t="s">
        <v>166</v>
      </c>
      <c r="AE51" s="82" t="s">
        <v>166</v>
      </c>
      <c r="AF51" s="82" t="s">
        <v>166</v>
      </c>
      <c r="AG51" s="82" t="s">
        <v>166</v>
      </c>
      <c r="AH51" s="82" t="s">
        <v>166</v>
      </c>
      <c r="AI51" s="82" t="s">
        <v>166</v>
      </c>
      <c r="AJ51" s="82" t="s">
        <v>278</v>
      </c>
      <c r="AK51" s="82" t="s">
        <v>278</v>
      </c>
      <c r="AL51" s="82" t="s">
        <v>166</v>
      </c>
      <c r="AM51" s="82" t="s">
        <v>279</v>
      </c>
      <c r="AN51" s="82" t="s">
        <v>166</v>
      </c>
      <c r="AO51" s="82" t="s">
        <v>166</v>
      </c>
      <c r="AP51" s="82" t="s">
        <v>280</v>
      </c>
      <c r="AQ51" s="82" t="s">
        <v>166</v>
      </c>
      <c r="AR51" s="82" t="s">
        <v>166</v>
      </c>
      <c r="AS51" s="82" t="s">
        <v>166</v>
      </c>
      <c r="AT51" s="82" t="s">
        <v>166</v>
      </c>
      <c r="AU51" s="82" t="s">
        <v>166</v>
      </c>
      <c r="AV51" s="82" t="s">
        <v>166</v>
      </c>
      <c r="AW51" s="82" t="s">
        <v>166</v>
      </c>
      <c r="AX51" s="82" t="s">
        <v>166</v>
      </c>
      <c r="AY51" s="82" t="s">
        <v>166</v>
      </c>
      <c r="AZ51" s="82" t="s">
        <v>166</v>
      </c>
      <c r="BA51" s="82" t="s">
        <v>166</v>
      </c>
      <c r="BB51" s="82" t="s">
        <v>166</v>
      </c>
      <c r="BC51" s="82" t="s">
        <v>166</v>
      </c>
      <c r="BD51" s="82" t="s">
        <v>166</v>
      </c>
      <c r="BE51" s="107"/>
    </row>
    <row r="52" spans="1:57" ht="15.75" customHeight="1">
      <c r="A52" s="66" t="s">
        <v>270</v>
      </c>
      <c r="B52" s="82" t="s">
        <v>166</v>
      </c>
      <c r="C52" s="82" t="s">
        <v>166</v>
      </c>
      <c r="D52" s="82" t="s">
        <v>166</v>
      </c>
      <c r="E52" s="82" t="s">
        <v>166</v>
      </c>
      <c r="F52" s="82" t="s">
        <v>166</v>
      </c>
      <c r="G52" s="82" t="s">
        <v>166</v>
      </c>
      <c r="H52" s="82" t="s">
        <v>166</v>
      </c>
      <c r="I52" s="82" t="s">
        <v>166</v>
      </c>
      <c r="J52" s="82" t="s">
        <v>166</v>
      </c>
      <c r="K52" s="82" t="s">
        <v>166</v>
      </c>
      <c r="L52" s="82" t="s">
        <v>166</v>
      </c>
      <c r="M52" s="82" t="s">
        <v>166</v>
      </c>
      <c r="N52" s="82" t="s">
        <v>166</v>
      </c>
      <c r="O52" s="82" t="s">
        <v>166</v>
      </c>
      <c r="P52" s="82" t="s">
        <v>166</v>
      </c>
      <c r="Q52" s="82" t="s">
        <v>166</v>
      </c>
      <c r="R52" s="82" t="s">
        <v>166</v>
      </c>
      <c r="S52" s="82" t="s">
        <v>166</v>
      </c>
      <c r="T52" s="82" t="s">
        <v>166</v>
      </c>
      <c r="U52" s="82" t="s">
        <v>166</v>
      </c>
      <c r="V52" s="82" t="s">
        <v>166</v>
      </c>
      <c r="W52" s="82" t="s">
        <v>166</v>
      </c>
      <c r="X52" s="82" t="s">
        <v>166</v>
      </c>
      <c r="Y52" s="82" t="s">
        <v>166</v>
      </c>
      <c r="Z52" s="82" t="s">
        <v>166</v>
      </c>
      <c r="AA52" s="82" t="s">
        <v>166</v>
      </c>
      <c r="AB52" s="82" t="s">
        <v>166</v>
      </c>
      <c r="AC52" s="82" t="s">
        <v>166</v>
      </c>
      <c r="AD52" s="82" t="s">
        <v>166</v>
      </c>
      <c r="AE52" s="82" t="s">
        <v>166</v>
      </c>
      <c r="AF52" s="82" t="s">
        <v>166</v>
      </c>
      <c r="AG52" s="82" t="s">
        <v>166</v>
      </c>
      <c r="AH52" s="82" t="s">
        <v>166</v>
      </c>
      <c r="AI52" s="82" t="s">
        <v>166</v>
      </c>
      <c r="AJ52" s="82" t="s">
        <v>282</v>
      </c>
      <c r="AK52" s="82" t="s">
        <v>282</v>
      </c>
      <c r="AL52" s="82" t="s">
        <v>166</v>
      </c>
      <c r="AM52" s="82">
        <v>1</v>
      </c>
      <c r="AN52" s="82" t="s">
        <v>166</v>
      </c>
      <c r="AO52" s="82" t="s">
        <v>166</v>
      </c>
      <c r="AP52" s="82">
        <v>1</v>
      </c>
      <c r="AQ52" s="82" t="s">
        <v>166</v>
      </c>
      <c r="AR52" s="82" t="s">
        <v>166</v>
      </c>
      <c r="AS52" s="82" t="s">
        <v>166</v>
      </c>
      <c r="AT52" s="82" t="s">
        <v>166</v>
      </c>
      <c r="AU52" s="82" t="s">
        <v>166</v>
      </c>
      <c r="AV52" s="82" t="s">
        <v>166</v>
      </c>
      <c r="AW52" s="82" t="s">
        <v>166</v>
      </c>
      <c r="AX52" s="82" t="s">
        <v>166</v>
      </c>
      <c r="AY52" s="82" t="s">
        <v>166</v>
      </c>
      <c r="AZ52" s="82" t="s">
        <v>166</v>
      </c>
      <c r="BA52" s="82" t="s">
        <v>166</v>
      </c>
      <c r="BB52" s="82" t="s">
        <v>166</v>
      </c>
      <c r="BC52" s="82" t="s">
        <v>166</v>
      </c>
      <c r="BD52" s="82" t="s">
        <v>166</v>
      </c>
      <c r="BE52" s="107"/>
    </row>
    <row r="53" spans="1:57" ht="15.75" customHeight="1">
      <c r="A53" s="66" t="s">
        <v>271</v>
      </c>
      <c r="B53" s="82" t="s">
        <v>166</v>
      </c>
      <c r="C53" s="82" t="s">
        <v>166</v>
      </c>
      <c r="D53" s="82" t="s">
        <v>166</v>
      </c>
      <c r="E53" s="82" t="s">
        <v>166</v>
      </c>
      <c r="F53" s="82" t="s">
        <v>166</v>
      </c>
      <c r="G53" s="82" t="s">
        <v>166</v>
      </c>
      <c r="H53" s="82" t="s">
        <v>166</v>
      </c>
      <c r="I53" s="82" t="s">
        <v>166</v>
      </c>
      <c r="J53" s="82" t="s">
        <v>166</v>
      </c>
      <c r="K53" s="82" t="s">
        <v>166</v>
      </c>
      <c r="L53" s="82" t="s">
        <v>166</v>
      </c>
      <c r="M53" s="82" t="s">
        <v>166</v>
      </c>
      <c r="N53" s="82" t="s">
        <v>166</v>
      </c>
      <c r="O53" s="82" t="s">
        <v>166</v>
      </c>
      <c r="P53" s="82" t="s">
        <v>166</v>
      </c>
      <c r="Q53" s="82" t="s">
        <v>166</v>
      </c>
      <c r="R53" s="82" t="s">
        <v>166</v>
      </c>
      <c r="S53" s="82" t="s">
        <v>166</v>
      </c>
      <c r="T53" s="82" t="s">
        <v>166</v>
      </c>
      <c r="U53" s="82" t="s">
        <v>166</v>
      </c>
      <c r="V53" s="82" t="s">
        <v>166</v>
      </c>
      <c r="W53" s="82" t="s">
        <v>166</v>
      </c>
      <c r="X53" s="82" t="s">
        <v>166</v>
      </c>
      <c r="Y53" s="82" t="s">
        <v>166</v>
      </c>
      <c r="Z53" s="82" t="s">
        <v>166</v>
      </c>
      <c r="AA53" s="82" t="s">
        <v>166</v>
      </c>
      <c r="AB53" s="82" t="s">
        <v>166</v>
      </c>
      <c r="AC53" s="82" t="s">
        <v>166</v>
      </c>
      <c r="AD53" s="82" t="s">
        <v>166</v>
      </c>
      <c r="AE53" s="82" t="s">
        <v>166</v>
      </c>
      <c r="AF53" s="82" t="s">
        <v>166</v>
      </c>
      <c r="AG53" s="82" t="s">
        <v>166</v>
      </c>
      <c r="AH53" s="82" t="s">
        <v>166</v>
      </c>
      <c r="AI53" s="82" t="s">
        <v>166</v>
      </c>
      <c r="AJ53" s="82" t="s">
        <v>282</v>
      </c>
      <c r="AK53" s="82" t="s">
        <v>282</v>
      </c>
      <c r="AL53" s="82" t="s">
        <v>166</v>
      </c>
      <c r="AM53" s="82">
        <f>5*(Inputs!AO26/Inputs!AO25)</f>
        <v>0.25</v>
      </c>
      <c r="AN53" s="82" t="s">
        <v>166</v>
      </c>
      <c r="AO53" s="82" t="s">
        <v>166</v>
      </c>
      <c r="AP53" s="159">
        <f>(AP43/AP42)*5</f>
        <v>0.20791666666666667</v>
      </c>
      <c r="AQ53" s="82" t="s">
        <v>166</v>
      </c>
      <c r="AR53" s="82" t="s">
        <v>166</v>
      </c>
      <c r="AS53" s="82" t="s">
        <v>166</v>
      </c>
      <c r="AT53" s="82" t="s">
        <v>166</v>
      </c>
      <c r="AU53" s="82" t="s">
        <v>166</v>
      </c>
      <c r="AV53" s="82" t="s">
        <v>166</v>
      </c>
      <c r="AW53" s="82" t="s">
        <v>166</v>
      </c>
      <c r="AX53" s="82" t="s">
        <v>166</v>
      </c>
      <c r="AY53" s="82" t="s">
        <v>166</v>
      </c>
      <c r="AZ53" s="82" t="s">
        <v>166</v>
      </c>
      <c r="BA53" s="82" t="s">
        <v>166</v>
      </c>
      <c r="BB53" s="82" t="s">
        <v>166</v>
      </c>
      <c r="BC53" s="82" t="s">
        <v>166</v>
      </c>
      <c r="BD53" s="82" t="s">
        <v>166</v>
      </c>
      <c r="BE53" s="107"/>
    </row>
    <row r="54" spans="1:57" ht="15.75" customHeight="1">
      <c r="A54" s="66" t="s">
        <v>272</v>
      </c>
      <c r="B54" s="82" t="s">
        <v>166</v>
      </c>
      <c r="C54" s="82" t="s">
        <v>166</v>
      </c>
      <c r="D54" s="82" t="s">
        <v>166</v>
      </c>
      <c r="E54" s="82" t="s">
        <v>166</v>
      </c>
      <c r="F54" s="82" t="s">
        <v>166</v>
      </c>
      <c r="G54" s="82" t="s">
        <v>166</v>
      </c>
      <c r="H54" s="82" t="s">
        <v>166</v>
      </c>
      <c r="I54" s="82" t="s">
        <v>166</v>
      </c>
      <c r="J54" s="82" t="s">
        <v>166</v>
      </c>
      <c r="K54" s="82" t="s">
        <v>166</v>
      </c>
      <c r="L54" s="82" t="s">
        <v>166</v>
      </c>
      <c r="M54" s="82" t="s">
        <v>166</v>
      </c>
      <c r="N54" s="82" t="s">
        <v>166</v>
      </c>
      <c r="O54" s="82" t="s">
        <v>166</v>
      </c>
      <c r="P54" s="82" t="s">
        <v>166</v>
      </c>
      <c r="Q54" s="82" t="s">
        <v>166</v>
      </c>
      <c r="R54" s="82" t="s">
        <v>166</v>
      </c>
      <c r="S54" s="82" t="s">
        <v>166</v>
      </c>
      <c r="T54" s="82" t="s">
        <v>166</v>
      </c>
      <c r="U54" s="82" t="s">
        <v>166</v>
      </c>
      <c r="V54" s="82" t="s">
        <v>166</v>
      </c>
      <c r="W54" s="82" t="s">
        <v>166</v>
      </c>
      <c r="X54" s="82" t="s">
        <v>166</v>
      </c>
      <c r="Y54" s="82" t="s">
        <v>166</v>
      </c>
      <c r="Z54" s="82" t="s">
        <v>166</v>
      </c>
      <c r="AA54" s="82" t="s">
        <v>166</v>
      </c>
      <c r="AB54" s="82" t="s">
        <v>166</v>
      </c>
      <c r="AC54" s="82" t="s">
        <v>166</v>
      </c>
      <c r="AD54" s="82" t="s">
        <v>166</v>
      </c>
      <c r="AE54" s="82" t="s">
        <v>166</v>
      </c>
      <c r="AF54" s="82" t="s">
        <v>166</v>
      </c>
      <c r="AG54" s="82" t="s">
        <v>166</v>
      </c>
      <c r="AH54" s="82" t="s">
        <v>166</v>
      </c>
      <c r="AI54" s="82" t="s">
        <v>166</v>
      </c>
      <c r="AJ54" s="82" t="s">
        <v>282</v>
      </c>
      <c r="AK54" s="82" t="s">
        <v>282</v>
      </c>
      <c r="AL54" s="82" t="s">
        <v>166</v>
      </c>
      <c r="AM54" s="82">
        <f>IFERROR(AM53/AM52,0)</f>
        <v>0.25</v>
      </c>
      <c r="AN54" s="82" t="s">
        <v>166</v>
      </c>
      <c r="AO54" s="82" t="s">
        <v>166</v>
      </c>
      <c r="AP54" s="159">
        <f>IFERROR(AP53/AP52,0)</f>
        <v>0.20791666666666667</v>
      </c>
      <c r="AQ54" s="82" t="s">
        <v>166</v>
      </c>
      <c r="AR54" s="82" t="s">
        <v>166</v>
      </c>
      <c r="AS54" s="82" t="s">
        <v>166</v>
      </c>
      <c r="AT54" s="82" t="s">
        <v>166</v>
      </c>
      <c r="AU54" s="82" t="s">
        <v>166</v>
      </c>
      <c r="AV54" s="82" t="s">
        <v>166</v>
      </c>
      <c r="AW54" s="82" t="s">
        <v>166</v>
      </c>
      <c r="AX54" s="82" t="s">
        <v>166</v>
      </c>
      <c r="AY54" s="82" t="s">
        <v>166</v>
      </c>
      <c r="AZ54" s="82" t="s">
        <v>166</v>
      </c>
      <c r="BA54" s="82" t="s">
        <v>166</v>
      </c>
      <c r="BB54" s="82" t="s">
        <v>166</v>
      </c>
      <c r="BC54" s="82" t="s">
        <v>166</v>
      </c>
      <c r="BD54" s="82" t="s">
        <v>166</v>
      </c>
      <c r="BE54" s="107"/>
    </row>
    <row r="55" spans="1:57" ht="15.75" customHeight="1">
      <c r="A55" s="95"/>
      <c r="B55" s="97"/>
      <c r="C55" s="97"/>
      <c r="D55" s="97"/>
      <c r="E55" s="97"/>
      <c r="F55" s="97"/>
      <c r="G55" s="97"/>
      <c r="H55" s="97"/>
      <c r="I55" s="97"/>
      <c r="J55" s="142"/>
      <c r="K55" s="142"/>
      <c r="L55" s="97"/>
      <c r="M55" s="142"/>
      <c r="N55" s="142"/>
      <c r="O55" s="97"/>
      <c r="P55" s="97"/>
      <c r="Q55" s="97"/>
      <c r="R55" s="97"/>
      <c r="S55" s="97"/>
      <c r="T55" s="142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142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9"/>
    </row>
    <row r="56" spans="1:57" ht="15.75" customHeight="1">
      <c r="A56" s="95"/>
      <c r="B56" s="97"/>
      <c r="C56" s="97"/>
      <c r="D56" s="97"/>
      <c r="E56" s="97"/>
      <c r="F56" s="97"/>
      <c r="G56" s="97"/>
      <c r="H56" s="97" t="s">
        <v>283</v>
      </c>
      <c r="I56" s="97"/>
      <c r="J56" s="142"/>
      <c r="K56" s="97"/>
      <c r="L56" s="97"/>
      <c r="M56" s="97" t="s">
        <v>283</v>
      </c>
      <c r="N56" s="142"/>
      <c r="O56" s="97"/>
      <c r="P56" s="82" t="s">
        <v>284</v>
      </c>
      <c r="Q56" s="97"/>
      <c r="R56" s="97"/>
      <c r="S56" s="97"/>
      <c r="T56" s="142"/>
      <c r="U56" s="97"/>
      <c r="V56" s="97"/>
      <c r="W56" s="97"/>
      <c r="X56" s="97"/>
      <c r="Y56" s="97"/>
      <c r="Z56" s="97"/>
      <c r="AB56" s="97"/>
      <c r="AC56" s="97"/>
      <c r="AD56" s="97"/>
      <c r="AE56" s="97"/>
      <c r="AF56" s="97"/>
      <c r="AG56" s="97"/>
      <c r="AH56" s="97"/>
      <c r="AI56" s="142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82"/>
      <c r="BD56" s="82"/>
      <c r="BE56" s="99"/>
    </row>
    <row r="57" spans="1:57" ht="15.75" customHeight="1">
      <c r="A57" s="95"/>
      <c r="B57" s="97"/>
      <c r="C57" s="97"/>
      <c r="D57" s="97"/>
      <c r="E57" s="97"/>
      <c r="F57" s="97"/>
      <c r="G57" s="97"/>
      <c r="H57" s="97" t="s">
        <v>285</v>
      </c>
      <c r="I57" s="97"/>
      <c r="J57" s="142"/>
      <c r="K57" s="97"/>
      <c r="L57" s="97"/>
      <c r="M57" s="142" t="s">
        <v>286</v>
      </c>
      <c r="N57" s="142"/>
      <c r="O57" s="97"/>
      <c r="P57" s="68">
        <v>250000</v>
      </c>
      <c r="Q57" s="97"/>
      <c r="R57" s="97"/>
      <c r="S57" s="97"/>
      <c r="T57" s="142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142"/>
      <c r="AJ57" s="97"/>
      <c r="AK57" s="97"/>
      <c r="AL57" s="97"/>
      <c r="AM57" s="97"/>
      <c r="AN57" s="97"/>
      <c r="AO57" s="160" t="s">
        <v>287</v>
      </c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9"/>
    </row>
    <row r="58" spans="1:57" ht="15.75" customHeight="1">
      <c r="A58" s="161" t="s">
        <v>288</v>
      </c>
      <c r="B58" s="97"/>
      <c r="C58" s="160" t="s">
        <v>289</v>
      </c>
      <c r="D58" s="97"/>
      <c r="E58" s="160" t="s">
        <v>286</v>
      </c>
      <c r="F58" s="160" t="s">
        <v>290</v>
      </c>
      <c r="G58" s="97"/>
      <c r="H58" s="97" t="s">
        <v>291</v>
      </c>
      <c r="I58" s="97"/>
      <c r="J58" s="142"/>
      <c r="K58" s="97"/>
      <c r="L58" s="97"/>
      <c r="M58" s="97" t="s">
        <v>292</v>
      </c>
      <c r="N58" s="97"/>
      <c r="O58" s="97"/>
      <c r="P58" s="68">
        <f t="shared" ref="P58:P62" si="5">3750000/5</f>
        <v>750000</v>
      </c>
      <c r="Q58" s="160" t="s">
        <v>293</v>
      </c>
      <c r="R58" s="97"/>
      <c r="S58" s="97"/>
      <c r="T58" s="142"/>
      <c r="U58" s="160" t="s">
        <v>286</v>
      </c>
      <c r="V58" s="160" t="s">
        <v>293</v>
      </c>
      <c r="W58" s="160" t="s">
        <v>286</v>
      </c>
      <c r="X58" s="160" t="s">
        <v>294</v>
      </c>
      <c r="Y58" s="160" t="s">
        <v>293</v>
      </c>
      <c r="Z58" s="160" t="s">
        <v>295</v>
      </c>
      <c r="AA58" s="142" t="s">
        <v>296</v>
      </c>
      <c r="AB58" s="160" t="s">
        <v>293</v>
      </c>
      <c r="AC58" s="162" t="s">
        <v>297</v>
      </c>
      <c r="AD58" s="160" t="s">
        <v>293</v>
      </c>
      <c r="AE58" s="160" t="s">
        <v>293</v>
      </c>
      <c r="AF58" s="160" t="s">
        <v>293</v>
      </c>
      <c r="AG58" s="163" t="s">
        <v>298</v>
      </c>
      <c r="AH58" s="160" t="s">
        <v>299</v>
      </c>
      <c r="AI58" s="164" t="s">
        <v>293</v>
      </c>
      <c r="AJ58" s="97"/>
      <c r="AK58" s="97"/>
      <c r="AL58" s="160" t="s">
        <v>286</v>
      </c>
      <c r="AM58" s="160" t="s">
        <v>300</v>
      </c>
      <c r="AN58" s="160">
        <v>300</v>
      </c>
      <c r="AO58" s="165">
        <f>AN58/Inputs!AO49</f>
        <v>15</v>
      </c>
      <c r="AP58" s="97"/>
      <c r="AQ58" s="97"/>
      <c r="AR58" s="97"/>
      <c r="AS58" s="97"/>
      <c r="AT58" s="97"/>
      <c r="AU58" s="116" t="s">
        <v>301</v>
      </c>
      <c r="AV58" s="97"/>
      <c r="AW58" s="97"/>
      <c r="AX58" s="97"/>
      <c r="AY58" s="97"/>
      <c r="AZ58" s="97"/>
      <c r="BA58" s="97"/>
      <c r="BB58" s="97"/>
      <c r="BC58" s="97"/>
      <c r="BD58" s="97"/>
      <c r="BE58" s="99"/>
    </row>
    <row r="59" spans="1:57" ht="15.75" customHeight="1">
      <c r="A59" s="95"/>
      <c r="B59" s="97"/>
      <c r="C59" s="160" t="s">
        <v>302</v>
      </c>
      <c r="D59" s="97"/>
      <c r="E59" s="160" t="s">
        <v>292</v>
      </c>
      <c r="F59" s="160" t="s">
        <v>303</v>
      </c>
      <c r="G59" s="97"/>
      <c r="H59" s="97" t="s">
        <v>304</v>
      </c>
      <c r="I59" s="97"/>
      <c r="J59" s="142"/>
      <c r="K59" s="97"/>
      <c r="L59" s="97"/>
      <c r="M59" s="97" t="s">
        <v>305</v>
      </c>
      <c r="N59" s="97"/>
      <c r="O59" s="97"/>
      <c r="P59" s="68">
        <f t="shared" si="5"/>
        <v>750000</v>
      </c>
      <c r="Q59" s="160" t="s">
        <v>306</v>
      </c>
      <c r="R59" s="97"/>
      <c r="S59" s="97"/>
      <c r="T59" s="142"/>
      <c r="U59" s="160" t="s">
        <v>307</v>
      </c>
      <c r="V59" s="160" t="s">
        <v>306</v>
      </c>
      <c r="W59" s="160" t="s">
        <v>292</v>
      </c>
      <c r="X59" s="160" t="s">
        <v>308</v>
      </c>
      <c r="Y59" s="160" t="s">
        <v>306</v>
      </c>
      <c r="Z59" s="160" t="s">
        <v>309</v>
      </c>
      <c r="AA59" s="97" t="s">
        <v>310</v>
      </c>
      <c r="AB59" s="160" t="s">
        <v>306</v>
      </c>
      <c r="AC59" s="162" t="s">
        <v>311</v>
      </c>
      <c r="AD59" s="160" t="s">
        <v>306</v>
      </c>
      <c r="AE59" s="160" t="s">
        <v>306</v>
      </c>
      <c r="AF59" s="160" t="s">
        <v>306</v>
      </c>
      <c r="AG59" s="163" t="s">
        <v>312</v>
      </c>
      <c r="AH59" s="160" t="s">
        <v>313</v>
      </c>
      <c r="AI59" s="160" t="s">
        <v>306</v>
      </c>
      <c r="AJ59" s="97"/>
      <c r="AK59" s="97"/>
      <c r="AL59" s="160" t="s">
        <v>292</v>
      </c>
      <c r="AM59" s="160" t="s">
        <v>314</v>
      </c>
      <c r="AN59" s="160">
        <v>50000</v>
      </c>
      <c r="AO59" s="165">
        <f>AN59/AN42*AN43</f>
        <v>16.650000000000002</v>
      </c>
      <c r="AP59" s="97"/>
      <c r="AQ59" s="97"/>
      <c r="AR59" s="166"/>
      <c r="AS59" s="166"/>
      <c r="AT59" s="97"/>
      <c r="AU59" s="167">
        <v>0.05</v>
      </c>
      <c r="AV59" s="97"/>
      <c r="AW59" s="97"/>
      <c r="AX59" s="97"/>
      <c r="AY59" s="97"/>
      <c r="AZ59" s="97"/>
      <c r="BA59" s="97"/>
      <c r="BB59" s="97"/>
      <c r="BC59" s="97"/>
      <c r="BD59" s="97"/>
      <c r="BE59" s="99"/>
    </row>
    <row r="60" spans="1:57" ht="15.75" customHeight="1">
      <c r="A60" s="95"/>
      <c r="B60" s="97"/>
      <c r="C60" s="160" t="s">
        <v>315</v>
      </c>
      <c r="D60" s="97"/>
      <c r="E60" s="160" t="s">
        <v>305</v>
      </c>
      <c r="F60" s="160" t="s">
        <v>316</v>
      </c>
      <c r="G60" s="97"/>
      <c r="H60" s="97" t="s">
        <v>317</v>
      </c>
      <c r="I60" s="97"/>
      <c r="J60" s="142"/>
      <c r="K60" s="97"/>
      <c r="L60" s="97"/>
      <c r="M60" s="97" t="s">
        <v>318</v>
      </c>
      <c r="N60" s="97"/>
      <c r="O60" s="97"/>
      <c r="P60" s="68">
        <f t="shared" si="5"/>
        <v>750000</v>
      </c>
      <c r="Q60" s="160" t="s">
        <v>319</v>
      </c>
      <c r="R60" s="97"/>
      <c r="S60" s="97"/>
      <c r="T60" s="97"/>
      <c r="U60" s="160" t="s">
        <v>320</v>
      </c>
      <c r="V60" s="160" t="s">
        <v>319</v>
      </c>
      <c r="W60" s="160" t="s">
        <v>305</v>
      </c>
      <c r="X60" s="160" t="s">
        <v>321</v>
      </c>
      <c r="Y60" s="160" t="s">
        <v>319</v>
      </c>
      <c r="Z60" s="160" t="s">
        <v>322</v>
      </c>
      <c r="AA60" s="97" t="s">
        <v>323</v>
      </c>
      <c r="AB60" s="160" t="s">
        <v>319</v>
      </c>
      <c r="AC60" s="162" t="s">
        <v>324</v>
      </c>
      <c r="AD60" s="160" t="s">
        <v>319</v>
      </c>
      <c r="AE60" s="160" t="s">
        <v>319</v>
      </c>
      <c r="AF60" s="160" t="s">
        <v>319</v>
      </c>
      <c r="AG60" s="163" t="s">
        <v>325</v>
      </c>
      <c r="AH60" s="160" t="s">
        <v>326</v>
      </c>
      <c r="AI60" s="160" t="s">
        <v>319</v>
      </c>
      <c r="AJ60" s="97"/>
      <c r="AK60" s="97"/>
      <c r="AL60" s="160" t="s">
        <v>305</v>
      </c>
      <c r="AM60" s="160" t="s">
        <v>327</v>
      </c>
      <c r="AN60" s="160">
        <v>30</v>
      </c>
      <c r="AO60" s="165">
        <f>AN60/AM47*AM48</f>
        <v>2.9849999999999999</v>
      </c>
      <c r="AP60" s="97"/>
      <c r="AQ60" s="97"/>
      <c r="AR60" s="97"/>
      <c r="AS60" s="97"/>
      <c r="AT60" s="97"/>
      <c r="AU60" s="167">
        <v>0.15</v>
      </c>
      <c r="AV60" s="97"/>
      <c r="AW60" s="97"/>
      <c r="AX60" s="97"/>
      <c r="AY60" s="97"/>
      <c r="AZ60" s="97"/>
      <c r="BA60" s="97"/>
      <c r="BB60" s="97"/>
      <c r="BC60" s="97"/>
      <c r="BD60" s="97"/>
      <c r="BE60" s="99"/>
    </row>
    <row r="61" spans="1:57" ht="15.75" customHeight="1">
      <c r="A61" s="95"/>
      <c r="B61" s="97"/>
      <c r="C61" s="160" t="s">
        <v>328</v>
      </c>
      <c r="D61" s="97"/>
      <c r="E61" s="160" t="s">
        <v>318</v>
      </c>
      <c r="F61" s="160" t="s">
        <v>329</v>
      </c>
      <c r="G61" s="97"/>
      <c r="H61" s="97" t="s">
        <v>330</v>
      </c>
      <c r="I61" s="97"/>
      <c r="J61" s="142"/>
      <c r="K61" s="97"/>
      <c r="L61" s="97"/>
      <c r="M61" s="97" t="s">
        <v>331</v>
      </c>
      <c r="N61" s="97"/>
      <c r="O61" s="97"/>
      <c r="P61" s="68">
        <f t="shared" si="5"/>
        <v>750000</v>
      </c>
      <c r="Q61" s="160" t="s">
        <v>332</v>
      </c>
      <c r="R61" s="97"/>
      <c r="S61" s="97"/>
      <c r="T61" s="97"/>
      <c r="U61" s="160" t="s">
        <v>332</v>
      </c>
      <c r="V61" s="160" t="s">
        <v>332</v>
      </c>
      <c r="W61" s="160" t="s">
        <v>318</v>
      </c>
      <c r="X61" s="160" t="s">
        <v>333</v>
      </c>
      <c r="Y61" s="160" t="s">
        <v>332</v>
      </c>
      <c r="Z61" s="160" t="s">
        <v>334</v>
      </c>
      <c r="AA61" s="97" t="s">
        <v>335</v>
      </c>
      <c r="AB61" s="160" t="s">
        <v>332</v>
      </c>
      <c r="AC61" s="162" t="s">
        <v>336</v>
      </c>
      <c r="AD61" s="160" t="s">
        <v>332</v>
      </c>
      <c r="AE61" s="160" t="s">
        <v>332</v>
      </c>
      <c r="AF61" s="160" t="s">
        <v>332</v>
      </c>
      <c r="AG61" s="163" t="s">
        <v>337</v>
      </c>
      <c r="AH61" s="160" t="s">
        <v>338</v>
      </c>
      <c r="AI61" s="160" t="s">
        <v>332</v>
      </c>
      <c r="AJ61" s="97"/>
      <c r="AK61" s="97"/>
      <c r="AL61" s="160" t="s">
        <v>318</v>
      </c>
      <c r="AM61" s="97"/>
      <c r="AN61" s="97"/>
      <c r="AO61" s="165">
        <f>SUM(AO58:AO60)</f>
        <v>34.635000000000005</v>
      </c>
      <c r="AP61" s="97"/>
      <c r="AQ61" s="97"/>
      <c r="AR61" s="97"/>
      <c r="AS61" s="97"/>
      <c r="AT61" s="97"/>
      <c r="AU61" s="167">
        <v>0.25</v>
      </c>
      <c r="AV61" s="97"/>
      <c r="AW61" s="97"/>
      <c r="AX61" s="97"/>
      <c r="AY61" s="97"/>
      <c r="AZ61" s="97"/>
      <c r="BA61" s="97"/>
      <c r="BB61" s="97" t="s">
        <v>339</v>
      </c>
      <c r="BC61" s="97"/>
      <c r="BD61" s="97"/>
      <c r="BE61" s="99"/>
    </row>
    <row r="62" spans="1:57" ht="15.75" customHeight="1">
      <c r="A62" s="95"/>
      <c r="B62" s="97"/>
      <c r="C62" s="160" t="s">
        <v>340</v>
      </c>
      <c r="D62" s="97"/>
      <c r="E62" s="160" t="s">
        <v>331</v>
      </c>
      <c r="F62" s="160" t="s">
        <v>341</v>
      </c>
      <c r="G62" s="97"/>
      <c r="H62" s="97"/>
      <c r="I62" s="97"/>
      <c r="J62" s="142"/>
      <c r="K62" s="142"/>
      <c r="L62" s="97"/>
      <c r="M62" s="142"/>
      <c r="N62" s="97"/>
      <c r="O62" s="97"/>
      <c r="P62" s="68">
        <f t="shared" si="5"/>
        <v>750000</v>
      </c>
      <c r="Q62" s="160" t="s">
        <v>342</v>
      </c>
      <c r="R62" s="97"/>
      <c r="S62" s="97"/>
      <c r="T62" s="97"/>
      <c r="U62" s="160" t="s">
        <v>342</v>
      </c>
      <c r="V62" s="160" t="s">
        <v>342</v>
      </c>
      <c r="W62" s="160" t="s">
        <v>331</v>
      </c>
      <c r="X62" s="160" t="s">
        <v>343</v>
      </c>
      <c r="Y62" s="160" t="s">
        <v>342</v>
      </c>
      <c r="Z62" s="160" t="s">
        <v>344</v>
      </c>
      <c r="AA62" s="137" t="s">
        <v>345</v>
      </c>
      <c r="AB62" s="160" t="s">
        <v>342</v>
      </c>
      <c r="AC62" s="162" t="s">
        <v>346</v>
      </c>
      <c r="AD62" s="160" t="s">
        <v>342</v>
      </c>
      <c r="AE62" s="160" t="s">
        <v>342</v>
      </c>
      <c r="AF62" s="160" t="s">
        <v>342</v>
      </c>
      <c r="AG62" s="163" t="s">
        <v>347</v>
      </c>
      <c r="AH62" s="160" t="s">
        <v>348</v>
      </c>
      <c r="AI62" s="160" t="s">
        <v>342</v>
      </c>
      <c r="AJ62" s="97"/>
      <c r="AK62" s="97"/>
      <c r="AL62" s="160" t="s">
        <v>349</v>
      </c>
      <c r="AM62" s="97"/>
      <c r="AN62" s="97"/>
      <c r="AO62" s="97"/>
      <c r="AP62" s="97"/>
      <c r="AQ62" s="97"/>
      <c r="AR62" s="97"/>
      <c r="AS62" s="97"/>
      <c r="AT62" s="97"/>
      <c r="AU62" s="167">
        <v>0.4</v>
      </c>
      <c r="AV62" s="97"/>
      <c r="AW62" s="97"/>
      <c r="AX62" s="97"/>
      <c r="AY62" s="97"/>
      <c r="AZ62" s="97"/>
      <c r="BA62" s="97"/>
      <c r="BB62" s="97">
        <v>863</v>
      </c>
      <c r="BC62" s="97"/>
      <c r="BD62" s="97"/>
      <c r="BE62" s="99"/>
    </row>
    <row r="63" spans="1:57" ht="15.75" customHeight="1">
      <c r="A63" s="95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68">
        <f t="shared" ref="P63:P81" si="6">14250000/19</f>
        <v>750000</v>
      </c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167">
        <v>0.55000000000000004</v>
      </c>
      <c r="AV63" s="97"/>
      <c r="AW63" s="97"/>
      <c r="AX63" s="97"/>
      <c r="AY63" s="97"/>
      <c r="AZ63" s="97"/>
      <c r="BA63" s="97"/>
      <c r="BB63" s="97">
        <f>(20000*24)</f>
        <v>480000</v>
      </c>
      <c r="BC63" s="97"/>
      <c r="BD63" s="97"/>
      <c r="BE63" s="99"/>
    </row>
    <row r="64" spans="1:57" ht="15.75" customHeight="1">
      <c r="A64" s="9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68">
        <f t="shared" si="6"/>
        <v>750000</v>
      </c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142"/>
      <c r="AV64" s="97"/>
      <c r="AW64" s="97"/>
      <c r="AX64" s="97"/>
      <c r="AY64" s="97"/>
      <c r="AZ64" s="97"/>
      <c r="BA64" s="97"/>
      <c r="BB64" s="97">
        <f>BB63/BB62</f>
        <v>556.19930475086903</v>
      </c>
      <c r="BC64" s="97"/>
      <c r="BD64" s="97"/>
      <c r="BE64" s="99"/>
    </row>
    <row r="65" spans="1:57" ht="15.75" customHeight="1">
      <c r="A65" s="95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68">
        <f t="shared" si="6"/>
        <v>750000</v>
      </c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160">
        <v>165000</v>
      </c>
      <c r="AV65" s="168"/>
      <c r="AW65" s="97"/>
      <c r="AX65" s="97"/>
      <c r="AY65" s="97"/>
      <c r="AZ65" s="97"/>
      <c r="BA65" s="97"/>
      <c r="BB65" s="97"/>
      <c r="BC65" s="97"/>
      <c r="BD65" s="97"/>
      <c r="BE65" s="99"/>
    </row>
    <row r="66" spans="1:57" ht="15.75" customHeight="1">
      <c r="A66" s="9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68">
        <f t="shared" si="6"/>
        <v>750000</v>
      </c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137"/>
      <c r="AV66" s="169">
        <f>AU65/1.05</f>
        <v>157142.85714285713</v>
      </c>
      <c r="AW66" s="97"/>
      <c r="AX66" s="97"/>
      <c r="AY66" s="97"/>
      <c r="AZ66" s="97"/>
      <c r="BA66" s="97"/>
      <c r="BB66" s="97"/>
      <c r="BC66" s="97"/>
      <c r="BD66" s="97"/>
      <c r="BE66" s="99"/>
    </row>
    <row r="67" spans="1:57" ht="15.75" customHeight="1">
      <c r="A67" s="95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68">
        <f t="shared" si="6"/>
        <v>750000</v>
      </c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137"/>
      <c r="AV67" s="169">
        <f>AV66*0.05</f>
        <v>7857.1428571428569</v>
      </c>
      <c r="AW67" s="97"/>
      <c r="AX67" s="97"/>
      <c r="AY67" s="97"/>
      <c r="AZ67" s="97"/>
      <c r="BA67" s="97"/>
      <c r="BB67" s="97"/>
      <c r="BC67" s="97"/>
      <c r="BD67" s="97"/>
      <c r="BE67" s="99"/>
    </row>
    <row r="68" spans="1:57" ht="15.75" customHeight="1">
      <c r="A68" s="95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68">
        <f t="shared" si="6"/>
        <v>750000</v>
      </c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169">
        <f>AV67+AV66</f>
        <v>165000</v>
      </c>
      <c r="AW68" s="97"/>
      <c r="AX68" s="97"/>
      <c r="AY68" s="97"/>
      <c r="AZ68" s="97"/>
      <c r="BA68" s="97"/>
      <c r="BB68" s="97"/>
      <c r="BC68" s="97"/>
      <c r="BD68" s="97"/>
      <c r="BE68" s="99"/>
    </row>
    <row r="69" spans="1:57" ht="15.75" customHeight="1">
      <c r="A69" s="95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68">
        <f t="shared" si="6"/>
        <v>750000</v>
      </c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9"/>
    </row>
    <row r="70" spans="1:57" ht="15.75" customHeight="1">
      <c r="A70" s="95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68">
        <f t="shared" si="6"/>
        <v>750000</v>
      </c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9"/>
    </row>
    <row r="71" spans="1:57" ht="15.75" customHeight="1">
      <c r="A71" s="95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68">
        <f t="shared" si="6"/>
        <v>750000</v>
      </c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9"/>
    </row>
    <row r="72" spans="1:57" ht="15.75" customHeight="1">
      <c r="A72" s="95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68">
        <f t="shared" si="6"/>
        <v>750000</v>
      </c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9"/>
    </row>
    <row r="73" spans="1:57" ht="15.75" customHeight="1">
      <c r="A73" s="95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68">
        <f t="shared" si="6"/>
        <v>750000</v>
      </c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9"/>
    </row>
    <row r="74" spans="1:57" ht="15.75" customHeight="1">
      <c r="A74" s="95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68">
        <f t="shared" si="6"/>
        <v>750000</v>
      </c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9"/>
    </row>
    <row r="75" spans="1:57" ht="15.75" customHeight="1">
      <c r="A75" s="95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68">
        <f t="shared" si="6"/>
        <v>750000</v>
      </c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9"/>
    </row>
    <row r="76" spans="1:57" ht="15.75" customHeight="1">
      <c r="A76" s="95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68">
        <f t="shared" si="6"/>
        <v>750000</v>
      </c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9"/>
    </row>
    <row r="77" spans="1:57" ht="15.75" customHeight="1">
      <c r="A77" s="95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68">
        <f t="shared" si="6"/>
        <v>750000</v>
      </c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9"/>
    </row>
    <row r="78" spans="1:57" ht="15.75" customHeight="1">
      <c r="A78" s="95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68">
        <f t="shared" si="6"/>
        <v>750000</v>
      </c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9"/>
    </row>
    <row r="79" spans="1:57" ht="15.75" customHeight="1">
      <c r="A79" s="95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68">
        <f t="shared" si="6"/>
        <v>750000</v>
      </c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9"/>
    </row>
    <row r="80" spans="1:57" ht="15.75" customHeight="1">
      <c r="A80" s="95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68">
        <f t="shared" si="6"/>
        <v>750000</v>
      </c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9"/>
    </row>
    <row r="81" spans="1:57" ht="15.75" customHeight="1">
      <c r="A81" s="95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68">
        <f t="shared" si="6"/>
        <v>750000</v>
      </c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9"/>
    </row>
    <row r="82" spans="1:57" ht="15.75" customHeight="1">
      <c r="A82" s="95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9"/>
    </row>
    <row r="83" spans="1:57" ht="15.75" customHeight="1">
      <c r="A83" s="95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68">
        <f>AVERAGE(P57:P66)</f>
        <v>700000</v>
      </c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9"/>
    </row>
    <row r="84" spans="1:57" ht="15.75" customHeight="1">
      <c r="A84" s="95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9"/>
    </row>
    <row r="85" spans="1:57" ht="15.75" customHeight="1">
      <c r="A85" s="95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9"/>
    </row>
    <row r="86" spans="1:57" ht="15.75" customHeight="1">
      <c r="A86" s="95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9"/>
    </row>
    <row r="87" spans="1:57" ht="15.75" customHeight="1">
      <c r="A87" s="95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9"/>
    </row>
    <row r="88" spans="1:57" ht="15.75" customHeight="1">
      <c r="A88" s="95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9"/>
    </row>
    <row r="89" spans="1:57" ht="15.75" customHeight="1">
      <c r="A89" s="95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9"/>
    </row>
    <row r="90" spans="1:57" ht="15.75" customHeight="1">
      <c r="A90" s="95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9"/>
    </row>
    <row r="91" spans="1:57" ht="15.75" customHeight="1">
      <c r="A91" s="95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9"/>
    </row>
    <row r="92" spans="1:57" ht="15.75" customHeight="1">
      <c r="A92" s="95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9"/>
    </row>
    <row r="93" spans="1:57" ht="15.75" customHeight="1">
      <c r="A93" s="95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9"/>
    </row>
    <row r="94" spans="1:57" ht="15.75" customHeight="1">
      <c r="A94" s="95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9"/>
    </row>
    <row r="95" spans="1:57" ht="15.75" customHeight="1">
      <c r="A95" s="95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9"/>
    </row>
    <row r="96" spans="1:57" ht="15.75" customHeight="1">
      <c r="A96" s="95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9"/>
    </row>
    <row r="97" spans="1:57" ht="15.75" customHeight="1">
      <c r="A97" s="95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9"/>
    </row>
    <row r="98" spans="1:57" ht="15.75" customHeight="1">
      <c r="A98" s="95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9"/>
    </row>
    <row r="99" spans="1:57" ht="15.75" customHeight="1">
      <c r="A99" s="95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9"/>
    </row>
    <row r="100" spans="1:57" ht="15.75" customHeight="1">
      <c r="A100" s="95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9"/>
    </row>
    <row r="101" spans="1:57" ht="15.75" customHeight="1">
      <c r="A101" s="95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9"/>
    </row>
    <row r="102" spans="1:57" ht="15.75" customHeight="1">
      <c r="A102" s="95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9"/>
    </row>
    <row r="103" spans="1:57" ht="15.75" customHeight="1">
      <c r="A103" s="95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9"/>
    </row>
    <row r="104" spans="1:57" ht="15.75" customHeight="1">
      <c r="A104" s="95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9"/>
    </row>
    <row r="105" spans="1:57" ht="15.75" customHeight="1">
      <c r="A105" s="95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9"/>
    </row>
    <row r="106" spans="1:57" ht="15.75" customHeight="1">
      <c r="A106" s="95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9"/>
    </row>
    <row r="107" spans="1:57" ht="15.75" customHeight="1">
      <c r="A107" s="95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9"/>
    </row>
    <row r="108" spans="1:57" ht="15.75" customHeight="1">
      <c r="A108" s="95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9"/>
    </row>
    <row r="109" spans="1:57" ht="15.75" customHeight="1">
      <c r="A109" s="95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9"/>
    </row>
    <row r="110" spans="1:57" ht="15.75" customHeight="1">
      <c r="A110" s="95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9"/>
    </row>
    <row r="111" spans="1:57" ht="15.75" customHeight="1">
      <c r="A111" s="95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9"/>
    </row>
    <row r="112" spans="1:57" ht="15.75" customHeight="1">
      <c r="A112" s="95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9"/>
    </row>
    <row r="113" spans="1:57" ht="15.75" customHeight="1">
      <c r="A113" s="95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9"/>
    </row>
    <row r="114" spans="1:57" ht="15.75" customHeight="1">
      <c r="A114" s="95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9"/>
    </row>
    <row r="115" spans="1:57" ht="15.75" customHeight="1">
      <c r="A115" s="95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9"/>
    </row>
    <row r="116" spans="1:57" ht="15.75" customHeight="1">
      <c r="A116" s="95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9"/>
    </row>
    <row r="117" spans="1:57" ht="15.75" customHeight="1">
      <c r="A117" s="95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9"/>
    </row>
    <row r="118" spans="1:57" ht="15.75" customHeight="1">
      <c r="A118" s="95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9"/>
    </row>
    <row r="119" spans="1:57" ht="15.75" customHeight="1">
      <c r="A119" s="95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9"/>
    </row>
    <row r="120" spans="1:57" ht="15.75" customHeight="1">
      <c r="A120" s="95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9"/>
    </row>
    <row r="121" spans="1:57" ht="15.75" customHeight="1">
      <c r="A121" s="95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9"/>
    </row>
    <row r="122" spans="1:57" ht="15.75" customHeight="1">
      <c r="A122" s="95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9"/>
    </row>
    <row r="123" spans="1:57" ht="15.75" customHeight="1">
      <c r="A123" s="95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9"/>
    </row>
    <row r="124" spans="1:57" ht="15.75" customHeight="1">
      <c r="A124" s="95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9"/>
    </row>
    <row r="125" spans="1:57" ht="15.75" customHeight="1">
      <c r="A125" s="95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9"/>
    </row>
    <row r="126" spans="1:57" ht="15.75" customHeight="1">
      <c r="A126" s="95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9"/>
    </row>
    <row r="127" spans="1:57" ht="15.75" customHeight="1">
      <c r="A127" s="95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9"/>
    </row>
    <row r="128" spans="1:57" ht="15.75" customHeight="1">
      <c r="A128" s="95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9"/>
    </row>
    <row r="129" spans="1:57" ht="15.75" customHeight="1">
      <c r="A129" s="95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9"/>
    </row>
    <row r="130" spans="1:57" ht="15.75" customHeight="1">
      <c r="A130" s="95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9"/>
    </row>
    <row r="131" spans="1:57" ht="15.75" customHeight="1">
      <c r="A131" s="95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9"/>
    </row>
    <row r="132" spans="1:57" ht="15.75" customHeight="1">
      <c r="A132" s="95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9"/>
    </row>
    <row r="133" spans="1:57" ht="15.75" customHeight="1">
      <c r="A133" s="95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9"/>
    </row>
    <row r="134" spans="1:57" ht="15.75" customHeight="1">
      <c r="A134" s="95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9"/>
    </row>
    <row r="135" spans="1:57" ht="15.75" customHeight="1">
      <c r="A135" s="95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9"/>
    </row>
    <row r="136" spans="1:57" ht="15.75" customHeight="1">
      <c r="A136" s="95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9"/>
    </row>
    <row r="137" spans="1:57" ht="15.75" customHeight="1">
      <c r="A137" s="95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9"/>
    </row>
    <row r="138" spans="1:57" ht="15.75" customHeight="1">
      <c r="A138" s="95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9"/>
    </row>
    <row r="139" spans="1:57" ht="15.75" customHeight="1">
      <c r="A139" s="95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9"/>
    </row>
    <row r="140" spans="1:57" ht="15.75" customHeight="1">
      <c r="A140" s="95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9"/>
    </row>
    <row r="141" spans="1:57" ht="15.75" customHeight="1">
      <c r="A141" s="95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9"/>
    </row>
    <row r="142" spans="1:57" ht="15.75" customHeight="1">
      <c r="A142" s="95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9"/>
    </row>
    <row r="143" spans="1:57" ht="15.75" customHeight="1">
      <c r="A143" s="95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9"/>
    </row>
    <row r="144" spans="1:57" ht="15.75" customHeight="1">
      <c r="A144" s="95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9"/>
    </row>
    <row r="145" spans="1:57" ht="15.75" customHeight="1">
      <c r="A145" s="95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9"/>
    </row>
    <row r="146" spans="1:57" ht="15.75" customHeight="1">
      <c r="A146" s="95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9"/>
    </row>
    <row r="147" spans="1:57" ht="15.75" customHeight="1">
      <c r="A147" s="95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9"/>
    </row>
    <row r="148" spans="1:57" ht="15.75" customHeight="1">
      <c r="A148" s="95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9"/>
    </row>
    <row r="149" spans="1:57" ht="15.75" customHeight="1">
      <c r="A149" s="95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9"/>
    </row>
    <row r="150" spans="1:57" ht="15.75" customHeight="1">
      <c r="A150" s="95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9"/>
    </row>
    <row r="151" spans="1:57" ht="15.75" customHeight="1">
      <c r="A151" s="95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9"/>
    </row>
    <row r="152" spans="1:57" ht="15.75" customHeight="1">
      <c r="A152" s="95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9"/>
    </row>
    <row r="153" spans="1:57" ht="15.75" customHeight="1">
      <c r="A153" s="95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9"/>
    </row>
    <row r="154" spans="1:57" ht="15.75" customHeight="1">
      <c r="A154" s="95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9"/>
    </row>
    <row r="155" spans="1:57" ht="15.75" customHeight="1">
      <c r="A155" s="95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9"/>
    </row>
    <row r="156" spans="1:57" ht="15.75" customHeight="1">
      <c r="A156" s="95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9"/>
    </row>
    <row r="157" spans="1:57" ht="15.75" customHeight="1">
      <c r="A157" s="95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9"/>
    </row>
    <row r="158" spans="1:57" ht="15.75" customHeight="1">
      <c r="A158" s="95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9"/>
    </row>
    <row r="159" spans="1:57" ht="15.75" customHeight="1">
      <c r="A159" s="95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9"/>
    </row>
    <row r="160" spans="1:57" ht="15.75" customHeight="1">
      <c r="A160" s="95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9"/>
    </row>
    <row r="161" spans="1:57" ht="15.75" customHeight="1">
      <c r="A161" s="95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9"/>
    </row>
    <row r="162" spans="1:57" ht="15.75" customHeight="1">
      <c r="A162" s="95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9"/>
    </row>
    <row r="163" spans="1:57" ht="15.75" customHeight="1">
      <c r="A163" s="95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9"/>
    </row>
    <row r="164" spans="1:57" ht="15.75" customHeight="1">
      <c r="A164" s="95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9"/>
    </row>
    <row r="165" spans="1:57" ht="15.75" customHeight="1">
      <c r="A165" s="95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9"/>
    </row>
    <row r="166" spans="1:57" ht="15.75" customHeight="1">
      <c r="A166" s="95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9"/>
    </row>
    <row r="167" spans="1:57" ht="15.75" customHeight="1">
      <c r="A167" s="95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9"/>
    </row>
    <row r="168" spans="1:57" ht="15.75" customHeight="1">
      <c r="A168" s="95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9"/>
    </row>
    <row r="169" spans="1:57" ht="15.75" customHeight="1">
      <c r="A169" s="95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9"/>
    </row>
    <row r="170" spans="1:57" ht="15.75" customHeight="1">
      <c r="A170" s="95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9"/>
    </row>
    <row r="171" spans="1:57" ht="15.75" customHeight="1">
      <c r="A171" s="95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9"/>
    </row>
    <row r="172" spans="1:57" ht="15.75" customHeight="1">
      <c r="A172" s="95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9"/>
    </row>
    <row r="173" spans="1:57" ht="15.75" customHeight="1">
      <c r="A173" s="95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9"/>
    </row>
    <row r="174" spans="1:57" ht="15.75" customHeight="1">
      <c r="A174" s="95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9"/>
    </row>
    <row r="175" spans="1:57" ht="15.75" customHeight="1">
      <c r="A175" s="95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9"/>
    </row>
    <row r="176" spans="1:57" ht="15.75" customHeight="1">
      <c r="A176" s="95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9"/>
    </row>
    <row r="177" spans="1:57" ht="15.75" customHeight="1">
      <c r="A177" s="95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9"/>
    </row>
    <row r="178" spans="1:57" ht="15.75" customHeight="1">
      <c r="A178" s="95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9"/>
    </row>
    <row r="179" spans="1:57" ht="15.75" customHeight="1">
      <c r="A179" s="95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9"/>
    </row>
    <row r="180" spans="1:57" ht="15.75" customHeight="1">
      <c r="A180" s="95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9"/>
    </row>
    <row r="181" spans="1:57" ht="15.75" customHeight="1">
      <c r="A181" s="95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9"/>
    </row>
    <row r="182" spans="1:57" ht="15.75" customHeight="1">
      <c r="A182" s="95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9"/>
    </row>
    <row r="183" spans="1:57" ht="15.75" customHeight="1">
      <c r="A183" s="95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9"/>
    </row>
    <row r="184" spans="1:57" ht="15.75" customHeight="1">
      <c r="A184" s="95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9"/>
    </row>
    <row r="185" spans="1:57" ht="15.75" customHeight="1">
      <c r="A185" s="95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9"/>
    </row>
    <row r="186" spans="1:57" ht="15.75" customHeight="1">
      <c r="A186" s="95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9"/>
    </row>
    <row r="187" spans="1:57" ht="15.75" customHeight="1">
      <c r="A187" s="95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9"/>
    </row>
    <row r="188" spans="1:57" ht="15.75" customHeight="1">
      <c r="A188" s="95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9"/>
    </row>
    <row r="189" spans="1:57" ht="15.75" customHeight="1">
      <c r="A189" s="95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9"/>
    </row>
    <row r="190" spans="1:57" ht="15.75" customHeight="1">
      <c r="A190" s="95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9"/>
    </row>
    <row r="191" spans="1:57" ht="15.75" customHeight="1">
      <c r="A191" s="95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9"/>
    </row>
    <row r="192" spans="1:57" ht="15.75" customHeight="1">
      <c r="A192" s="95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9"/>
    </row>
    <row r="193" spans="1:57" ht="15.75" customHeight="1">
      <c r="A193" s="95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9"/>
    </row>
    <row r="194" spans="1:57" ht="15.75" customHeight="1">
      <c r="A194" s="95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9"/>
    </row>
    <row r="195" spans="1:57" ht="15.75" customHeight="1">
      <c r="A195" s="95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9"/>
    </row>
    <row r="196" spans="1:57" ht="15.75" customHeight="1">
      <c r="A196" s="95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9"/>
    </row>
    <row r="197" spans="1:57" ht="15.75" customHeight="1">
      <c r="A197" s="95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9"/>
    </row>
    <row r="198" spans="1:57" ht="15.75" customHeight="1">
      <c r="A198" s="95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9"/>
    </row>
    <row r="199" spans="1:57" ht="15.75" customHeight="1">
      <c r="A199" s="95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9"/>
    </row>
    <row r="200" spans="1:57" ht="15.75" customHeight="1">
      <c r="A200" s="95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9"/>
    </row>
    <row r="201" spans="1:57" ht="15.75" customHeight="1">
      <c r="A201" s="95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9"/>
    </row>
    <row r="202" spans="1:57" ht="15.75" customHeight="1">
      <c r="A202" s="95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9"/>
    </row>
    <row r="203" spans="1:57" ht="15.75" customHeight="1">
      <c r="A203" s="95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9"/>
    </row>
    <row r="204" spans="1:57" ht="15.75" customHeight="1">
      <c r="A204" s="95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9"/>
    </row>
    <row r="205" spans="1:57" ht="15.75" customHeight="1">
      <c r="A205" s="95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9"/>
    </row>
    <row r="206" spans="1:57" ht="15.75" customHeight="1">
      <c r="A206" s="95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9"/>
    </row>
    <row r="207" spans="1:57" ht="15.75" customHeight="1">
      <c r="A207" s="95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9"/>
    </row>
    <row r="208" spans="1:57" ht="15.75" customHeight="1">
      <c r="A208" s="95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9"/>
    </row>
    <row r="209" spans="1:57" ht="15.75" customHeight="1">
      <c r="A209" s="95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9"/>
    </row>
    <row r="210" spans="1:57" ht="15.75" customHeight="1">
      <c r="A210" s="95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9"/>
    </row>
    <row r="211" spans="1:57" ht="15.75" customHeight="1">
      <c r="A211" s="95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9"/>
    </row>
    <row r="212" spans="1:57" ht="15.75" customHeight="1">
      <c r="A212" s="95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9"/>
    </row>
    <row r="213" spans="1:57" ht="15.75" customHeight="1">
      <c r="A213" s="95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9"/>
    </row>
    <row r="214" spans="1:57" ht="15.75" customHeight="1">
      <c r="A214" s="95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9"/>
    </row>
    <row r="215" spans="1:57" ht="15.75" customHeight="1">
      <c r="A215" s="95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9"/>
    </row>
    <row r="216" spans="1:57" ht="15.75" customHeight="1">
      <c r="A216" s="95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9"/>
    </row>
    <row r="217" spans="1:57" ht="15.75" customHeight="1">
      <c r="A217" s="95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9"/>
    </row>
    <row r="218" spans="1:57" ht="15.75" customHeight="1">
      <c r="A218" s="95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9"/>
    </row>
    <row r="219" spans="1:57" ht="15.75" customHeight="1">
      <c r="A219" s="95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9"/>
    </row>
    <row r="220" spans="1:57" ht="15.75" customHeight="1">
      <c r="A220" s="95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9"/>
    </row>
    <row r="221" spans="1:57" ht="15.75" customHeight="1">
      <c r="A221" s="95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9"/>
    </row>
    <row r="222" spans="1:57" ht="15.75" customHeight="1">
      <c r="A222" s="95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9"/>
    </row>
    <row r="223" spans="1:57" ht="15.75" customHeight="1">
      <c r="A223" s="95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9"/>
    </row>
    <row r="224" spans="1:57" ht="15.75" customHeight="1">
      <c r="A224" s="95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9"/>
    </row>
    <row r="225" spans="1:57" ht="15.75" customHeight="1">
      <c r="A225" s="95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9"/>
    </row>
    <row r="226" spans="1:57" ht="15.75" customHeight="1">
      <c r="A226" s="95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9"/>
    </row>
    <row r="227" spans="1:57" ht="15.75" customHeight="1">
      <c r="A227" s="95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9"/>
    </row>
    <row r="228" spans="1:57" ht="15.75" customHeight="1">
      <c r="A228" s="95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9"/>
    </row>
    <row r="229" spans="1:57" ht="15.75" customHeight="1">
      <c r="A229" s="95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9"/>
    </row>
    <row r="230" spans="1:57" ht="15.75" customHeight="1">
      <c r="A230" s="95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9"/>
    </row>
    <row r="231" spans="1:57" ht="15.75" customHeight="1">
      <c r="A231" s="95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9"/>
    </row>
    <row r="232" spans="1:57" ht="15.75" customHeight="1">
      <c r="A232" s="95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9"/>
    </row>
    <row r="233" spans="1:57" ht="15.75" customHeight="1">
      <c r="A233" s="95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9"/>
    </row>
    <row r="234" spans="1:57" ht="15.75" customHeight="1">
      <c r="A234" s="95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9"/>
    </row>
    <row r="235" spans="1:57" ht="15.75" customHeight="1">
      <c r="A235" s="95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9"/>
    </row>
    <row r="236" spans="1:57" ht="15.75" customHeight="1">
      <c r="A236" s="95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9"/>
    </row>
    <row r="237" spans="1:57" ht="15.75" customHeight="1">
      <c r="A237" s="95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9"/>
    </row>
    <row r="238" spans="1:57" ht="15.75" customHeight="1">
      <c r="A238" s="95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9"/>
    </row>
    <row r="239" spans="1:57" ht="15.75" customHeight="1">
      <c r="A239" s="95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9"/>
    </row>
    <row r="240" spans="1:57" ht="15.75" customHeight="1">
      <c r="A240" s="95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9"/>
    </row>
    <row r="241" spans="1:57" ht="15.75" customHeight="1">
      <c r="A241" s="95"/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9"/>
    </row>
    <row r="242" spans="1:57" ht="15.75" customHeight="1">
      <c r="A242" s="95"/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9"/>
    </row>
    <row r="243" spans="1:57" ht="15.75" customHeight="1">
      <c r="A243" s="95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9"/>
    </row>
    <row r="244" spans="1:57" ht="15.75" customHeight="1">
      <c r="A244" s="95"/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9"/>
    </row>
    <row r="245" spans="1:57" ht="15.75" customHeight="1">
      <c r="A245" s="95"/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9"/>
    </row>
    <row r="246" spans="1:57" ht="15.75" customHeight="1">
      <c r="A246" s="95"/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9"/>
    </row>
    <row r="247" spans="1:57" ht="15.75" customHeight="1">
      <c r="A247" s="95"/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9"/>
    </row>
    <row r="248" spans="1:57" ht="15.75" customHeight="1">
      <c r="A248" s="95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9"/>
    </row>
    <row r="249" spans="1:57" ht="15.75" customHeight="1">
      <c r="A249" s="95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9"/>
    </row>
    <row r="250" spans="1:57" ht="15.75" customHeight="1">
      <c r="A250" s="95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9"/>
    </row>
    <row r="251" spans="1:57" ht="15.75" customHeight="1">
      <c r="A251" s="95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9"/>
    </row>
    <row r="252" spans="1:57" ht="15.75" customHeight="1">
      <c r="A252" s="95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9"/>
    </row>
    <row r="253" spans="1:57" ht="15.75" customHeight="1">
      <c r="A253" s="95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9"/>
    </row>
    <row r="254" spans="1:57" ht="15.75" customHeight="1">
      <c r="A254" s="95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9"/>
    </row>
    <row r="255" spans="1:57" ht="15.75" customHeight="1">
      <c r="A255" s="95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9"/>
    </row>
    <row r="256" spans="1:57" ht="15.75" customHeight="1">
      <c r="A256" s="95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9"/>
    </row>
    <row r="257" spans="1:57" ht="15.75" customHeight="1">
      <c r="A257" s="95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9"/>
    </row>
    <row r="258" spans="1:57" ht="15.75" customHeight="1">
      <c r="A258" s="95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9"/>
    </row>
    <row r="259" spans="1:57" ht="15.75" customHeight="1">
      <c r="A259" s="95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9"/>
    </row>
    <row r="260" spans="1:57" ht="15.75" customHeight="1">
      <c r="A260" s="95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9"/>
    </row>
    <row r="261" spans="1:57" ht="15.75" customHeight="1">
      <c r="A261" s="95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9"/>
    </row>
    <row r="262" spans="1:57" ht="15.75" customHeight="1">
      <c r="A262" s="95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9"/>
    </row>
    <row r="263" spans="1:57" ht="15.75" customHeight="1">
      <c r="A263" s="95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9"/>
    </row>
    <row r="264" spans="1:57" ht="15.75" customHeight="1">
      <c r="A264" s="95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9"/>
    </row>
    <row r="265" spans="1:57" ht="15.75" customHeight="1">
      <c r="A265" s="95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9"/>
    </row>
    <row r="266" spans="1:57" ht="15.75" customHeight="1">
      <c r="A266" s="95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9"/>
    </row>
    <row r="267" spans="1:57" ht="15.75" customHeight="1">
      <c r="A267" s="95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9"/>
    </row>
    <row r="268" spans="1:57" ht="15.75" customHeight="1">
      <c r="A268" s="95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9"/>
    </row>
    <row r="269" spans="1:57" ht="15.75" customHeight="1">
      <c r="A269" s="95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9"/>
    </row>
    <row r="270" spans="1:57" ht="15.75" customHeight="1">
      <c r="A270" s="95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9"/>
    </row>
    <row r="271" spans="1:57" ht="15.75" customHeight="1">
      <c r="A271" s="95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9"/>
    </row>
    <row r="272" spans="1:57" ht="15.75" customHeight="1">
      <c r="A272" s="95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9"/>
    </row>
    <row r="273" spans="1:57" ht="15.75" customHeight="1">
      <c r="A273" s="95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9"/>
    </row>
    <row r="274" spans="1:57" ht="15.75" customHeight="1">
      <c r="A274" s="95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9"/>
    </row>
    <row r="275" spans="1:57" ht="15.75" customHeight="1">
      <c r="A275" s="95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9"/>
    </row>
    <row r="276" spans="1:57" ht="15.75" customHeight="1">
      <c r="A276" s="95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9"/>
    </row>
    <row r="277" spans="1:57" ht="15.75" customHeight="1">
      <c r="A277" s="95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9"/>
    </row>
    <row r="278" spans="1:57" ht="15.75" customHeight="1">
      <c r="A278" s="95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9"/>
    </row>
    <row r="279" spans="1:57" ht="15.75" customHeight="1">
      <c r="A279" s="95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9"/>
    </row>
    <row r="280" spans="1:57" ht="15.75" customHeight="1">
      <c r="A280" s="95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9"/>
    </row>
    <row r="281" spans="1:57" ht="15.75" customHeight="1">
      <c r="A281" s="95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9"/>
    </row>
    <row r="282" spans="1:57" ht="15.75" customHeight="1">
      <c r="A282" s="95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9"/>
    </row>
    <row r="283" spans="1:57" ht="15.75" customHeight="1">
      <c r="A283" s="95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9"/>
    </row>
    <row r="284" spans="1:57" ht="15.75" customHeight="1">
      <c r="A284" s="95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9"/>
    </row>
    <row r="285" spans="1:57" ht="15.75" customHeight="1">
      <c r="A285" s="95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9"/>
    </row>
    <row r="286" spans="1:57" ht="15.75" customHeight="1">
      <c r="A286" s="95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9"/>
    </row>
    <row r="287" spans="1:57" ht="15.75" customHeight="1">
      <c r="A287" s="95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9"/>
    </row>
    <row r="288" spans="1:57" ht="15.75" customHeight="1">
      <c r="A288" s="95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9"/>
    </row>
    <row r="289" spans="1:57" ht="15.75" customHeight="1">
      <c r="A289" s="95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9"/>
    </row>
    <row r="290" spans="1:57" ht="15.75" customHeight="1">
      <c r="A290" s="95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9"/>
    </row>
    <row r="291" spans="1:57" ht="15.75" customHeight="1">
      <c r="A291" s="95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9"/>
    </row>
    <row r="292" spans="1:57" ht="15.75" customHeight="1">
      <c r="A292" s="95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9"/>
    </row>
    <row r="293" spans="1:57" ht="15.75" customHeight="1">
      <c r="A293" s="95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9"/>
    </row>
    <row r="294" spans="1:57" ht="15.75" customHeight="1">
      <c r="A294" s="95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9"/>
    </row>
    <row r="295" spans="1:57" ht="15.75" customHeight="1">
      <c r="A295" s="95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9"/>
    </row>
    <row r="296" spans="1:57" ht="15.75" customHeight="1">
      <c r="A296" s="95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9"/>
    </row>
    <row r="297" spans="1:57" ht="15.75" customHeight="1">
      <c r="A297" s="95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9"/>
    </row>
    <row r="298" spans="1:57" ht="15.75" customHeight="1">
      <c r="A298" s="95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9"/>
    </row>
    <row r="299" spans="1:57" ht="15.75" customHeight="1">
      <c r="A299" s="95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9"/>
    </row>
    <row r="300" spans="1:57" ht="15.75" customHeight="1">
      <c r="A300" s="95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9"/>
    </row>
    <row r="301" spans="1:57" ht="15.75" customHeight="1">
      <c r="A301" s="95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9"/>
    </row>
    <row r="302" spans="1:57" ht="15.75" customHeight="1">
      <c r="A302" s="95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9"/>
    </row>
    <row r="303" spans="1:57" ht="15.75" customHeight="1">
      <c r="A303" s="95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9"/>
    </row>
    <row r="304" spans="1:57" ht="15.75" customHeight="1">
      <c r="A304" s="95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9"/>
    </row>
    <row r="305" spans="1:57" ht="15.75" customHeight="1">
      <c r="A305" s="95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9"/>
    </row>
    <row r="306" spans="1:57" ht="15.75" customHeight="1">
      <c r="A306" s="95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9"/>
    </row>
    <row r="307" spans="1:57" ht="15.75" customHeight="1">
      <c r="A307" s="95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9"/>
    </row>
    <row r="308" spans="1:57" ht="15.75" customHeight="1">
      <c r="A308" s="95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9"/>
    </row>
    <row r="309" spans="1:57" ht="15.75" customHeight="1">
      <c r="A309" s="95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9"/>
    </row>
    <row r="310" spans="1:57" ht="15.75" customHeight="1">
      <c r="A310" s="95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9"/>
    </row>
    <row r="311" spans="1:57" ht="15.75" customHeight="1">
      <c r="A311" s="95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9"/>
    </row>
    <row r="312" spans="1:57" ht="15.75" customHeight="1">
      <c r="A312" s="95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9"/>
    </row>
    <row r="313" spans="1:57" ht="15.75" customHeight="1">
      <c r="A313" s="95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9"/>
    </row>
    <row r="314" spans="1:57" ht="15.75" customHeight="1">
      <c r="A314" s="95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9"/>
    </row>
    <row r="315" spans="1:57" ht="15.75" customHeight="1">
      <c r="A315" s="95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9"/>
    </row>
    <row r="316" spans="1:57" ht="15.75" customHeight="1">
      <c r="A316" s="95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9"/>
    </row>
    <row r="317" spans="1:57" ht="15.75" customHeight="1">
      <c r="A317" s="95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9"/>
    </row>
    <row r="318" spans="1:57" ht="15.75" customHeight="1">
      <c r="A318" s="95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9"/>
    </row>
    <row r="319" spans="1:57" ht="15.75" customHeight="1">
      <c r="A319" s="95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9"/>
    </row>
    <row r="320" spans="1:57" ht="15.75" customHeight="1">
      <c r="A320" s="95"/>
      <c r="B320" s="9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9"/>
    </row>
    <row r="321" spans="1:57" ht="15.75" customHeight="1">
      <c r="A321" s="95"/>
      <c r="B321" s="97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9"/>
    </row>
    <row r="322" spans="1:57" ht="15.75" customHeight="1">
      <c r="A322" s="95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9"/>
    </row>
    <row r="323" spans="1:57" ht="15.75" customHeight="1">
      <c r="A323" s="95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9"/>
    </row>
    <row r="324" spans="1:57" ht="15.75" customHeight="1">
      <c r="A324" s="95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9"/>
    </row>
    <row r="325" spans="1:57" ht="15.75" customHeight="1">
      <c r="A325" s="95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9"/>
    </row>
    <row r="326" spans="1:57" ht="15.75" customHeight="1">
      <c r="A326" s="95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9"/>
    </row>
    <row r="327" spans="1:57" ht="15.75" customHeight="1">
      <c r="A327" s="95"/>
      <c r="B327" s="97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9"/>
    </row>
    <row r="328" spans="1:57" ht="15.75" customHeight="1">
      <c r="A328" s="95"/>
      <c r="B328" s="97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9"/>
    </row>
    <row r="329" spans="1:57" ht="15.75" customHeight="1">
      <c r="A329" s="95"/>
      <c r="B329" s="97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9"/>
    </row>
    <row r="330" spans="1:57" ht="15.75" customHeight="1">
      <c r="A330" s="95"/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9"/>
    </row>
    <row r="331" spans="1:57" ht="15.75" customHeight="1">
      <c r="A331" s="95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9"/>
    </row>
    <row r="332" spans="1:57" ht="15.75" customHeight="1">
      <c r="A332" s="95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9"/>
    </row>
    <row r="333" spans="1:57" ht="15.75" customHeight="1">
      <c r="A333" s="95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9"/>
    </row>
    <row r="334" spans="1:57" ht="15.75" customHeight="1">
      <c r="A334" s="95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9"/>
    </row>
    <row r="335" spans="1:57" ht="15.75" customHeight="1">
      <c r="A335" s="95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9"/>
    </row>
    <row r="336" spans="1:57" ht="15.75" customHeight="1">
      <c r="A336" s="95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9"/>
    </row>
    <row r="337" spans="1:57" ht="15.75" customHeight="1">
      <c r="A337" s="95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9"/>
    </row>
    <row r="338" spans="1:57" ht="15.75" customHeight="1">
      <c r="A338" s="95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9"/>
    </row>
    <row r="339" spans="1:57" ht="15.75" customHeight="1">
      <c r="A339" s="95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9"/>
    </row>
    <row r="340" spans="1:57" ht="15.75" customHeight="1">
      <c r="A340" s="95"/>
      <c r="B340" s="97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9"/>
    </row>
    <row r="341" spans="1:57" ht="15.75" customHeight="1">
      <c r="A341" s="95"/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9"/>
    </row>
    <row r="342" spans="1:57" ht="15.75" customHeight="1">
      <c r="A342" s="95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9"/>
    </row>
    <row r="343" spans="1:57" ht="15.75" customHeight="1">
      <c r="A343" s="95"/>
      <c r="B343" s="97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9"/>
    </row>
    <row r="344" spans="1:57" ht="15.75" customHeight="1">
      <c r="A344" s="95"/>
      <c r="B344" s="97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9"/>
    </row>
    <row r="345" spans="1:57" ht="15.75" customHeight="1">
      <c r="A345" s="95"/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9"/>
    </row>
    <row r="346" spans="1:57" ht="15.75" customHeight="1">
      <c r="A346" s="95"/>
      <c r="B346" s="97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9"/>
    </row>
    <row r="347" spans="1:57" ht="15.75" customHeight="1">
      <c r="A347" s="95"/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9"/>
    </row>
    <row r="348" spans="1:57" ht="15.75" customHeight="1">
      <c r="A348" s="95"/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9"/>
    </row>
    <row r="349" spans="1:57" ht="15.75" customHeight="1">
      <c r="A349" s="95"/>
      <c r="B349" s="97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9"/>
    </row>
    <row r="350" spans="1:57" ht="15.75" customHeight="1">
      <c r="A350" s="95"/>
      <c r="B350" s="97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9"/>
    </row>
    <row r="351" spans="1:57" ht="15.75" customHeight="1">
      <c r="A351" s="95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9"/>
    </row>
    <row r="352" spans="1:57" ht="15.75" customHeight="1">
      <c r="A352" s="95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9"/>
    </row>
    <row r="353" spans="1:57" ht="15.75" customHeight="1">
      <c r="A353" s="95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9"/>
    </row>
    <row r="354" spans="1:57" ht="15.75" customHeight="1">
      <c r="A354" s="95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9"/>
    </row>
    <row r="355" spans="1:57" ht="15.75" customHeight="1">
      <c r="A355" s="95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9"/>
    </row>
    <row r="356" spans="1:57" ht="15.75" customHeight="1">
      <c r="A356" s="95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9"/>
    </row>
    <row r="357" spans="1:57" ht="15.75" customHeight="1">
      <c r="A357" s="95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9"/>
    </row>
    <row r="358" spans="1:57" ht="15.75" customHeight="1">
      <c r="A358" s="95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9"/>
    </row>
    <row r="359" spans="1:57" ht="15.75" customHeight="1">
      <c r="A359" s="95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9"/>
    </row>
    <row r="360" spans="1:57" ht="15.75" customHeight="1">
      <c r="A360" s="95"/>
      <c r="B360" s="97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9"/>
    </row>
    <row r="361" spans="1:57" ht="15.75" customHeight="1">
      <c r="A361" s="95"/>
      <c r="B361" s="97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9"/>
    </row>
    <row r="362" spans="1:57" ht="15.75" customHeight="1">
      <c r="A362" s="95"/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9"/>
    </row>
    <row r="363" spans="1:57" ht="15.75" customHeight="1">
      <c r="A363" s="95"/>
      <c r="B363" s="97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9"/>
    </row>
    <row r="364" spans="1:57" ht="15.75" customHeight="1">
      <c r="A364" s="95"/>
      <c r="B364" s="97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9"/>
    </row>
    <row r="365" spans="1:57" ht="15.75" customHeight="1">
      <c r="A365" s="95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9"/>
    </row>
    <row r="366" spans="1:57" ht="15.75" customHeight="1">
      <c r="A366" s="95"/>
      <c r="B366" s="97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9"/>
    </row>
    <row r="367" spans="1:57" ht="15.75" customHeight="1">
      <c r="A367" s="95"/>
      <c r="B367" s="97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9"/>
    </row>
    <row r="368" spans="1:57" ht="15.75" customHeight="1">
      <c r="A368" s="95"/>
      <c r="B368" s="97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9"/>
    </row>
    <row r="369" spans="1:57" ht="15.75" customHeight="1">
      <c r="A369" s="95"/>
      <c r="B369" s="97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9"/>
    </row>
    <row r="370" spans="1:57" ht="15.75" customHeight="1">
      <c r="A370" s="95"/>
      <c r="B370" s="97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9"/>
    </row>
    <row r="371" spans="1:57" ht="15.75" customHeight="1">
      <c r="A371" s="95"/>
      <c r="B371" s="97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9"/>
    </row>
    <row r="372" spans="1:57" ht="15.75" customHeight="1">
      <c r="A372" s="95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9"/>
    </row>
    <row r="373" spans="1:57" ht="15.75" customHeight="1">
      <c r="A373" s="95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9"/>
    </row>
    <row r="374" spans="1:57" ht="15.75" customHeight="1">
      <c r="A374" s="95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9"/>
    </row>
    <row r="375" spans="1:57" ht="15.75" customHeight="1">
      <c r="A375" s="95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9"/>
    </row>
    <row r="376" spans="1:57" ht="15.75" customHeight="1">
      <c r="A376" s="95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9"/>
    </row>
    <row r="377" spans="1:57" ht="15.75" customHeight="1">
      <c r="A377" s="95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9"/>
    </row>
    <row r="378" spans="1:57" ht="15.75" customHeight="1">
      <c r="A378" s="95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9"/>
    </row>
    <row r="379" spans="1:57" ht="15.75" customHeight="1">
      <c r="A379" s="95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9"/>
    </row>
    <row r="380" spans="1:57" ht="15.75" customHeight="1">
      <c r="A380" s="95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9"/>
    </row>
    <row r="381" spans="1:57" ht="15.75" customHeight="1">
      <c r="A381" s="95"/>
      <c r="B381" s="97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9"/>
    </row>
    <row r="382" spans="1:57" ht="15.75" customHeight="1">
      <c r="A382" s="95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9"/>
    </row>
    <row r="383" spans="1:57" ht="15.75" customHeight="1">
      <c r="A383" s="95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9"/>
    </row>
    <row r="384" spans="1:57" ht="15.75" customHeight="1">
      <c r="A384" s="95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9"/>
    </row>
    <row r="385" spans="1:57" ht="15.75" customHeight="1">
      <c r="A385" s="95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9"/>
    </row>
    <row r="386" spans="1:57" ht="15.75" customHeight="1">
      <c r="A386" s="95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9"/>
    </row>
    <row r="387" spans="1:57" ht="15.75" customHeight="1">
      <c r="A387" s="95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9"/>
    </row>
    <row r="388" spans="1:57" ht="15.75" customHeight="1">
      <c r="A388" s="95"/>
      <c r="B388" s="97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9"/>
    </row>
    <row r="389" spans="1:57" ht="15.75" customHeight="1">
      <c r="A389" s="95"/>
      <c r="B389" s="97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9"/>
    </row>
    <row r="390" spans="1:57" ht="15.75" customHeight="1">
      <c r="A390" s="95"/>
      <c r="B390" s="97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9"/>
    </row>
    <row r="391" spans="1:57" ht="15.75" customHeight="1">
      <c r="A391" s="95"/>
      <c r="B391" s="97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9"/>
    </row>
    <row r="392" spans="1:57" ht="15.75" customHeight="1">
      <c r="A392" s="95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9"/>
    </row>
    <row r="393" spans="1:57" ht="15.75" customHeight="1">
      <c r="A393" s="95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9"/>
    </row>
    <row r="394" spans="1:57" ht="15.75" customHeight="1">
      <c r="A394" s="95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9"/>
    </row>
    <row r="395" spans="1:57" ht="15.75" customHeight="1">
      <c r="A395" s="95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9"/>
    </row>
    <row r="396" spans="1:57" ht="15.75" customHeight="1">
      <c r="A396" s="95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9"/>
    </row>
    <row r="397" spans="1:57" ht="15.75" customHeight="1">
      <c r="A397" s="95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9"/>
    </row>
    <row r="398" spans="1:57" ht="15.75" customHeight="1">
      <c r="A398" s="95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9"/>
    </row>
    <row r="399" spans="1:57" ht="15.75" customHeight="1">
      <c r="A399" s="95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9"/>
    </row>
    <row r="400" spans="1:57" ht="15.75" customHeight="1">
      <c r="A400" s="95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9"/>
    </row>
    <row r="401" spans="1:57" ht="15.75" customHeight="1">
      <c r="A401" s="95"/>
      <c r="B401" s="97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9"/>
    </row>
    <row r="402" spans="1:57" ht="15.75" customHeight="1">
      <c r="A402" s="95"/>
      <c r="B402" s="97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9"/>
    </row>
    <row r="403" spans="1:57" ht="15.75" customHeight="1">
      <c r="A403" s="95"/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9"/>
    </row>
    <row r="404" spans="1:57" ht="15.75" customHeight="1">
      <c r="A404" s="95"/>
      <c r="B404" s="97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9"/>
    </row>
    <row r="405" spans="1:57" ht="15.75" customHeight="1">
      <c r="A405" s="95"/>
      <c r="B405" s="97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9"/>
    </row>
    <row r="406" spans="1:57" ht="15.75" customHeight="1">
      <c r="A406" s="95"/>
      <c r="B406" s="97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9"/>
    </row>
    <row r="407" spans="1:57" ht="15.75" customHeight="1">
      <c r="A407" s="95"/>
      <c r="B407" s="97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9"/>
    </row>
    <row r="408" spans="1:57" ht="15.75" customHeight="1">
      <c r="A408" s="95"/>
      <c r="B408" s="97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9"/>
    </row>
    <row r="409" spans="1:57" ht="15.75" customHeight="1">
      <c r="A409" s="95"/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9"/>
    </row>
    <row r="410" spans="1:57" ht="15.75" customHeight="1">
      <c r="A410" s="95"/>
      <c r="B410" s="97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9"/>
    </row>
    <row r="411" spans="1:57" ht="15.75" customHeight="1">
      <c r="A411" s="95"/>
      <c r="B411" s="97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9"/>
    </row>
    <row r="412" spans="1:57" ht="15.75" customHeight="1">
      <c r="A412" s="95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9"/>
    </row>
    <row r="413" spans="1:57" ht="15.75" customHeight="1">
      <c r="A413" s="95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9"/>
    </row>
    <row r="414" spans="1:57" ht="15.75" customHeight="1">
      <c r="A414" s="95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9"/>
    </row>
    <row r="415" spans="1:57" ht="15.75" customHeight="1">
      <c r="A415" s="95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9"/>
    </row>
    <row r="416" spans="1:57" ht="15.75" customHeight="1">
      <c r="A416" s="95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9"/>
    </row>
    <row r="417" spans="1:57" ht="15.75" customHeight="1">
      <c r="A417" s="95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9"/>
    </row>
    <row r="418" spans="1:57" ht="15.75" customHeight="1">
      <c r="A418" s="95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9"/>
    </row>
    <row r="419" spans="1:57" ht="15.75" customHeight="1">
      <c r="A419" s="95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9"/>
    </row>
    <row r="420" spans="1:57" ht="15.75" customHeight="1">
      <c r="A420" s="95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9"/>
    </row>
    <row r="421" spans="1:57" ht="15.75" customHeight="1">
      <c r="A421" s="95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9"/>
    </row>
    <row r="422" spans="1:57" ht="15.75" customHeight="1">
      <c r="A422" s="95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9"/>
    </row>
    <row r="423" spans="1:57" ht="15.75" customHeight="1">
      <c r="A423" s="95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9"/>
    </row>
    <row r="424" spans="1:57" ht="15.75" customHeight="1">
      <c r="A424" s="95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9"/>
    </row>
    <row r="425" spans="1:57" ht="15.75" customHeight="1">
      <c r="A425" s="95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9"/>
    </row>
    <row r="426" spans="1:57" ht="15.75" customHeight="1">
      <c r="A426" s="95"/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9"/>
    </row>
    <row r="427" spans="1:57" ht="15.75" customHeight="1">
      <c r="A427" s="95"/>
      <c r="B427" s="97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9"/>
    </row>
    <row r="428" spans="1:57" ht="15.75" customHeight="1">
      <c r="A428" s="95"/>
      <c r="B428" s="97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9"/>
    </row>
    <row r="429" spans="1:57" ht="15.75" customHeight="1">
      <c r="A429" s="95"/>
      <c r="B429" s="97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9"/>
    </row>
    <row r="430" spans="1:57" ht="15.75" customHeight="1">
      <c r="A430" s="95"/>
      <c r="B430" s="97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9"/>
    </row>
    <row r="431" spans="1:57" ht="15.75" customHeight="1">
      <c r="A431" s="95"/>
      <c r="B431" s="97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9"/>
    </row>
    <row r="432" spans="1:57" ht="15.75" customHeight="1">
      <c r="A432" s="95"/>
      <c r="B432" s="97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9"/>
    </row>
    <row r="433" spans="1:57" ht="15.75" customHeight="1">
      <c r="A433" s="95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9"/>
    </row>
    <row r="434" spans="1:57" ht="15.75" customHeight="1">
      <c r="A434" s="95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9"/>
    </row>
    <row r="435" spans="1:57" ht="15.75" customHeight="1">
      <c r="A435" s="95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9"/>
    </row>
    <row r="436" spans="1:57" ht="15.75" customHeight="1">
      <c r="A436" s="95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9"/>
    </row>
    <row r="437" spans="1:57" ht="15.75" customHeight="1">
      <c r="A437" s="95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9"/>
    </row>
    <row r="438" spans="1:57" ht="15.75" customHeight="1">
      <c r="A438" s="95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9"/>
    </row>
    <row r="439" spans="1:57" ht="15.75" customHeight="1">
      <c r="A439" s="95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9"/>
    </row>
    <row r="440" spans="1:57" ht="15.75" customHeight="1">
      <c r="A440" s="95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9"/>
    </row>
    <row r="441" spans="1:57" ht="15.75" customHeight="1">
      <c r="A441" s="95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9"/>
    </row>
    <row r="442" spans="1:57" ht="15.75" customHeight="1">
      <c r="A442" s="95"/>
      <c r="B442" s="97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9"/>
    </row>
    <row r="443" spans="1:57" ht="15.75" customHeight="1">
      <c r="A443" s="95"/>
      <c r="B443" s="97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9"/>
    </row>
    <row r="444" spans="1:57" ht="15.75" customHeight="1">
      <c r="A444" s="95"/>
      <c r="B444" s="97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9"/>
    </row>
    <row r="445" spans="1:57" ht="15.75" customHeight="1">
      <c r="A445" s="95"/>
      <c r="B445" s="97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9"/>
    </row>
    <row r="446" spans="1:57" ht="15.75" customHeight="1">
      <c r="A446" s="95"/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9"/>
    </row>
    <row r="447" spans="1:57" ht="15.75" customHeight="1">
      <c r="A447" s="95"/>
      <c r="B447" s="97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9"/>
    </row>
    <row r="448" spans="1:57" ht="15.75" customHeight="1">
      <c r="A448" s="95"/>
      <c r="B448" s="97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9"/>
    </row>
    <row r="449" spans="1:57" ht="15.75" customHeight="1">
      <c r="A449" s="95"/>
      <c r="B449" s="97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9"/>
    </row>
    <row r="450" spans="1:57" ht="15.75" customHeight="1">
      <c r="A450" s="95"/>
      <c r="B450" s="97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9"/>
    </row>
    <row r="451" spans="1:57" ht="15.75" customHeight="1">
      <c r="A451" s="95"/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9"/>
    </row>
    <row r="452" spans="1:57" ht="15.75" customHeight="1">
      <c r="A452" s="95"/>
      <c r="B452" s="97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9"/>
    </row>
    <row r="453" spans="1:57" ht="15.75" customHeight="1">
      <c r="A453" s="95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9"/>
    </row>
    <row r="454" spans="1:57" ht="15.75" customHeight="1">
      <c r="A454" s="95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9"/>
    </row>
    <row r="455" spans="1:57" ht="15.75" customHeight="1">
      <c r="A455" s="95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9"/>
    </row>
    <row r="456" spans="1:57" ht="15.75" customHeight="1">
      <c r="A456" s="95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9"/>
    </row>
    <row r="457" spans="1:57" ht="15.75" customHeight="1">
      <c r="A457" s="95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9"/>
    </row>
    <row r="458" spans="1:57" ht="15.75" customHeight="1">
      <c r="A458" s="95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9"/>
    </row>
    <row r="459" spans="1:57" ht="15.75" customHeight="1">
      <c r="A459" s="95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9"/>
    </row>
    <row r="460" spans="1:57" ht="15.75" customHeight="1">
      <c r="A460" s="95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9"/>
    </row>
    <row r="461" spans="1:57" ht="15.75" customHeight="1">
      <c r="A461" s="95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9"/>
    </row>
    <row r="462" spans="1:57" ht="15.75" customHeight="1">
      <c r="A462" s="95"/>
      <c r="B462" s="97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9"/>
    </row>
    <row r="463" spans="1:57" ht="15.75" customHeight="1">
      <c r="A463" s="95"/>
      <c r="B463" s="97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9"/>
    </row>
    <row r="464" spans="1:57" ht="15.75" customHeight="1">
      <c r="A464" s="95"/>
      <c r="B464" s="97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9"/>
    </row>
    <row r="465" spans="1:57" ht="15.75" customHeight="1">
      <c r="A465" s="95"/>
      <c r="B465" s="97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9"/>
    </row>
    <row r="466" spans="1:57" ht="15.75" customHeight="1">
      <c r="A466" s="95"/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9"/>
    </row>
    <row r="467" spans="1:57" ht="15.75" customHeight="1">
      <c r="A467" s="95"/>
      <c r="B467" s="97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9"/>
    </row>
    <row r="468" spans="1:57" ht="15.75" customHeight="1">
      <c r="A468" s="95"/>
      <c r="B468" s="97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9"/>
    </row>
    <row r="469" spans="1:57" ht="15.75" customHeight="1">
      <c r="A469" s="95"/>
      <c r="B469" s="97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9"/>
    </row>
    <row r="470" spans="1:57" ht="15.75" customHeight="1">
      <c r="A470" s="95"/>
      <c r="B470" s="97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9"/>
    </row>
    <row r="471" spans="1:57" ht="15.75" customHeight="1">
      <c r="A471" s="95"/>
      <c r="B471" s="97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9"/>
    </row>
    <row r="472" spans="1:57" ht="15.75" customHeight="1">
      <c r="A472" s="95"/>
      <c r="B472" s="97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9"/>
    </row>
    <row r="473" spans="1:57" ht="15.75" customHeight="1">
      <c r="A473" s="95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9"/>
    </row>
    <row r="474" spans="1:57" ht="15.75" customHeight="1">
      <c r="A474" s="95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9"/>
    </row>
    <row r="475" spans="1:57" ht="15.75" customHeight="1">
      <c r="A475" s="95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9"/>
    </row>
    <row r="476" spans="1:57" ht="15.75" customHeight="1">
      <c r="A476" s="95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9"/>
    </row>
    <row r="477" spans="1:57" ht="15.75" customHeight="1">
      <c r="A477" s="95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9"/>
    </row>
    <row r="478" spans="1:57" ht="15.75" customHeight="1">
      <c r="A478" s="95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9"/>
    </row>
    <row r="479" spans="1:57" ht="15.75" customHeight="1">
      <c r="A479" s="95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9"/>
    </row>
    <row r="480" spans="1:57" ht="15.75" customHeight="1">
      <c r="A480" s="95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9"/>
    </row>
    <row r="481" spans="1:57" ht="15.75" customHeight="1">
      <c r="A481" s="95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9"/>
    </row>
    <row r="482" spans="1:57" ht="15.75" customHeight="1">
      <c r="A482" s="95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9"/>
    </row>
    <row r="483" spans="1:57" ht="15.75" customHeight="1">
      <c r="A483" s="95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9"/>
    </row>
    <row r="484" spans="1:57" ht="15.75" customHeight="1">
      <c r="A484" s="95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9"/>
    </row>
    <row r="485" spans="1:57" ht="15.75" customHeight="1">
      <c r="A485" s="95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9"/>
    </row>
    <row r="486" spans="1:57" ht="15.75" customHeight="1">
      <c r="A486" s="95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9"/>
    </row>
    <row r="487" spans="1:57" ht="15.75" customHeight="1">
      <c r="A487" s="95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9"/>
    </row>
    <row r="488" spans="1:57" ht="15.75" customHeight="1">
      <c r="A488" s="95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9"/>
    </row>
    <row r="489" spans="1:57" ht="15.75" customHeight="1">
      <c r="A489" s="95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9"/>
    </row>
    <row r="490" spans="1:57" ht="15.75" customHeight="1">
      <c r="A490" s="95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9"/>
    </row>
    <row r="491" spans="1:57" ht="15.75" customHeight="1">
      <c r="A491" s="95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9"/>
    </row>
    <row r="492" spans="1:57" ht="15.75" customHeight="1">
      <c r="A492" s="95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9"/>
    </row>
    <row r="493" spans="1:57" ht="15.75" customHeight="1">
      <c r="A493" s="95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9"/>
    </row>
    <row r="494" spans="1:57" ht="15.75" customHeight="1">
      <c r="A494" s="95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9"/>
    </row>
    <row r="495" spans="1:57" ht="15.75" customHeight="1">
      <c r="A495" s="95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9"/>
    </row>
    <row r="496" spans="1:57" ht="15.75" customHeight="1">
      <c r="A496" s="95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9"/>
    </row>
    <row r="497" spans="1:57" ht="15.75" customHeight="1">
      <c r="A497" s="95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9"/>
    </row>
    <row r="498" spans="1:57" ht="15.75" customHeight="1">
      <c r="A498" s="95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9"/>
    </row>
    <row r="499" spans="1:57" ht="15.75" customHeight="1">
      <c r="A499" s="95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9"/>
    </row>
    <row r="500" spans="1:57" ht="15.75" customHeight="1">
      <c r="A500" s="95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9"/>
    </row>
    <row r="501" spans="1:57" ht="15.75" customHeight="1">
      <c r="A501" s="95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9"/>
    </row>
    <row r="502" spans="1:57" ht="15.75" customHeight="1">
      <c r="A502" s="95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9"/>
    </row>
    <row r="503" spans="1:57" ht="15.75" customHeight="1">
      <c r="A503" s="95"/>
      <c r="B503" s="97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9"/>
    </row>
    <row r="504" spans="1:57" ht="15.75" customHeight="1">
      <c r="A504" s="95"/>
      <c r="B504" s="97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9"/>
    </row>
    <row r="505" spans="1:57" ht="15.75" customHeight="1">
      <c r="A505" s="95"/>
      <c r="B505" s="97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9"/>
    </row>
    <row r="506" spans="1:57" ht="15.75" customHeight="1">
      <c r="A506" s="95"/>
      <c r="B506" s="97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9"/>
    </row>
    <row r="507" spans="1:57" ht="15.75" customHeight="1">
      <c r="A507" s="95"/>
      <c r="B507" s="97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9"/>
    </row>
    <row r="508" spans="1:57" ht="15.75" customHeight="1">
      <c r="A508" s="95"/>
      <c r="B508" s="97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9"/>
    </row>
    <row r="509" spans="1:57" ht="15.75" customHeight="1">
      <c r="A509" s="95"/>
      <c r="B509" s="97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9"/>
    </row>
    <row r="510" spans="1:57" ht="15.75" customHeight="1">
      <c r="A510" s="95"/>
      <c r="B510" s="97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9"/>
    </row>
    <row r="511" spans="1:57" ht="15.75" customHeight="1">
      <c r="A511" s="95"/>
      <c r="B511" s="97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9"/>
    </row>
    <row r="512" spans="1:57" ht="15.75" customHeight="1">
      <c r="A512" s="95"/>
      <c r="B512" s="97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9"/>
    </row>
    <row r="513" spans="1:57" ht="15.75" customHeight="1">
      <c r="A513" s="95"/>
      <c r="B513" s="97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9"/>
    </row>
    <row r="514" spans="1:57" ht="15.75" customHeight="1">
      <c r="A514" s="95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9"/>
    </row>
    <row r="515" spans="1:57" ht="15.75" customHeight="1">
      <c r="A515" s="95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9"/>
    </row>
    <row r="516" spans="1:57" ht="15.75" customHeight="1">
      <c r="A516" s="95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9"/>
    </row>
    <row r="517" spans="1:57" ht="15.75" customHeight="1">
      <c r="A517" s="95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9"/>
    </row>
    <row r="518" spans="1:57" ht="15.75" customHeight="1">
      <c r="A518" s="95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97"/>
      <c r="BD518" s="97"/>
      <c r="BE518" s="99"/>
    </row>
    <row r="519" spans="1:57" ht="15.75" customHeight="1">
      <c r="A519" s="95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9"/>
    </row>
    <row r="520" spans="1:57" ht="15.75" customHeight="1">
      <c r="A520" s="95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97"/>
      <c r="BD520" s="97"/>
      <c r="BE520" s="99"/>
    </row>
    <row r="521" spans="1:57" ht="15.75" customHeight="1">
      <c r="A521" s="95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7"/>
      <c r="AV521" s="97"/>
      <c r="AW521" s="97"/>
      <c r="AX521" s="97"/>
      <c r="AY521" s="97"/>
      <c r="AZ521" s="97"/>
      <c r="BA521" s="97"/>
      <c r="BB521" s="97"/>
      <c r="BC521" s="97"/>
      <c r="BD521" s="97"/>
      <c r="BE521" s="99"/>
    </row>
    <row r="522" spans="1:57" ht="15.75" customHeight="1">
      <c r="A522" s="95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7"/>
      <c r="AV522" s="97"/>
      <c r="AW522" s="97"/>
      <c r="AX522" s="97"/>
      <c r="AY522" s="97"/>
      <c r="AZ522" s="97"/>
      <c r="BA522" s="97"/>
      <c r="BB522" s="97"/>
      <c r="BC522" s="97"/>
      <c r="BD522" s="97"/>
      <c r="BE522" s="99"/>
    </row>
    <row r="523" spans="1:57" ht="15.75" customHeight="1">
      <c r="A523" s="95"/>
      <c r="B523" s="97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7"/>
      <c r="AV523" s="97"/>
      <c r="AW523" s="97"/>
      <c r="AX523" s="97"/>
      <c r="AY523" s="97"/>
      <c r="AZ523" s="97"/>
      <c r="BA523" s="97"/>
      <c r="BB523" s="97"/>
      <c r="BC523" s="97"/>
      <c r="BD523" s="97"/>
      <c r="BE523" s="99"/>
    </row>
    <row r="524" spans="1:57" ht="15.75" customHeight="1">
      <c r="A524" s="95"/>
      <c r="B524" s="97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7"/>
      <c r="AV524" s="97"/>
      <c r="AW524" s="97"/>
      <c r="AX524" s="97"/>
      <c r="AY524" s="97"/>
      <c r="AZ524" s="97"/>
      <c r="BA524" s="97"/>
      <c r="BB524" s="97"/>
      <c r="BC524" s="97"/>
      <c r="BD524" s="97"/>
      <c r="BE524" s="99"/>
    </row>
    <row r="525" spans="1:57" ht="15.75" customHeight="1">
      <c r="A525" s="95"/>
      <c r="B525" s="97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7"/>
      <c r="AV525" s="97"/>
      <c r="AW525" s="97"/>
      <c r="AX525" s="97"/>
      <c r="AY525" s="97"/>
      <c r="AZ525" s="97"/>
      <c r="BA525" s="97"/>
      <c r="BB525" s="97"/>
      <c r="BC525" s="97"/>
      <c r="BD525" s="97"/>
      <c r="BE525" s="99"/>
    </row>
    <row r="526" spans="1:57" ht="15.75" customHeight="1">
      <c r="A526" s="95"/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7"/>
      <c r="AV526" s="97"/>
      <c r="AW526" s="97"/>
      <c r="AX526" s="97"/>
      <c r="AY526" s="97"/>
      <c r="AZ526" s="97"/>
      <c r="BA526" s="97"/>
      <c r="BB526" s="97"/>
      <c r="BC526" s="97"/>
      <c r="BD526" s="97"/>
      <c r="BE526" s="99"/>
    </row>
    <row r="527" spans="1:57" ht="15.75" customHeight="1">
      <c r="A527" s="95"/>
      <c r="B527" s="97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7"/>
      <c r="AV527" s="97"/>
      <c r="AW527" s="97"/>
      <c r="AX527" s="97"/>
      <c r="AY527" s="97"/>
      <c r="AZ527" s="97"/>
      <c r="BA527" s="97"/>
      <c r="BB527" s="97"/>
      <c r="BC527" s="97"/>
      <c r="BD527" s="97"/>
      <c r="BE527" s="99"/>
    </row>
    <row r="528" spans="1:57" ht="15.75" customHeight="1">
      <c r="A528" s="95"/>
      <c r="B528" s="97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7"/>
      <c r="AV528" s="97"/>
      <c r="AW528" s="97"/>
      <c r="AX528" s="97"/>
      <c r="AY528" s="97"/>
      <c r="AZ528" s="97"/>
      <c r="BA528" s="97"/>
      <c r="BB528" s="97"/>
      <c r="BC528" s="97"/>
      <c r="BD528" s="97"/>
      <c r="BE528" s="99"/>
    </row>
    <row r="529" spans="1:57" ht="15.75" customHeight="1">
      <c r="A529" s="95"/>
      <c r="B529" s="97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7"/>
      <c r="AV529" s="97"/>
      <c r="AW529" s="97"/>
      <c r="AX529" s="97"/>
      <c r="AY529" s="97"/>
      <c r="AZ529" s="97"/>
      <c r="BA529" s="97"/>
      <c r="BB529" s="97"/>
      <c r="BC529" s="97"/>
      <c r="BD529" s="97"/>
      <c r="BE529" s="99"/>
    </row>
    <row r="530" spans="1:57" ht="15.75" customHeight="1">
      <c r="A530" s="95"/>
      <c r="B530" s="97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7"/>
      <c r="AV530" s="97"/>
      <c r="AW530" s="97"/>
      <c r="AX530" s="97"/>
      <c r="AY530" s="97"/>
      <c r="AZ530" s="97"/>
      <c r="BA530" s="97"/>
      <c r="BB530" s="97"/>
      <c r="BC530" s="97"/>
      <c r="BD530" s="97"/>
      <c r="BE530" s="99"/>
    </row>
    <row r="531" spans="1:57" ht="15.75" customHeight="1">
      <c r="A531" s="95"/>
      <c r="B531" s="97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7"/>
      <c r="AV531" s="97"/>
      <c r="AW531" s="97"/>
      <c r="AX531" s="97"/>
      <c r="AY531" s="97"/>
      <c r="AZ531" s="97"/>
      <c r="BA531" s="97"/>
      <c r="BB531" s="97"/>
      <c r="BC531" s="97"/>
      <c r="BD531" s="97"/>
      <c r="BE531" s="99"/>
    </row>
    <row r="532" spans="1:57" ht="15.75" customHeight="1">
      <c r="A532" s="95"/>
      <c r="B532" s="97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7"/>
      <c r="AV532" s="97"/>
      <c r="AW532" s="97"/>
      <c r="AX532" s="97"/>
      <c r="AY532" s="97"/>
      <c r="AZ532" s="97"/>
      <c r="BA532" s="97"/>
      <c r="BB532" s="97"/>
      <c r="BC532" s="97"/>
      <c r="BD532" s="97"/>
      <c r="BE532" s="99"/>
    </row>
    <row r="533" spans="1:57" ht="15.75" customHeight="1">
      <c r="A533" s="95"/>
      <c r="B533" s="97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7"/>
      <c r="AV533" s="97"/>
      <c r="AW533" s="97"/>
      <c r="AX533" s="97"/>
      <c r="AY533" s="97"/>
      <c r="AZ533" s="97"/>
      <c r="BA533" s="97"/>
      <c r="BB533" s="97"/>
      <c r="BC533" s="97"/>
      <c r="BD533" s="97"/>
      <c r="BE533" s="99"/>
    </row>
    <row r="534" spans="1:57" ht="15.75" customHeight="1">
      <c r="A534" s="95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7"/>
      <c r="AV534" s="97"/>
      <c r="AW534" s="97"/>
      <c r="AX534" s="97"/>
      <c r="AY534" s="97"/>
      <c r="AZ534" s="97"/>
      <c r="BA534" s="97"/>
      <c r="BB534" s="97"/>
      <c r="BC534" s="97"/>
      <c r="BD534" s="97"/>
      <c r="BE534" s="99"/>
    </row>
    <row r="535" spans="1:57" ht="15.75" customHeight="1">
      <c r="A535" s="95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7"/>
      <c r="AV535" s="97"/>
      <c r="AW535" s="97"/>
      <c r="AX535" s="97"/>
      <c r="AY535" s="97"/>
      <c r="AZ535" s="97"/>
      <c r="BA535" s="97"/>
      <c r="BB535" s="97"/>
      <c r="BC535" s="97"/>
      <c r="BD535" s="97"/>
      <c r="BE535" s="99"/>
    </row>
    <row r="536" spans="1:57" ht="15.75" customHeight="1">
      <c r="A536" s="95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7"/>
      <c r="AV536" s="97"/>
      <c r="AW536" s="97"/>
      <c r="AX536" s="97"/>
      <c r="AY536" s="97"/>
      <c r="AZ536" s="97"/>
      <c r="BA536" s="97"/>
      <c r="BB536" s="97"/>
      <c r="BC536" s="97"/>
      <c r="BD536" s="97"/>
      <c r="BE536" s="99"/>
    </row>
    <row r="537" spans="1:57" ht="15.75" customHeight="1">
      <c r="A537" s="95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7"/>
      <c r="AV537" s="97"/>
      <c r="AW537" s="97"/>
      <c r="AX537" s="97"/>
      <c r="AY537" s="97"/>
      <c r="AZ537" s="97"/>
      <c r="BA537" s="97"/>
      <c r="BB537" s="97"/>
      <c r="BC537" s="97"/>
      <c r="BD537" s="97"/>
      <c r="BE537" s="99"/>
    </row>
    <row r="538" spans="1:57" ht="15.75" customHeight="1">
      <c r="A538" s="95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7"/>
      <c r="AV538" s="97"/>
      <c r="AW538" s="97"/>
      <c r="AX538" s="97"/>
      <c r="AY538" s="97"/>
      <c r="AZ538" s="97"/>
      <c r="BA538" s="97"/>
      <c r="BB538" s="97"/>
      <c r="BC538" s="97"/>
      <c r="BD538" s="97"/>
      <c r="BE538" s="99"/>
    </row>
    <row r="539" spans="1:57" ht="15.75" customHeight="1">
      <c r="A539" s="95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7"/>
      <c r="AV539" s="97"/>
      <c r="AW539" s="97"/>
      <c r="AX539" s="97"/>
      <c r="AY539" s="97"/>
      <c r="AZ539" s="97"/>
      <c r="BA539" s="97"/>
      <c r="BB539" s="97"/>
      <c r="BC539" s="97"/>
      <c r="BD539" s="97"/>
      <c r="BE539" s="99"/>
    </row>
    <row r="540" spans="1:57" ht="15.75" customHeight="1">
      <c r="A540" s="95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7"/>
      <c r="AV540" s="97"/>
      <c r="AW540" s="97"/>
      <c r="AX540" s="97"/>
      <c r="AY540" s="97"/>
      <c r="AZ540" s="97"/>
      <c r="BA540" s="97"/>
      <c r="BB540" s="97"/>
      <c r="BC540" s="97"/>
      <c r="BD540" s="97"/>
      <c r="BE540" s="99"/>
    </row>
    <row r="541" spans="1:57" ht="15.75" customHeight="1">
      <c r="A541" s="95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9"/>
    </row>
    <row r="542" spans="1:57" ht="15.75" customHeight="1">
      <c r="A542" s="95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7"/>
      <c r="AV542" s="97"/>
      <c r="AW542" s="97"/>
      <c r="AX542" s="97"/>
      <c r="AY542" s="97"/>
      <c r="AZ542" s="97"/>
      <c r="BA542" s="97"/>
      <c r="BB542" s="97"/>
      <c r="BC542" s="97"/>
      <c r="BD542" s="97"/>
      <c r="BE542" s="99"/>
    </row>
    <row r="543" spans="1:57" ht="15.75" customHeight="1">
      <c r="A543" s="95"/>
      <c r="B543" s="97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7"/>
      <c r="AV543" s="97"/>
      <c r="AW543" s="97"/>
      <c r="AX543" s="97"/>
      <c r="AY543" s="97"/>
      <c r="AZ543" s="97"/>
      <c r="BA543" s="97"/>
      <c r="BB543" s="97"/>
      <c r="BC543" s="97"/>
      <c r="BD543" s="97"/>
      <c r="BE543" s="99"/>
    </row>
    <row r="544" spans="1:57" ht="15.75" customHeight="1">
      <c r="A544" s="95"/>
      <c r="B544" s="97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7"/>
      <c r="AV544" s="97"/>
      <c r="AW544" s="97"/>
      <c r="AX544" s="97"/>
      <c r="AY544" s="97"/>
      <c r="AZ544" s="97"/>
      <c r="BA544" s="97"/>
      <c r="BB544" s="97"/>
      <c r="BC544" s="97"/>
      <c r="BD544" s="97"/>
      <c r="BE544" s="99"/>
    </row>
    <row r="545" spans="1:57" ht="15.75" customHeight="1">
      <c r="A545" s="95"/>
      <c r="B545" s="97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7"/>
      <c r="AV545" s="97"/>
      <c r="AW545" s="97"/>
      <c r="AX545" s="97"/>
      <c r="AY545" s="97"/>
      <c r="AZ545" s="97"/>
      <c r="BA545" s="97"/>
      <c r="BB545" s="97"/>
      <c r="BC545" s="97"/>
      <c r="BD545" s="97"/>
      <c r="BE545" s="99"/>
    </row>
    <row r="546" spans="1:57" ht="15.75" customHeight="1">
      <c r="A546" s="95"/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7"/>
      <c r="AV546" s="97"/>
      <c r="AW546" s="97"/>
      <c r="AX546" s="97"/>
      <c r="AY546" s="97"/>
      <c r="AZ546" s="97"/>
      <c r="BA546" s="97"/>
      <c r="BB546" s="97"/>
      <c r="BC546" s="97"/>
      <c r="BD546" s="97"/>
      <c r="BE546" s="99"/>
    </row>
    <row r="547" spans="1:57" ht="15.75" customHeight="1">
      <c r="A547" s="95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7"/>
      <c r="AV547" s="97"/>
      <c r="AW547" s="97"/>
      <c r="AX547" s="97"/>
      <c r="AY547" s="97"/>
      <c r="AZ547" s="97"/>
      <c r="BA547" s="97"/>
      <c r="BB547" s="97"/>
      <c r="BC547" s="97"/>
      <c r="BD547" s="97"/>
      <c r="BE547" s="99"/>
    </row>
    <row r="548" spans="1:57" ht="15.75" customHeight="1">
      <c r="A548" s="95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7"/>
      <c r="AV548" s="97"/>
      <c r="AW548" s="97"/>
      <c r="AX548" s="97"/>
      <c r="AY548" s="97"/>
      <c r="AZ548" s="97"/>
      <c r="BA548" s="97"/>
      <c r="BB548" s="97"/>
      <c r="BC548" s="97"/>
      <c r="BD548" s="97"/>
      <c r="BE548" s="99"/>
    </row>
    <row r="549" spans="1:57" ht="15.75" customHeight="1">
      <c r="A549" s="95"/>
      <c r="B549" s="97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7"/>
      <c r="AV549" s="97"/>
      <c r="AW549" s="97"/>
      <c r="AX549" s="97"/>
      <c r="AY549" s="97"/>
      <c r="AZ549" s="97"/>
      <c r="BA549" s="97"/>
      <c r="BB549" s="97"/>
      <c r="BC549" s="97"/>
      <c r="BD549" s="97"/>
      <c r="BE549" s="99"/>
    </row>
    <row r="550" spans="1:57" ht="15.75" customHeight="1">
      <c r="A550" s="95"/>
      <c r="B550" s="97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7"/>
      <c r="AV550" s="97"/>
      <c r="AW550" s="97"/>
      <c r="AX550" s="97"/>
      <c r="AY550" s="97"/>
      <c r="AZ550" s="97"/>
      <c r="BA550" s="97"/>
      <c r="BB550" s="97"/>
      <c r="BC550" s="97"/>
      <c r="BD550" s="97"/>
      <c r="BE550" s="99"/>
    </row>
    <row r="551" spans="1:57" ht="15.75" customHeight="1">
      <c r="A551" s="95"/>
      <c r="B551" s="97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7"/>
      <c r="AV551" s="97"/>
      <c r="AW551" s="97"/>
      <c r="AX551" s="97"/>
      <c r="AY551" s="97"/>
      <c r="AZ551" s="97"/>
      <c r="BA551" s="97"/>
      <c r="BB551" s="97"/>
      <c r="BC551" s="97"/>
      <c r="BD551" s="97"/>
      <c r="BE551" s="99"/>
    </row>
    <row r="552" spans="1:57" ht="15.75" customHeight="1">
      <c r="A552" s="95"/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7"/>
      <c r="AV552" s="97"/>
      <c r="AW552" s="97"/>
      <c r="AX552" s="97"/>
      <c r="AY552" s="97"/>
      <c r="AZ552" s="97"/>
      <c r="BA552" s="97"/>
      <c r="BB552" s="97"/>
      <c r="BC552" s="97"/>
      <c r="BD552" s="97"/>
      <c r="BE552" s="99"/>
    </row>
    <row r="553" spans="1:57" ht="15.75" customHeight="1">
      <c r="A553" s="95"/>
      <c r="B553" s="97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7"/>
      <c r="AV553" s="97"/>
      <c r="AW553" s="97"/>
      <c r="AX553" s="97"/>
      <c r="AY553" s="97"/>
      <c r="AZ553" s="97"/>
      <c r="BA553" s="97"/>
      <c r="BB553" s="97"/>
      <c r="BC553" s="97"/>
      <c r="BD553" s="97"/>
      <c r="BE553" s="99"/>
    </row>
    <row r="554" spans="1:57" ht="15.75" customHeight="1">
      <c r="A554" s="95"/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7"/>
      <c r="AV554" s="97"/>
      <c r="AW554" s="97"/>
      <c r="AX554" s="97"/>
      <c r="AY554" s="97"/>
      <c r="AZ554" s="97"/>
      <c r="BA554" s="97"/>
      <c r="BB554" s="97"/>
      <c r="BC554" s="97"/>
      <c r="BD554" s="97"/>
      <c r="BE554" s="99"/>
    </row>
    <row r="555" spans="1:57" ht="15.75" customHeight="1">
      <c r="A555" s="95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7"/>
      <c r="AV555" s="97"/>
      <c r="AW555" s="97"/>
      <c r="AX555" s="97"/>
      <c r="AY555" s="97"/>
      <c r="AZ555" s="97"/>
      <c r="BA555" s="97"/>
      <c r="BB555" s="97"/>
      <c r="BC555" s="97"/>
      <c r="BD555" s="97"/>
      <c r="BE555" s="99"/>
    </row>
    <row r="556" spans="1:57" ht="15.75" customHeight="1">
      <c r="A556" s="95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7"/>
      <c r="AV556" s="97"/>
      <c r="AW556" s="97"/>
      <c r="AX556" s="97"/>
      <c r="AY556" s="97"/>
      <c r="AZ556" s="97"/>
      <c r="BA556" s="97"/>
      <c r="BB556" s="97"/>
      <c r="BC556" s="97"/>
      <c r="BD556" s="97"/>
      <c r="BE556" s="99"/>
    </row>
    <row r="557" spans="1:57" ht="15.75" customHeight="1">
      <c r="A557" s="95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7"/>
      <c r="AV557" s="97"/>
      <c r="AW557" s="97"/>
      <c r="AX557" s="97"/>
      <c r="AY557" s="97"/>
      <c r="AZ557" s="97"/>
      <c r="BA557" s="97"/>
      <c r="BB557" s="97"/>
      <c r="BC557" s="97"/>
      <c r="BD557" s="97"/>
      <c r="BE557" s="99"/>
    </row>
    <row r="558" spans="1:57" ht="15.75" customHeight="1">
      <c r="A558" s="95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7"/>
      <c r="AV558" s="97"/>
      <c r="AW558" s="97"/>
      <c r="AX558" s="97"/>
      <c r="AY558" s="97"/>
      <c r="AZ558" s="97"/>
      <c r="BA558" s="97"/>
      <c r="BB558" s="97"/>
      <c r="BC558" s="97"/>
      <c r="BD558" s="97"/>
      <c r="BE558" s="99"/>
    </row>
    <row r="559" spans="1:57" ht="15.75" customHeight="1">
      <c r="A559" s="95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7"/>
      <c r="AV559" s="97"/>
      <c r="AW559" s="97"/>
      <c r="AX559" s="97"/>
      <c r="AY559" s="97"/>
      <c r="AZ559" s="97"/>
      <c r="BA559" s="97"/>
      <c r="BB559" s="97"/>
      <c r="BC559" s="97"/>
      <c r="BD559" s="97"/>
      <c r="BE559" s="99"/>
    </row>
    <row r="560" spans="1:57" ht="15.75" customHeight="1">
      <c r="A560" s="95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7"/>
      <c r="AV560" s="97"/>
      <c r="AW560" s="97"/>
      <c r="AX560" s="97"/>
      <c r="AY560" s="97"/>
      <c r="AZ560" s="97"/>
      <c r="BA560" s="97"/>
      <c r="BB560" s="97"/>
      <c r="BC560" s="97"/>
      <c r="BD560" s="97"/>
      <c r="BE560" s="99"/>
    </row>
    <row r="561" spans="1:57" ht="15.75" customHeight="1">
      <c r="A561" s="95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7"/>
      <c r="AV561" s="97"/>
      <c r="AW561" s="97"/>
      <c r="AX561" s="97"/>
      <c r="AY561" s="97"/>
      <c r="AZ561" s="97"/>
      <c r="BA561" s="97"/>
      <c r="BB561" s="97"/>
      <c r="BC561" s="97"/>
      <c r="BD561" s="97"/>
      <c r="BE561" s="99"/>
    </row>
    <row r="562" spans="1:57" ht="15.75" customHeight="1">
      <c r="A562" s="95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7"/>
      <c r="AV562" s="97"/>
      <c r="AW562" s="97"/>
      <c r="AX562" s="97"/>
      <c r="AY562" s="97"/>
      <c r="AZ562" s="97"/>
      <c r="BA562" s="97"/>
      <c r="BB562" s="97"/>
      <c r="BC562" s="97"/>
      <c r="BD562" s="97"/>
      <c r="BE562" s="99"/>
    </row>
    <row r="563" spans="1:57" ht="15.75" customHeight="1">
      <c r="A563" s="95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7"/>
      <c r="AV563" s="97"/>
      <c r="AW563" s="97"/>
      <c r="AX563" s="97"/>
      <c r="AY563" s="97"/>
      <c r="AZ563" s="97"/>
      <c r="BA563" s="97"/>
      <c r="BB563" s="97"/>
      <c r="BC563" s="97"/>
      <c r="BD563" s="97"/>
      <c r="BE563" s="99"/>
    </row>
    <row r="564" spans="1:57" ht="15.75" customHeight="1">
      <c r="A564" s="95"/>
      <c r="B564" s="97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7"/>
      <c r="AV564" s="97"/>
      <c r="AW564" s="97"/>
      <c r="AX564" s="97"/>
      <c r="AY564" s="97"/>
      <c r="AZ564" s="97"/>
      <c r="BA564" s="97"/>
      <c r="BB564" s="97"/>
      <c r="BC564" s="97"/>
      <c r="BD564" s="97"/>
      <c r="BE564" s="99"/>
    </row>
    <row r="565" spans="1:57" ht="15.75" customHeight="1">
      <c r="A565" s="95"/>
      <c r="B565" s="97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7"/>
      <c r="AV565" s="97"/>
      <c r="AW565" s="97"/>
      <c r="AX565" s="97"/>
      <c r="AY565" s="97"/>
      <c r="AZ565" s="97"/>
      <c r="BA565" s="97"/>
      <c r="BB565" s="97"/>
      <c r="BC565" s="97"/>
      <c r="BD565" s="97"/>
      <c r="BE565" s="99"/>
    </row>
    <row r="566" spans="1:57" ht="15.75" customHeight="1">
      <c r="A566" s="95"/>
      <c r="B566" s="97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7"/>
      <c r="AV566" s="97"/>
      <c r="AW566" s="97"/>
      <c r="AX566" s="97"/>
      <c r="AY566" s="97"/>
      <c r="AZ566" s="97"/>
      <c r="BA566" s="97"/>
      <c r="BB566" s="97"/>
      <c r="BC566" s="97"/>
      <c r="BD566" s="97"/>
      <c r="BE566" s="99"/>
    </row>
    <row r="567" spans="1:57" ht="15.75" customHeight="1">
      <c r="A567" s="95"/>
      <c r="B567" s="97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7"/>
      <c r="AV567" s="97"/>
      <c r="AW567" s="97"/>
      <c r="AX567" s="97"/>
      <c r="AY567" s="97"/>
      <c r="AZ567" s="97"/>
      <c r="BA567" s="97"/>
      <c r="BB567" s="97"/>
      <c r="BC567" s="97"/>
      <c r="BD567" s="97"/>
      <c r="BE567" s="99"/>
    </row>
    <row r="568" spans="1:57" ht="15.75" customHeight="1">
      <c r="A568" s="95"/>
      <c r="B568" s="97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7"/>
      <c r="AV568" s="97"/>
      <c r="AW568" s="97"/>
      <c r="AX568" s="97"/>
      <c r="AY568" s="97"/>
      <c r="AZ568" s="97"/>
      <c r="BA568" s="97"/>
      <c r="BB568" s="97"/>
      <c r="BC568" s="97"/>
      <c r="BD568" s="97"/>
      <c r="BE568" s="99"/>
    </row>
    <row r="569" spans="1:57" ht="15.75" customHeight="1">
      <c r="A569" s="95"/>
      <c r="B569" s="97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7"/>
      <c r="AV569" s="97"/>
      <c r="AW569" s="97"/>
      <c r="AX569" s="97"/>
      <c r="AY569" s="97"/>
      <c r="AZ569" s="97"/>
      <c r="BA569" s="97"/>
      <c r="BB569" s="97"/>
      <c r="BC569" s="97"/>
      <c r="BD569" s="97"/>
      <c r="BE569" s="99"/>
    </row>
    <row r="570" spans="1:57" ht="15.75" customHeight="1">
      <c r="A570" s="95"/>
      <c r="B570" s="97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7"/>
      <c r="AV570" s="97"/>
      <c r="AW570" s="97"/>
      <c r="AX570" s="97"/>
      <c r="AY570" s="97"/>
      <c r="AZ570" s="97"/>
      <c r="BA570" s="97"/>
      <c r="BB570" s="97"/>
      <c r="BC570" s="97"/>
      <c r="BD570" s="97"/>
      <c r="BE570" s="99"/>
    </row>
    <row r="571" spans="1:57" ht="15.75" customHeight="1">
      <c r="A571" s="95"/>
      <c r="B571" s="97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7"/>
      <c r="AV571" s="97"/>
      <c r="AW571" s="97"/>
      <c r="AX571" s="97"/>
      <c r="AY571" s="97"/>
      <c r="AZ571" s="97"/>
      <c r="BA571" s="97"/>
      <c r="BB571" s="97"/>
      <c r="BC571" s="97"/>
      <c r="BD571" s="97"/>
      <c r="BE571" s="99"/>
    </row>
    <row r="572" spans="1:57" ht="15.75" customHeight="1">
      <c r="A572" s="95"/>
      <c r="B572" s="97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7"/>
      <c r="BC572" s="97"/>
      <c r="BD572" s="97"/>
      <c r="BE572" s="99"/>
    </row>
    <row r="573" spans="1:57" ht="15.75" customHeight="1">
      <c r="A573" s="95"/>
      <c r="B573" s="97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7"/>
      <c r="AV573" s="97"/>
      <c r="AW573" s="97"/>
      <c r="AX573" s="97"/>
      <c r="AY573" s="97"/>
      <c r="AZ573" s="97"/>
      <c r="BA573" s="97"/>
      <c r="BB573" s="97"/>
      <c r="BC573" s="97"/>
      <c r="BD573" s="97"/>
      <c r="BE573" s="99"/>
    </row>
    <row r="574" spans="1:57" ht="15.75" customHeight="1">
      <c r="A574" s="95"/>
      <c r="B574" s="97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7"/>
      <c r="AV574" s="97"/>
      <c r="AW574" s="97"/>
      <c r="AX574" s="97"/>
      <c r="AY574" s="97"/>
      <c r="AZ574" s="97"/>
      <c r="BA574" s="97"/>
      <c r="BB574" s="97"/>
      <c r="BC574" s="97"/>
      <c r="BD574" s="97"/>
      <c r="BE574" s="99"/>
    </row>
    <row r="575" spans="1:57" ht="15.75" customHeight="1">
      <c r="A575" s="95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7"/>
      <c r="AV575" s="97"/>
      <c r="AW575" s="97"/>
      <c r="AX575" s="97"/>
      <c r="AY575" s="97"/>
      <c r="AZ575" s="97"/>
      <c r="BA575" s="97"/>
      <c r="BB575" s="97"/>
      <c r="BC575" s="97"/>
      <c r="BD575" s="97"/>
      <c r="BE575" s="99"/>
    </row>
    <row r="576" spans="1:57" ht="15.75" customHeight="1">
      <c r="A576" s="95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7"/>
      <c r="AV576" s="97"/>
      <c r="AW576" s="97"/>
      <c r="AX576" s="97"/>
      <c r="AY576" s="97"/>
      <c r="AZ576" s="97"/>
      <c r="BA576" s="97"/>
      <c r="BB576" s="97"/>
      <c r="BC576" s="97"/>
      <c r="BD576" s="97"/>
      <c r="BE576" s="99"/>
    </row>
    <row r="577" spans="1:57" ht="15.75" customHeight="1">
      <c r="A577" s="95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7"/>
      <c r="AV577" s="97"/>
      <c r="AW577" s="97"/>
      <c r="AX577" s="97"/>
      <c r="AY577" s="97"/>
      <c r="AZ577" s="97"/>
      <c r="BA577" s="97"/>
      <c r="BB577" s="97"/>
      <c r="BC577" s="97"/>
      <c r="BD577" s="97"/>
      <c r="BE577" s="99"/>
    </row>
    <row r="578" spans="1:57" ht="15.75" customHeight="1">
      <c r="A578" s="95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7"/>
      <c r="AV578" s="97"/>
      <c r="AW578" s="97"/>
      <c r="AX578" s="97"/>
      <c r="AY578" s="97"/>
      <c r="AZ578" s="97"/>
      <c r="BA578" s="97"/>
      <c r="BB578" s="97"/>
      <c r="BC578" s="97"/>
      <c r="BD578" s="97"/>
      <c r="BE578" s="99"/>
    </row>
    <row r="579" spans="1:57" ht="15.75" customHeight="1">
      <c r="A579" s="95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7"/>
      <c r="AV579" s="97"/>
      <c r="AW579" s="97"/>
      <c r="AX579" s="97"/>
      <c r="AY579" s="97"/>
      <c r="AZ579" s="97"/>
      <c r="BA579" s="97"/>
      <c r="BB579" s="97"/>
      <c r="BC579" s="97"/>
      <c r="BD579" s="97"/>
      <c r="BE579" s="99"/>
    </row>
    <row r="580" spans="1:57" ht="15.75" customHeight="1">
      <c r="A580" s="95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7"/>
      <c r="AV580" s="97"/>
      <c r="AW580" s="97"/>
      <c r="AX580" s="97"/>
      <c r="AY580" s="97"/>
      <c r="AZ580" s="97"/>
      <c r="BA580" s="97"/>
      <c r="BB580" s="97"/>
      <c r="BC580" s="97"/>
      <c r="BD580" s="97"/>
      <c r="BE580" s="99"/>
    </row>
    <row r="581" spans="1:57" ht="15.75" customHeight="1">
      <c r="A581" s="95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7"/>
      <c r="AV581" s="97"/>
      <c r="AW581" s="97"/>
      <c r="AX581" s="97"/>
      <c r="AY581" s="97"/>
      <c r="AZ581" s="97"/>
      <c r="BA581" s="97"/>
      <c r="BB581" s="97"/>
      <c r="BC581" s="97"/>
      <c r="BD581" s="97"/>
      <c r="BE581" s="99"/>
    </row>
    <row r="582" spans="1:57" ht="15.75" customHeight="1">
      <c r="A582" s="95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7"/>
      <c r="AV582" s="97"/>
      <c r="AW582" s="97"/>
      <c r="AX582" s="97"/>
      <c r="AY582" s="97"/>
      <c r="AZ582" s="97"/>
      <c r="BA582" s="97"/>
      <c r="BB582" s="97"/>
      <c r="BC582" s="97"/>
      <c r="BD582" s="97"/>
      <c r="BE582" s="99"/>
    </row>
    <row r="583" spans="1:57" ht="15.75" customHeight="1">
      <c r="A583" s="95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7"/>
      <c r="AV583" s="97"/>
      <c r="AW583" s="97"/>
      <c r="AX583" s="97"/>
      <c r="AY583" s="97"/>
      <c r="AZ583" s="97"/>
      <c r="BA583" s="97"/>
      <c r="BB583" s="97"/>
      <c r="BC583" s="97"/>
      <c r="BD583" s="97"/>
      <c r="BE583" s="99"/>
    </row>
    <row r="584" spans="1:57" ht="15.75" customHeight="1">
      <c r="A584" s="95"/>
      <c r="B584" s="97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7"/>
      <c r="AV584" s="97"/>
      <c r="AW584" s="97"/>
      <c r="AX584" s="97"/>
      <c r="AY584" s="97"/>
      <c r="AZ584" s="97"/>
      <c r="BA584" s="97"/>
      <c r="BB584" s="97"/>
      <c r="BC584" s="97"/>
      <c r="BD584" s="97"/>
      <c r="BE584" s="99"/>
    </row>
    <row r="585" spans="1:57" ht="15.75" customHeight="1">
      <c r="A585" s="95"/>
      <c r="B585" s="97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7"/>
      <c r="AV585" s="97"/>
      <c r="AW585" s="97"/>
      <c r="AX585" s="97"/>
      <c r="AY585" s="97"/>
      <c r="AZ585" s="97"/>
      <c r="BA585" s="97"/>
      <c r="BB585" s="97"/>
      <c r="BC585" s="97"/>
      <c r="BD585" s="97"/>
      <c r="BE585" s="99"/>
    </row>
    <row r="586" spans="1:57" ht="15.75" customHeight="1">
      <c r="A586" s="95"/>
      <c r="B586" s="97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7"/>
      <c r="AV586" s="97"/>
      <c r="AW586" s="97"/>
      <c r="AX586" s="97"/>
      <c r="AY586" s="97"/>
      <c r="AZ586" s="97"/>
      <c r="BA586" s="97"/>
      <c r="BB586" s="97"/>
      <c r="BC586" s="97"/>
      <c r="BD586" s="97"/>
      <c r="BE586" s="99"/>
    </row>
    <row r="587" spans="1:57" ht="15.75" customHeight="1">
      <c r="A587" s="95"/>
      <c r="B587" s="97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7"/>
      <c r="AV587" s="97"/>
      <c r="AW587" s="97"/>
      <c r="AX587" s="97"/>
      <c r="AY587" s="97"/>
      <c r="AZ587" s="97"/>
      <c r="BA587" s="97"/>
      <c r="BB587" s="97"/>
      <c r="BC587" s="97"/>
      <c r="BD587" s="97"/>
      <c r="BE587" s="99"/>
    </row>
    <row r="588" spans="1:57" ht="15.75" customHeight="1">
      <c r="A588" s="95"/>
      <c r="B588" s="97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7"/>
      <c r="AV588" s="97"/>
      <c r="AW588" s="97"/>
      <c r="AX588" s="97"/>
      <c r="AY588" s="97"/>
      <c r="AZ588" s="97"/>
      <c r="BA588" s="97"/>
      <c r="BB588" s="97"/>
      <c r="BC588" s="97"/>
      <c r="BD588" s="97"/>
      <c r="BE588" s="99"/>
    </row>
    <row r="589" spans="1:57" ht="15.75" customHeight="1">
      <c r="A589" s="95"/>
      <c r="B589" s="97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7"/>
      <c r="AV589" s="97"/>
      <c r="AW589" s="97"/>
      <c r="AX589" s="97"/>
      <c r="AY589" s="97"/>
      <c r="AZ589" s="97"/>
      <c r="BA589" s="97"/>
      <c r="BB589" s="97"/>
      <c r="BC589" s="97"/>
      <c r="BD589" s="97"/>
      <c r="BE589" s="99"/>
    </row>
    <row r="590" spans="1:57" ht="15.75" customHeight="1">
      <c r="A590" s="95"/>
      <c r="B590" s="97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7"/>
      <c r="AV590" s="97"/>
      <c r="AW590" s="97"/>
      <c r="AX590" s="97"/>
      <c r="AY590" s="97"/>
      <c r="AZ590" s="97"/>
      <c r="BA590" s="97"/>
      <c r="BB590" s="97"/>
      <c r="BC590" s="97"/>
      <c r="BD590" s="97"/>
      <c r="BE590" s="99"/>
    </row>
    <row r="591" spans="1:57" ht="15.75" customHeight="1">
      <c r="A591" s="95"/>
      <c r="B591" s="97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7"/>
      <c r="AV591" s="97"/>
      <c r="AW591" s="97"/>
      <c r="AX591" s="97"/>
      <c r="AY591" s="97"/>
      <c r="AZ591" s="97"/>
      <c r="BA591" s="97"/>
      <c r="BB591" s="97"/>
      <c r="BC591" s="97"/>
      <c r="BD591" s="97"/>
      <c r="BE591" s="99"/>
    </row>
    <row r="592" spans="1:57" ht="15.75" customHeight="1">
      <c r="A592" s="95"/>
      <c r="B592" s="97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7"/>
      <c r="AV592" s="97"/>
      <c r="AW592" s="97"/>
      <c r="AX592" s="97"/>
      <c r="AY592" s="97"/>
      <c r="AZ592" s="97"/>
      <c r="BA592" s="97"/>
      <c r="BB592" s="97"/>
      <c r="BC592" s="97"/>
      <c r="BD592" s="97"/>
      <c r="BE592" s="99"/>
    </row>
    <row r="593" spans="1:57" ht="15.75" customHeight="1">
      <c r="A593" s="95"/>
      <c r="B593" s="97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7"/>
      <c r="AV593" s="97"/>
      <c r="AW593" s="97"/>
      <c r="AX593" s="97"/>
      <c r="AY593" s="97"/>
      <c r="AZ593" s="97"/>
      <c r="BA593" s="97"/>
      <c r="BB593" s="97"/>
      <c r="BC593" s="97"/>
      <c r="BD593" s="97"/>
      <c r="BE593" s="99"/>
    </row>
    <row r="594" spans="1:57" ht="15.75" customHeight="1">
      <c r="A594" s="95"/>
      <c r="B594" s="97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7"/>
      <c r="AV594" s="97"/>
      <c r="AW594" s="97"/>
      <c r="AX594" s="97"/>
      <c r="AY594" s="97"/>
      <c r="AZ594" s="97"/>
      <c r="BA594" s="97"/>
      <c r="BB594" s="97"/>
      <c r="BC594" s="97"/>
      <c r="BD594" s="97"/>
      <c r="BE594" s="99"/>
    </row>
    <row r="595" spans="1:57" ht="15.75" customHeight="1">
      <c r="A595" s="95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7"/>
      <c r="AV595" s="97"/>
      <c r="AW595" s="97"/>
      <c r="AX595" s="97"/>
      <c r="AY595" s="97"/>
      <c r="AZ595" s="97"/>
      <c r="BA595" s="97"/>
      <c r="BB595" s="97"/>
      <c r="BC595" s="97"/>
      <c r="BD595" s="97"/>
      <c r="BE595" s="99"/>
    </row>
    <row r="596" spans="1:57" ht="15.75" customHeight="1">
      <c r="A596" s="95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7"/>
      <c r="AV596" s="97"/>
      <c r="AW596" s="97"/>
      <c r="AX596" s="97"/>
      <c r="AY596" s="97"/>
      <c r="AZ596" s="97"/>
      <c r="BA596" s="97"/>
      <c r="BB596" s="97"/>
      <c r="BC596" s="97"/>
      <c r="BD596" s="97"/>
      <c r="BE596" s="99"/>
    </row>
    <row r="597" spans="1:57" ht="15.75" customHeight="1">
      <c r="A597" s="95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7"/>
      <c r="AV597" s="97"/>
      <c r="AW597" s="97"/>
      <c r="AX597" s="97"/>
      <c r="AY597" s="97"/>
      <c r="AZ597" s="97"/>
      <c r="BA597" s="97"/>
      <c r="BB597" s="97"/>
      <c r="BC597" s="97"/>
      <c r="BD597" s="97"/>
      <c r="BE597" s="99"/>
    </row>
    <row r="598" spans="1:57" ht="15.75" customHeight="1">
      <c r="A598" s="95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7"/>
      <c r="AV598" s="97"/>
      <c r="AW598" s="97"/>
      <c r="AX598" s="97"/>
      <c r="AY598" s="97"/>
      <c r="AZ598" s="97"/>
      <c r="BA598" s="97"/>
      <c r="BB598" s="97"/>
      <c r="BC598" s="97"/>
      <c r="BD598" s="97"/>
      <c r="BE598" s="99"/>
    </row>
    <row r="599" spans="1:57" ht="15.75" customHeight="1">
      <c r="A599" s="95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7"/>
      <c r="AV599" s="97"/>
      <c r="AW599" s="97"/>
      <c r="AX599" s="97"/>
      <c r="AY599" s="97"/>
      <c r="AZ599" s="97"/>
      <c r="BA599" s="97"/>
      <c r="BB599" s="97"/>
      <c r="BC599" s="97"/>
      <c r="BD599" s="97"/>
      <c r="BE599" s="99"/>
    </row>
    <row r="600" spans="1:57" ht="15.75" customHeight="1">
      <c r="A600" s="95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7"/>
      <c r="AV600" s="97"/>
      <c r="AW600" s="97"/>
      <c r="AX600" s="97"/>
      <c r="AY600" s="97"/>
      <c r="AZ600" s="97"/>
      <c r="BA600" s="97"/>
      <c r="BB600" s="97"/>
      <c r="BC600" s="97"/>
      <c r="BD600" s="97"/>
      <c r="BE600" s="99"/>
    </row>
    <row r="601" spans="1:57" ht="15.75" customHeight="1">
      <c r="A601" s="95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7"/>
      <c r="AV601" s="97"/>
      <c r="AW601" s="97"/>
      <c r="AX601" s="97"/>
      <c r="AY601" s="97"/>
      <c r="AZ601" s="97"/>
      <c r="BA601" s="97"/>
      <c r="BB601" s="97"/>
      <c r="BC601" s="97"/>
      <c r="BD601" s="97"/>
      <c r="BE601" s="99"/>
    </row>
    <row r="602" spans="1:57" ht="15.75" customHeight="1">
      <c r="A602" s="95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7"/>
      <c r="AV602" s="97"/>
      <c r="AW602" s="97"/>
      <c r="AX602" s="97"/>
      <c r="AY602" s="97"/>
      <c r="AZ602" s="97"/>
      <c r="BA602" s="97"/>
      <c r="BB602" s="97"/>
      <c r="BC602" s="97"/>
      <c r="BD602" s="97"/>
      <c r="BE602" s="99"/>
    </row>
    <row r="603" spans="1:57" ht="15.75" customHeight="1">
      <c r="A603" s="95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7"/>
      <c r="AV603" s="97"/>
      <c r="AW603" s="97"/>
      <c r="AX603" s="97"/>
      <c r="AY603" s="97"/>
      <c r="AZ603" s="97"/>
      <c r="BA603" s="97"/>
      <c r="BB603" s="97"/>
      <c r="BC603" s="97"/>
      <c r="BD603" s="97"/>
      <c r="BE603" s="99"/>
    </row>
    <row r="604" spans="1:57" ht="15.75" customHeight="1">
      <c r="A604" s="95"/>
      <c r="B604" s="97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7"/>
      <c r="AV604" s="97"/>
      <c r="AW604" s="97"/>
      <c r="AX604" s="97"/>
      <c r="AY604" s="97"/>
      <c r="AZ604" s="97"/>
      <c r="BA604" s="97"/>
      <c r="BB604" s="97"/>
      <c r="BC604" s="97"/>
      <c r="BD604" s="97"/>
      <c r="BE604" s="99"/>
    </row>
    <row r="605" spans="1:57" ht="15.75" customHeight="1">
      <c r="A605" s="95"/>
      <c r="B605" s="97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7"/>
      <c r="AV605" s="97"/>
      <c r="AW605" s="97"/>
      <c r="AX605" s="97"/>
      <c r="AY605" s="97"/>
      <c r="AZ605" s="97"/>
      <c r="BA605" s="97"/>
      <c r="BB605" s="97"/>
      <c r="BC605" s="97"/>
      <c r="BD605" s="97"/>
      <c r="BE605" s="99"/>
    </row>
    <row r="606" spans="1:57" ht="15.75" customHeight="1">
      <c r="A606" s="95"/>
      <c r="B606" s="97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7"/>
      <c r="AV606" s="97"/>
      <c r="AW606" s="97"/>
      <c r="AX606" s="97"/>
      <c r="AY606" s="97"/>
      <c r="AZ606" s="97"/>
      <c r="BA606" s="97"/>
      <c r="BB606" s="97"/>
      <c r="BC606" s="97"/>
      <c r="BD606" s="97"/>
      <c r="BE606" s="99"/>
    </row>
    <row r="607" spans="1:57" ht="15.75" customHeight="1">
      <c r="A607" s="95"/>
      <c r="B607" s="97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7"/>
      <c r="AV607" s="97"/>
      <c r="AW607" s="97"/>
      <c r="AX607" s="97"/>
      <c r="AY607" s="97"/>
      <c r="AZ607" s="97"/>
      <c r="BA607" s="97"/>
      <c r="BB607" s="97"/>
      <c r="BC607" s="97"/>
      <c r="BD607" s="97"/>
      <c r="BE607" s="99"/>
    </row>
    <row r="608" spans="1:57" ht="15.75" customHeight="1">
      <c r="A608" s="95"/>
      <c r="B608" s="97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7"/>
      <c r="AV608" s="97"/>
      <c r="AW608" s="97"/>
      <c r="AX608" s="97"/>
      <c r="AY608" s="97"/>
      <c r="AZ608" s="97"/>
      <c r="BA608" s="97"/>
      <c r="BB608" s="97"/>
      <c r="BC608" s="97"/>
      <c r="BD608" s="97"/>
      <c r="BE608" s="99"/>
    </row>
    <row r="609" spans="1:57" ht="15.75" customHeight="1">
      <c r="A609" s="95"/>
      <c r="B609" s="97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7"/>
      <c r="AV609" s="97"/>
      <c r="AW609" s="97"/>
      <c r="AX609" s="97"/>
      <c r="AY609" s="97"/>
      <c r="AZ609" s="97"/>
      <c r="BA609" s="97"/>
      <c r="BB609" s="97"/>
      <c r="BC609" s="97"/>
      <c r="BD609" s="97"/>
      <c r="BE609" s="99"/>
    </row>
    <row r="610" spans="1:57" ht="15.75" customHeight="1">
      <c r="A610" s="95"/>
      <c r="B610" s="97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7"/>
      <c r="AV610" s="97"/>
      <c r="AW610" s="97"/>
      <c r="AX610" s="97"/>
      <c r="AY610" s="97"/>
      <c r="AZ610" s="97"/>
      <c r="BA610" s="97"/>
      <c r="BB610" s="97"/>
      <c r="BC610" s="97"/>
      <c r="BD610" s="97"/>
      <c r="BE610" s="99"/>
    </row>
    <row r="611" spans="1:57" ht="15.75" customHeight="1">
      <c r="A611" s="95"/>
      <c r="B611" s="97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7"/>
      <c r="AV611" s="97"/>
      <c r="AW611" s="97"/>
      <c r="AX611" s="97"/>
      <c r="AY611" s="97"/>
      <c r="AZ611" s="97"/>
      <c r="BA611" s="97"/>
      <c r="BB611" s="97"/>
      <c r="BC611" s="97"/>
      <c r="BD611" s="97"/>
      <c r="BE611" s="99"/>
    </row>
    <row r="612" spans="1:57" ht="15.75" customHeight="1">
      <c r="A612" s="95"/>
      <c r="B612" s="97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7"/>
      <c r="AV612" s="97"/>
      <c r="AW612" s="97"/>
      <c r="AX612" s="97"/>
      <c r="AY612" s="97"/>
      <c r="AZ612" s="97"/>
      <c r="BA612" s="97"/>
      <c r="BB612" s="97"/>
      <c r="BC612" s="97"/>
      <c r="BD612" s="97"/>
      <c r="BE612" s="99"/>
    </row>
    <row r="613" spans="1:57" ht="15.75" customHeight="1">
      <c r="A613" s="95"/>
      <c r="B613" s="97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7"/>
      <c r="AV613" s="97"/>
      <c r="AW613" s="97"/>
      <c r="AX613" s="97"/>
      <c r="AY613" s="97"/>
      <c r="AZ613" s="97"/>
      <c r="BA613" s="97"/>
      <c r="BB613" s="97"/>
      <c r="BC613" s="97"/>
      <c r="BD613" s="97"/>
      <c r="BE613" s="99"/>
    </row>
    <row r="614" spans="1:57" ht="15.75" customHeight="1">
      <c r="A614" s="95"/>
      <c r="B614" s="97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7"/>
      <c r="AV614" s="97"/>
      <c r="AW614" s="97"/>
      <c r="AX614" s="97"/>
      <c r="AY614" s="97"/>
      <c r="AZ614" s="97"/>
      <c r="BA614" s="97"/>
      <c r="BB614" s="97"/>
      <c r="BC614" s="97"/>
      <c r="BD614" s="97"/>
      <c r="BE614" s="99"/>
    </row>
    <row r="615" spans="1:57" ht="15.75" customHeight="1">
      <c r="A615" s="95"/>
      <c r="B615" s="97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7"/>
      <c r="AV615" s="97"/>
      <c r="AW615" s="97"/>
      <c r="AX615" s="97"/>
      <c r="AY615" s="97"/>
      <c r="AZ615" s="97"/>
      <c r="BA615" s="97"/>
      <c r="BB615" s="97"/>
      <c r="BC615" s="97"/>
      <c r="BD615" s="97"/>
      <c r="BE615" s="99"/>
    </row>
    <row r="616" spans="1:57" ht="15.75" customHeight="1">
      <c r="A616" s="95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7"/>
      <c r="AV616" s="97"/>
      <c r="AW616" s="97"/>
      <c r="AX616" s="97"/>
      <c r="AY616" s="97"/>
      <c r="AZ616" s="97"/>
      <c r="BA616" s="97"/>
      <c r="BB616" s="97"/>
      <c r="BC616" s="97"/>
      <c r="BD616" s="97"/>
      <c r="BE616" s="99"/>
    </row>
    <row r="617" spans="1:57" ht="15.75" customHeight="1">
      <c r="A617" s="95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7"/>
      <c r="AV617" s="97"/>
      <c r="AW617" s="97"/>
      <c r="AX617" s="97"/>
      <c r="AY617" s="97"/>
      <c r="AZ617" s="97"/>
      <c r="BA617" s="97"/>
      <c r="BB617" s="97"/>
      <c r="BC617" s="97"/>
      <c r="BD617" s="97"/>
      <c r="BE617" s="99"/>
    </row>
    <row r="618" spans="1:57" ht="15.75" customHeight="1">
      <c r="A618" s="95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7"/>
      <c r="AV618" s="97"/>
      <c r="AW618" s="97"/>
      <c r="AX618" s="97"/>
      <c r="AY618" s="97"/>
      <c r="AZ618" s="97"/>
      <c r="BA618" s="97"/>
      <c r="BB618" s="97"/>
      <c r="BC618" s="97"/>
      <c r="BD618" s="97"/>
      <c r="BE618" s="99"/>
    </row>
    <row r="619" spans="1:57" ht="15.75" customHeight="1">
      <c r="A619" s="95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7"/>
      <c r="AV619" s="97"/>
      <c r="AW619" s="97"/>
      <c r="AX619" s="97"/>
      <c r="AY619" s="97"/>
      <c r="AZ619" s="97"/>
      <c r="BA619" s="97"/>
      <c r="BB619" s="97"/>
      <c r="BC619" s="97"/>
      <c r="BD619" s="97"/>
      <c r="BE619" s="99"/>
    </row>
    <row r="620" spans="1:57" ht="15.75" customHeight="1">
      <c r="A620" s="95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7"/>
      <c r="AV620" s="97"/>
      <c r="AW620" s="97"/>
      <c r="AX620" s="97"/>
      <c r="AY620" s="97"/>
      <c r="AZ620" s="97"/>
      <c r="BA620" s="97"/>
      <c r="BB620" s="97"/>
      <c r="BC620" s="97"/>
      <c r="BD620" s="97"/>
      <c r="BE620" s="99"/>
    </row>
    <row r="621" spans="1:57" ht="15.75" customHeight="1">
      <c r="A621" s="95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7"/>
      <c r="AV621" s="97"/>
      <c r="AW621" s="97"/>
      <c r="AX621" s="97"/>
      <c r="AY621" s="97"/>
      <c r="AZ621" s="97"/>
      <c r="BA621" s="97"/>
      <c r="BB621" s="97"/>
      <c r="BC621" s="97"/>
      <c r="BD621" s="97"/>
      <c r="BE621" s="99"/>
    </row>
    <row r="622" spans="1:57" ht="15.75" customHeight="1">
      <c r="A622" s="95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7"/>
      <c r="AV622" s="97"/>
      <c r="AW622" s="97"/>
      <c r="AX622" s="97"/>
      <c r="AY622" s="97"/>
      <c r="AZ622" s="97"/>
      <c r="BA622" s="97"/>
      <c r="BB622" s="97"/>
      <c r="BC622" s="97"/>
      <c r="BD622" s="97"/>
      <c r="BE622" s="99"/>
    </row>
    <row r="623" spans="1:57" ht="15.75" customHeight="1">
      <c r="A623" s="95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7"/>
      <c r="AV623" s="97"/>
      <c r="AW623" s="97"/>
      <c r="AX623" s="97"/>
      <c r="AY623" s="97"/>
      <c r="AZ623" s="97"/>
      <c r="BA623" s="97"/>
      <c r="BB623" s="97"/>
      <c r="BC623" s="97"/>
      <c r="BD623" s="97"/>
      <c r="BE623" s="99"/>
    </row>
    <row r="624" spans="1:57" ht="15.75" customHeight="1">
      <c r="A624" s="95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7"/>
      <c r="AV624" s="97"/>
      <c r="AW624" s="97"/>
      <c r="AX624" s="97"/>
      <c r="AY624" s="97"/>
      <c r="AZ624" s="97"/>
      <c r="BA624" s="97"/>
      <c r="BB624" s="97"/>
      <c r="BC624" s="97"/>
      <c r="BD624" s="97"/>
      <c r="BE624" s="99"/>
    </row>
    <row r="625" spans="1:57" ht="15.75" customHeight="1">
      <c r="A625" s="95"/>
      <c r="B625" s="97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7"/>
      <c r="AV625" s="97"/>
      <c r="AW625" s="97"/>
      <c r="AX625" s="97"/>
      <c r="AY625" s="97"/>
      <c r="AZ625" s="97"/>
      <c r="BA625" s="97"/>
      <c r="BB625" s="97"/>
      <c r="BC625" s="97"/>
      <c r="BD625" s="97"/>
      <c r="BE625" s="99"/>
    </row>
    <row r="626" spans="1:57" ht="15.75" customHeight="1">
      <c r="A626" s="95"/>
      <c r="B626" s="97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7"/>
      <c r="AV626" s="97"/>
      <c r="AW626" s="97"/>
      <c r="AX626" s="97"/>
      <c r="AY626" s="97"/>
      <c r="AZ626" s="97"/>
      <c r="BA626" s="97"/>
      <c r="BB626" s="97"/>
      <c r="BC626" s="97"/>
      <c r="BD626" s="97"/>
      <c r="BE626" s="99"/>
    </row>
    <row r="627" spans="1:57" ht="15.75" customHeight="1">
      <c r="A627" s="95"/>
      <c r="B627" s="97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7"/>
      <c r="AV627" s="97"/>
      <c r="AW627" s="97"/>
      <c r="AX627" s="97"/>
      <c r="AY627" s="97"/>
      <c r="AZ627" s="97"/>
      <c r="BA627" s="97"/>
      <c r="BB627" s="97"/>
      <c r="BC627" s="97"/>
      <c r="BD627" s="97"/>
      <c r="BE627" s="99"/>
    </row>
    <row r="628" spans="1:57" ht="15.75" customHeight="1">
      <c r="A628" s="95"/>
      <c r="B628" s="97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7"/>
      <c r="AV628" s="97"/>
      <c r="AW628" s="97"/>
      <c r="AX628" s="97"/>
      <c r="AY628" s="97"/>
      <c r="AZ628" s="97"/>
      <c r="BA628" s="97"/>
      <c r="BB628" s="97"/>
      <c r="BC628" s="97"/>
      <c r="BD628" s="97"/>
      <c r="BE628" s="99"/>
    </row>
    <row r="629" spans="1:57" ht="15.75" customHeight="1">
      <c r="A629" s="95"/>
      <c r="B629" s="97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7"/>
      <c r="AV629" s="97"/>
      <c r="AW629" s="97"/>
      <c r="AX629" s="97"/>
      <c r="AY629" s="97"/>
      <c r="AZ629" s="97"/>
      <c r="BA629" s="97"/>
      <c r="BB629" s="97"/>
      <c r="BC629" s="97"/>
      <c r="BD629" s="97"/>
      <c r="BE629" s="99"/>
    </row>
    <row r="630" spans="1:57" ht="15.75" customHeight="1">
      <c r="A630" s="95"/>
      <c r="B630" s="97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7"/>
      <c r="AV630" s="97"/>
      <c r="AW630" s="97"/>
      <c r="AX630" s="97"/>
      <c r="AY630" s="97"/>
      <c r="AZ630" s="97"/>
      <c r="BA630" s="97"/>
      <c r="BB630" s="97"/>
      <c r="BC630" s="97"/>
      <c r="BD630" s="97"/>
      <c r="BE630" s="99"/>
    </row>
    <row r="631" spans="1:57" ht="15.75" customHeight="1">
      <c r="A631" s="95"/>
      <c r="B631" s="97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7"/>
      <c r="AV631" s="97"/>
      <c r="AW631" s="97"/>
      <c r="AX631" s="97"/>
      <c r="AY631" s="97"/>
      <c r="AZ631" s="97"/>
      <c r="BA631" s="97"/>
      <c r="BB631" s="97"/>
      <c r="BC631" s="97"/>
      <c r="BD631" s="97"/>
      <c r="BE631" s="99"/>
    </row>
    <row r="632" spans="1:57" ht="15.75" customHeight="1">
      <c r="A632" s="95"/>
      <c r="B632" s="97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7"/>
      <c r="AV632" s="97"/>
      <c r="AW632" s="97"/>
      <c r="AX632" s="97"/>
      <c r="AY632" s="97"/>
      <c r="AZ632" s="97"/>
      <c r="BA632" s="97"/>
      <c r="BB632" s="97"/>
      <c r="BC632" s="97"/>
      <c r="BD632" s="97"/>
      <c r="BE632" s="99"/>
    </row>
    <row r="633" spans="1:57" ht="15.75" customHeight="1">
      <c r="A633" s="95"/>
      <c r="B633" s="97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7"/>
      <c r="AV633" s="97"/>
      <c r="AW633" s="97"/>
      <c r="AX633" s="97"/>
      <c r="AY633" s="97"/>
      <c r="AZ633" s="97"/>
      <c r="BA633" s="97"/>
      <c r="BB633" s="97"/>
      <c r="BC633" s="97"/>
      <c r="BD633" s="97"/>
      <c r="BE633" s="99"/>
    </row>
    <row r="634" spans="1:57" ht="15.75" customHeight="1">
      <c r="A634" s="95"/>
      <c r="B634" s="97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7"/>
      <c r="AV634" s="97"/>
      <c r="AW634" s="97"/>
      <c r="AX634" s="97"/>
      <c r="AY634" s="97"/>
      <c r="AZ634" s="97"/>
      <c r="BA634" s="97"/>
      <c r="BB634" s="97"/>
      <c r="BC634" s="97"/>
      <c r="BD634" s="97"/>
      <c r="BE634" s="99"/>
    </row>
    <row r="635" spans="1:57" ht="15.75" customHeight="1">
      <c r="A635" s="95"/>
      <c r="B635" s="97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7"/>
      <c r="AV635" s="97"/>
      <c r="AW635" s="97"/>
      <c r="AX635" s="97"/>
      <c r="AY635" s="97"/>
      <c r="AZ635" s="97"/>
      <c r="BA635" s="97"/>
      <c r="BB635" s="97"/>
      <c r="BC635" s="97"/>
      <c r="BD635" s="97"/>
      <c r="BE635" s="99"/>
    </row>
    <row r="636" spans="1:57" ht="15.75" customHeight="1">
      <c r="A636" s="95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7"/>
      <c r="AV636" s="97"/>
      <c r="AW636" s="97"/>
      <c r="AX636" s="97"/>
      <c r="AY636" s="97"/>
      <c r="AZ636" s="97"/>
      <c r="BA636" s="97"/>
      <c r="BB636" s="97"/>
      <c r="BC636" s="97"/>
      <c r="BD636" s="97"/>
      <c r="BE636" s="99"/>
    </row>
    <row r="637" spans="1:57" ht="15.75" customHeight="1">
      <c r="A637" s="95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7"/>
      <c r="AV637" s="97"/>
      <c r="AW637" s="97"/>
      <c r="AX637" s="97"/>
      <c r="AY637" s="97"/>
      <c r="AZ637" s="97"/>
      <c r="BA637" s="97"/>
      <c r="BB637" s="97"/>
      <c r="BC637" s="97"/>
      <c r="BD637" s="97"/>
      <c r="BE637" s="99"/>
    </row>
    <row r="638" spans="1:57" ht="15.75" customHeight="1">
      <c r="A638" s="95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7"/>
      <c r="AV638" s="97"/>
      <c r="AW638" s="97"/>
      <c r="AX638" s="97"/>
      <c r="AY638" s="97"/>
      <c r="AZ638" s="97"/>
      <c r="BA638" s="97"/>
      <c r="BB638" s="97"/>
      <c r="BC638" s="97"/>
      <c r="BD638" s="97"/>
      <c r="BE638" s="99"/>
    </row>
    <row r="639" spans="1:57" ht="15.75" customHeight="1">
      <c r="A639" s="95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7"/>
      <c r="AV639" s="97"/>
      <c r="AW639" s="97"/>
      <c r="AX639" s="97"/>
      <c r="AY639" s="97"/>
      <c r="AZ639" s="97"/>
      <c r="BA639" s="97"/>
      <c r="BB639" s="97"/>
      <c r="BC639" s="97"/>
      <c r="BD639" s="97"/>
      <c r="BE639" s="99"/>
    </row>
    <row r="640" spans="1:57" ht="15.75" customHeight="1">
      <c r="A640" s="95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7"/>
      <c r="AV640" s="97"/>
      <c r="AW640" s="97"/>
      <c r="AX640" s="97"/>
      <c r="AY640" s="97"/>
      <c r="AZ640" s="97"/>
      <c r="BA640" s="97"/>
      <c r="BB640" s="97"/>
      <c r="BC640" s="97"/>
      <c r="BD640" s="97"/>
      <c r="BE640" s="99"/>
    </row>
    <row r="641" spans="1:57" ht="15.75" customHeight="1">
      <c r="A641" s="95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7"/>
      <c r="AV641" s="97"/>
      <c r="AW641" s="97"/>
      <c r="AX641" s="97"/>
      <c r="AY641" s="97"/>
      <c r="AZ641" s="97"/>
      <c r="BA641" s="97"/>
      <c r="BB641" s="97"/>
      <c r="BC641" s="97"/>
      <c r="BD641" s="97"/>
      <c r="BE641" s="99"/>
    </row>
    <row r="642" spans="1:57" ht="15.75" customHeight="1">
      <c r="A642" s="95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7"/>
      <c r="AV642" s="97"/>
      <c r="AW642" s="97"/>
      <c r="AX642" s="97"/>
      <c r="AY642" s="97"/>
      <c r="AZ642" s="97"/>
      <c r="BA642" s="97"/>
      <c r="BB642" s="97"/>
      <c r="BC642" s="97"/>
      <c r="BD642" s="97"/>
      <c r="BE642" s="99"/>
    </row>
    <row r="643" spans="1:57" ht="15.75" customHeight="1">
      <c r="A643" s="95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7"/>
      <c r="AV643" s="97"/>
      <c r="AW643" s="97"/>
      <c r="AX643" s="97"/>
      <c r="AY643" s="97"/>
      <c r="AZ643" s="97"/>
      <c r="BA643" s="97"/>
      <c r="BB643" s="97"/>
      <c r="BC643" s="97"/>
      <c r="BD643" s="97"/>
      <c r="BE643" s="99"/>
    </row>
    <row r="644" spans="1:57" ht="15.75" customHeight="1">
      <c r="A644" s="95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7"/>
      <c r="AV644" s="97"/>
      <c r="AW644" s="97"/>
      <c r="AX644" s="97"/>
      <c r="AY644" s="97"/>
      <c r="AZ644" s="97"/>
      <c r="BA644" s="97"/>
      <c r="BB644" s="97"/>
      <c r="BC644" s="97"/>
      <c r="BD644" s="97"/>
      <c r="BE644" s="99"/>
    </row>
    <row r="645" spans="1:57" ht="15.75" customHeight="1">
      <c r="A645" s="95"/>
      <c r="B645" s="97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7"/>
      <c r="AV645" s="97"/>
      <c r="AW645" s="97"/>
      <c r="AX645" s="97"/>
      <c r="AY645" s="97"/>
      <c r="AZ645" s="97"/>
      <c r="BA645" s="97"/>
      <c r="BB645" s="97"/>
      <c r="BC645" s="97"/>
      <c r="BD645" s="97"/>
      <c r="BE645" s="99"/>
    </row>
    <row r="646" spans="1:57" ht="15.75" customHeight="1">
      <c r="A646" s="95"/>
      <c r="B646" s="97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7"/>
      <c r="AV646" s="97"/>
      <c r="AW646" s="97"/>
      <c r="AX646" s="97"/>
      <c r="AY646" s="97"/>
      <c r="AZ646" s="97"/>
      <c r="BA646" s="97"/>
      <c r="BB646" s="97"/>
      <c r="BC646" s="97"/>
      <c r="BD646" s="97"/>
      <c r="BE646" s="99"/>
    </row>
    <row r="647" spans="1:57" ht="15.75" customHeight="1">
      <c r="A647" s="95"/>
      <c r="B647" s="97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7"/>
      <c r="AV647" s="97"/>
      <c r="AW647" s="97"/>
      <c r="AX647" s="97"/>
      <c r="AY647" s="97"/>
      <c r="AZ647" s="97"/>
      <c r="BA647" s="97"/>
      <c r="BB647" s="97"/>
      <c r="BC647" s="97"/>
      <c r="BD647" s="97"/>
      <c r="BE647" s="99"/>
    </row>
    <row r="648" spans="1:57" ht="15.75" customHeight="1">
      <c r="A648" s="95"/>
      <c r="B648" s="97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7"/>
      <c r="AV648" s="97"/>
      <c r="AW648" s="97"/>
      <c r="AX648" s="97"/>
      <c r="AY648" s="97"/>
      <c r="AZ648" s="97"/>
      <c r="BA648" s="97"/>
      <c r="BB648" s="97"/>
      <c r="BC648" s="97"/>
      <c r="BD648" s="97"/>
      <c r="BE648" s="99"/>
    </row>
    <row r="649" spans="1:57" ht="15.75" customHeight="1">
      <c r="A649" s="95"/>
      <c r="B649" s="97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7"/>
      <c r="AV649" s="97"/>
      <c r="AW649" s="97"/>
      <c r="AX649" s="97"/>
      <c r="AY649" s="97"/>
      <c r="AZ649" s="97"/>
      <c r="BA649" s="97"/>
      <c r="BB649" s="97"/>
      <c r="BC649" s="97"/>
      <c r="BD649" s="97"/>
      <c r="BE649" s="99"/>
    </row>
    <row r="650" spans="1:57" ht="15.75" customHeight="1">
      <c r="A650" s="95"/>
      <c r="B650" s="97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7"/>
      <c r="AV650" s="97"/>
      <c r="AW650" s="97"/>
      <c r="AX650" s="97"/>
      <c r="AY650" s="97"/>
      <c r="AZ650" s="97"/>
      <c r="BA650" s="97"/>
      <c r="BB650" s="97"/>
      <c r="BC650" s="97"/>
      <c r="BD650" s="97"/>
      <c r="BE650" s="99"/>
    </row>
    <row r="651" spans="1:57" ht="15.75" customHeight="1">
      <c r="A651" s="95"/>
      <c r="B651" s="97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7"/>
      <c r="AV651" s="97"/>
      <c r="AW651" s="97"/>
      <c r="AX651" s="97"/>
      <c r="AY651" s="97"/>
      <c r="AZ651" s="97"/>
      <c r="BA651" s="97"/>
      <c r="BB651" s="97"/>
      <c r="BC651" s="97"/>
      <c r="BD651" s="97"/>
      <c r="BE651" s="99"/>
    </row>
    <row r="652" spans="1:57" ht="15.75" customHeight="1">
      <c r="A652" s="95"/>
      <c r="B652" s="97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7"/>
      <c r="AV652" s="97"/>
      <c r="AW652" s="97"/>
      <c r="AX652" s="97"/>
      <c r="AY652" s="97"/>
      <c r="AZ652" s="97"/>
      <c r="BA652" s="97"/>
      <c r="BB652" s="97"/>
      <c r="BC652" s="97"/>
      <c r="BD652" s="97"/>
      <c r="BE652" s="99"/>
    </row>
    <row r="653" spans="1:57" ht="15.75" customHeight="1">
      <c r="A653" s="95"/>
      <c r="B653" s="97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7"/>
      <c r="AV653" s="97"/>
      <c r="AW653" s="97"/>
      <c r="AX653" s="97"/>
      <c r="AY653" s="97"/>
      <c r="AZ653" s="97"/>
      <c r="BA653" s="97"/>
      <c r="BB653" s="97"/>
      <c r="BC653" s="97"/>
      <c r="BD653" s="97"/>
      <c r="BE653" s="99"/>
    </row>
    <row r="654" spans="1:57" ht="15.75" customHeight="1">
      <c r="A654" s="95"/>
      <c r="B654" s="97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7"/>
      <c r="AV654" s="97"/>
      <c r="AW654" s="97"/>
      <c r="AX654" s="97"/>
      <c r="AY654" s="97"/>
      <c r="AZ654" s="97"/>
      <c r="BA654" s="97"/>
      <c r="BB654" s="97"/>
      <c r="BC654" s="97"/>
      <c r="BD654" s="97"/>
      <c r="BE654" s="99"/>
    </row>
    <row r="655" spans="1:57" ht="15.75" customHeight="1">
      <c r="A655" s="95"/>
      <c r="B655" s="97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7"/>
      <c r="AV655" s="97"/>
      <c r="AW655" s="97"/>
      <c r="AX655" s="97"/>
      <c r="AY655" s="97"/>
      <c r="AZ655" s="97"/>
      <c r="BA655" s="97"/>
      <c r="BB655" s="97"/>
      <c r="BC655" s="97"/>
      <c r="BD655" s="97"/>
      <c r="BE655" s="99"/>
    </row>
    <row r="656" spans="1:57" ht="15.75" customHeight="1">
      <c r="A656" s="95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7"/>
      <c r="AV656" s="97"/>
      <c r="AW656" s="97"/>
      <c r="AX656" s="97"/>
      <c r="AY656" s="97"/>
      <c r="AZ656" s="97"/>
      <c r="BA656" s="97"/>
      <c r="BB656" s="97"/>
      <c r="BC656" s="97"/>
      <c r="BD656" s="97"/>
      <c r="BE656" s="99"/>
    </row>
    <row r="657" spans="1:57" ht="15.75" customHeight="1">
      <c r="A657" s="95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7"/>
      <c r="AV657" s="97"/>
      <c r="AW657" s="97"/>
      <c r="AX657" s="97"/>
      <c r="AY657" s="97"/>
      <c r="AZ657" s="97"/>
      <c r="BA657" s="97"/>
      <c r="BB657" s="97"/>
      <c r="BC657" s="97"/>
      <c r="BD657" s="97"/>
      <c r="BE657" s="99"/>
    </row>
    <row r="658" spans="1:57" ht="15.75" customHeight="1">
      <c r="A658" s="95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7"/>
      <c r="AV658" s="97"/>
      <c r="AW658" s="97"/>
      <c r="AX658" s="97"/>
      <c r="AY658" s="97"/>
      <c r="AZ658" s="97"/>
      <c r="BA658" s="97"/>
      <c r="BB658" s="97"/>
      <c r="BC658" s="97"/>
      <c r="BD658" s="97"/>
      <c r="BE658" s="99"/>
    </row>
    <row r="659" spans="1:57" ht="15.75" customHeight="1">
      <c r="A659" s="95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7"/>
      <c r="AV659" s="97"/>
      <c r="AW659" s="97"/>
      <c r="AX659" s="97"/>
      <c r="AY659" s="97"/>
      <c r="AZ659" s="97"/>
      <c r="BA659" s="97"/>
      <c r="BB659" s="97"/>
      <c r="BC659" s="97"/>
      <c r="BD659" s="97"/>
      <c r="BE659" s="99"/>
    </row>
    <row r="660" spans="1:57" ht="15.75" customHeight="1">
      <c r="A660" s="95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7"/>
      <c r="AV660" s="97"/>
      <c r="AW660" s="97"/>
      <c r="AX660" s="97"/>
      <c r="AY660" s="97"/>
      <c r="AZ660" s="97"/>
      <c r="BA660" s="97"/>
      <c r="BB660" s="97"/>
      <c r="BC660" s="97"/>
      <c r="BD660" s="97"/>
      <c r="BE660" s="99"/>
    </row>
    <row r="661" spans="1:57" ht="15.75" customHeight="1">
      <c r="A661" s="95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7"/>
      <c r="AV661" s="97"/>
      <c r="AW661" s="97"/>
      <c r="AX661" s="97"/>
      <c r="AY661" s="97"/>
      <c r="AZ661" s="97"/>
      <c r="BA661" s="97"/>
      <c r="BB661" s="97"/>
      <c r="BC661" s="97"/>
      <c r="BD661" s="97"/>
      <c r="BE661" s="99"/>
    </row>
    <row r="662" spans="1:57" ht="15.75" customHeight="1">
      <c r="A662" s="95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7"/>
      <c r="AV662" s="97"/>
      <c r="AW662" s="97"/>
      <c r="AX662" s="97"/>
      <c r="AY662" s="97"/>
      <c r="AZ662" s="97"/>
      <c r="BA662" s="97"/>
      <c r="BB662" s="97"/>
      <c r="BC662" s="97"/>
      <c r="BD662" s="97"/>
      <c r="BE662" s="99"/>
    </row>
    <row r="663" spans="1:57" ht="15.75" customHeight="1">
      <c r="A663" s="95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7"/>
      <c r="AV663" s="97"/>
      <c r="AW663" s="97"/>
      <c r="AX663" s="97"/>
      <c r="AY663" s="97"/>
      <c r="AZ663" s="97"/>
      <c r="BA663" s="97"/>
      <c r="BB663" s="97"/>
      <c r="BC663" s="97"/>
      <c r="BD663" s="97"/>
      <c r="BE663" s="99"/>
    </row>
    <row r="664" spans="1:57" ht="15.75" customHeight="1">
      <c r="A664" s="95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7"/>
      <c r="AV664" s="97"/>
      <c r="AW664" s="97"/>
      <c r="AX664" s="97"/>
      <c r="AY664" s="97"/>
      <c r="AZ664" s="97"/>
      <c r="BA664" s="97"/>
      <c r="BB664" s="97"/>
      <c r="BC664" s="97"/>
      <c r="BD664" s="97"/>
      <c r="BE664" s="99"/>
    </row>
    <row r="665" spans="1:57" ht="15.75" customHeight="1">
      <c r="A665" s="95"/>
      <c r="B665" s="97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7"/>
      <c r="AV665" s="97"/>
      <c r="AW665" s="97"/>
      <c r="AX665" s="97"/>
      <c r="AY665" s="97"/>
      <c r="AZ665" s="97"/>
      <c r="BA665" s="97"/>
      <c r="BB665" s="97"/>
      <c r="BC665" s="97"/>
      <c r="BD665" s="97"/>
      <c r="BE665" s="99"/>
    </row>
    <row r="666" spans="1:57" ht="15.75" customHeight="1">
      <c r="A666" s="95"/>
      <c r="B666" s="97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7"/>
      <c r="AV666" s="97"/>
      <c r="AW666" s="97"/>
      <c r="AX666" s="97"/>
      <c r="AY666" s="97"/>
      <c r="AZ666" s="97"/>
      <c r="BA666" s="97"/>
      <c r="BB666" s="97"/>
      <c r="BC666" s="97"/>
      <c r="BD666" s="97"/>
      <c r="BE666" s="99"/>
    </row>
    <row r="667" spans="1:57" ht="15.75" customHeight="1">
      <c r="A667" s="95"/>
      <c r="B667" s="97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7"/>
      <c r="AV667" s="97"/>
      <c r="AW667" s="97"/>
      <c r="AX667" s="97"/>
      <c r="AY667" s="97"/>
      <c r="AZ667" s="97"/>
      <c r="BA667" s="97"/>
      <c r="BB667" s="97"/>
      <c r="BC667" s="97"/>
      <c r="BD667" s="97"/>
      <c r="BE667" s="99"/>
    </row>
    <row r="668" spans="1:57" ht="15.75" customHeight="1">
      <c r="A668" s="95"/>
      <c r="B668" s="97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7"/>
      <c r="AV668" s="97"/>
      <c r="AW668" s="97"/>
      <c r="AX668" s="97"/>
      <c r="AY668" s="97"/>
      <c r="AZ668" s="97"/>
      <c r="BA668" s="97"/>
      <c r="BB668" s="97"/>
      <c r="BC668" s="97"/>
      <c r="BD668" s="97"/>
      <c r="BE668" s="99"/>
    </row>
    <row r="669" spans="1:57" ht="15.75" customHeight="1">
      <c r="A669" s="95"/>
      <c r="B669" s="97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7"/>
      <c r="AV669" s="97"/>
      <c r="AW669" s="97"/>
      <c r="AX669" s="97"/>
      <c r="AY669" s="97"/>
      <c r="AZ669" s="97"/>
      <c r="BA669" s="97"/>
      <c r="BB669" s="97"/>
      <c r="BC669" s="97"/>
      <c r="BD669" s="97"/>
      <c r="BE669" s="99"/>
    </row>
    <row r="670" spans="1:57" ht="15.75" customHeight="1">
      <c r="A670" s="95"/>
      <c r="B670" s="97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7"/>
      <c r="AV670" s="97"/>
      <c r="AW670" s="97"/>
      <c r="AX670" s="97"/>
      <c r="AY670" s="97"/>
      <c r="AZ670" s="97"/>
      <c r="BA670" s="97"/>
      <c r="BB670" s="97"/>
      <c r="BC670" s="97"/>
      <c r="BD670" s="97"/>
      <c r="BE670" s="99"/>
    </row>
    <row r="671" spans="1:57" ht="15.75" customHeight="1">
      <c r="A671" s="95"/>
      <c r="B671" s="97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7"/>
      <c r="AV671" s="97"/>
      <c r="AW671" s="97"/>
      <c r="AX671" s="97"/>
      <c r="AY671" s="97"/>
      <c r="AZ671" s="97"/>
      <c r="BA671" s="97"/>
      <c r="BB671" s="97"/>
      <c r="BC671" s="97"/>
      <c r="BD671" s="97"/>
      <c r="BE671" s="99"/>
    </row>
    <row r="672" spans="1:57" ht="15.75" customHeight="1">
      <c r="A672" s="95"/>
      <c r="B672" s="97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7"/>
      <c r="AV672" s="97"/>
      <c r="AW672" s="97"/>
      <c r="AX672" s="97"/>
      <c r="AY672" s="97"/>
      <c r="AZ672" s="97"/>
      <c r="BA672" s="97"/>
      <c r="BB672" s="97"/>
      <c r="BC672" s="97"/>
      <c r="BD672" s="97"/>
      <c r="BE672" s="99"/>
    </row>
    <row r="673" spans="1:57" ht="15.75" customHeight="1">
      <c r="A673" s="95"/>
      <c r="B673" s="97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7"/>
      <c r="AV673" s="97"/>
      <c r="AW673" s="97"/>
      <c r="AX673" s="97"/>
      <c r="AY673" s="97"/>
      <c r="AZ673" s="97"/>
      <c r="BA673" s="97"/>
      <c r="BB673" s="97"/>
      <c r="BC673" s="97"/>
      <c r="BD673" s="97"/>
      <c r="BE673" s="99"/>
    </row>
    <row r="674" spans="1:57" ht="15.75" customHeight="1">
      <c r="A674" s="95"/>
      <c r="B674" s="97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7"/>
      <c r="AV674" s="97"/>
      <c r="AW674" s="97"/>
      <c r="AX674" s="97"/>
      <c r="AY674" s="97"/>
      <c r="AZ674" s="97"/>
      <c r="BA674" s="97"/>
      <c r="BB674" s="97"/>
      <c r="BC674" s="97"/>
      <c r="BD674" s="97"/>
      <c r="BE674" s="99"/>
    </row>
    <row r="675" spans="1:57" ht="15.75" customHeight="1">
      <c r="A675" s="95"/>
      <c r="B675" s="97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7"/>
      <c r="AV675" s="97"/>
      <c r="AW675" s="97"/>
      <c r="AX675" s="97"/>
      <c r="AY675" s="97"/>
      <c r="AZ675" s="97"/>
      <c r="BA675" s="97"/>
      <c r="BB675" s="97"/>
      <c r="BC675" s="97"/>
      <c r="BD675" s="97"/>
      <c r="BE675" s="99"/>
    </row>
    <row r="676" spans="1:57" ht="15.75" customHeight="1">
      <c r="A676" s="95"/>
      <c r="B676" s="97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7"/>
      <c r="AV676" s="97"/>
      <c r="AW676" s="97"/>
      <c r="AX676" s="97"/>
      <c r="AY676" s="97"/>
      <c r="AZ676" s="97"/>
      <c r="BA676" s="97"/>
      <c r="BB676" s="97"/>
      <c r="BC676" s="97"/>
      <c r="BD676" s="97"/>
      <c r="BE676" s="99"/>
    </row>
    <row r="677" spans="1:57" ht="15.75" customHeight="1">
      <c r="A677" s="95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7"/>
      <c r="AV677" s="97"/>
      <c r="AW677" s="97"/>
      <c r="AX677" s="97"/>
      <c r="AY677" s="97"/>
      <c r="AZ677" s="97"/>
      <c r="BA677" s="97"/>
      <c r="BB677" s="97"/>
      <c r="BC677" s="97"/>
      <c r="BD677" s="97"/>
      <c r="BE677" s="99"/>
    </row>
    <row r="678" spans="1:57" ht="15.75" customHeight="1">
      <c r="A678" s="95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7"/>
      <c r="AV678" s="97"/>
      <c r="AW678" s="97"/>
      <c r="AX678" s="97"/>
      <c r="AY678" s="97"/>
      <c r="AZ678" s="97"/>
      <c r="BA678" s="97"/>
      <c r="BB678" s="97"/>
      <c r="BC678" s="97"/>
      <c r="BD678" s="97"/>
      <c r="BE678" s="99"/>
    </row>
    <row r="679" spans="1:57" ht="15.75" customHeight="1">
      <c r="A679" s="95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7"/>
      <c r="AV679" s="97"/>
      <c r="AW679" s="97"/>
      <c r="AX679" s="97"/>
      <c r="AY679" s="97"/>
      <c r="AZ679" s="97"/>
      <c r="BA679" s="97"/>
      <c r="BB679" s="97"/>
      <c r="BC679" s="97"/>
      <c r="BD679" s="97"/>
      <c r="BE679" s="99"/>
    </row>
    <row r="680" spans="1:57" ht="15.75" customHeight="1">
      <c r="A680" s="95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7"/>
      <c r="AV680" s="97"/>
      <c r="AW680" s="97"/>
      <c r="AX680" s="97"/>
      <c r="AY680" s="97"/>
      <c r="AZ680" s="97"/>
      <c r="BA680" s="97"/>
      <c r="BB680" s="97"/>
      <c r="BC680" s="97"/>
      <c r="BD680" s="97"/>
      <c r="BE680" s="99"/>
    </row>
    <row r="681" spans="1:57" ht="15.75" customHeight="1">
      <c r="A681" s="95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7"/>
      <c r="AV681" s="97"/>
      <c r="AW681" s="97"/>
      <c r="AX681" s="97"/>
      <c r="AY681" s="97"/>
      <c r="AZ681" s="97"/>
      <c r="BA681" s="97"/>
      <c r="BB681" s="97"/>
      <c r="BC681" s="97"/>
      <c r="BD681" s="97"/>
      <c r="BE681" s="99"/>
    </row>
    <row r="682" spans="1:57" ht="15.75" customHeight="1">
      <c r="A682" s="95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7"/>
      <c r="AV682" s="97"/>
      <c r="AW682" s="97"/>
      <c r="AX682" s="97"/>
      <c r="AY682" s="97"/>
      <c r="AZ682" s="97"/>
      <c r="BA682" s="97"/>
      <c r="BB682" s="97"/>
      <c r="BC682" s="97"/>
      <c r="BD682" s="97"/>
      <c r="BE682" s="99"/>
    </row>
    <row r="683" spans="1:57" ht="15.75" customHeight="1">
      <c r="A683" s="95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7"/>
      <c r="AV683" s="97"/>
      <c r="AW683" s="97"/>
      <c r="AX683" s="97"/>
      <c r="AY683" s="97"/>
      <c r="AZ683" s="97"/>
      <c r="BA683" s="97"/>
      <c r="BB683" s="97"/>
      <c r="BC683" s="97"/>
      <c r="BD683" s="97"/>
      <c r="BE683" s="99"/>
    </row>
    <row r="684" spans="1:57" ht="15.75" customHeight="1">
      <c r="A684" s="95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7"/>
      <c r="AV684" s="97"/>
      <c r="AW684" s="97"/>
      <c r="AX684" s="97"/>
      <c r="AY684" s="97"/>
      <c r="AZ684" s="97"/>
      <c r="BA684" s="97"/>
      <c r="BB684" s="97"/>
      <c r="BC684" s="97"/>
      <c r="BD684" s="97"/>
      <c r="BE684" s="99"/>
    </row>
    <row r="685" spans="1:57" ht="15.75" customHeight="1">
      <c r="A685" s="95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7"/>
      <c r="AV685" s="97"/>
      <c r="AW685" s="97"/>
      <c r="AX685" s="97"/>
      <c r="AY685" s="97"/>
      <c r="AZ685" s="97"/>
      <c r="BA685" s="97"/>
      <c r="BB685" s="97"/>
      <c r="BC685" s="97"/>
      <c r="BD685" s="97"/>
      <c r="BE685" s="99"/>
    </row>
    <row r="686" spans="1:57" ht="15.75" customHeight="1">
      <c r="A686" s="95"/>
      <c r="B686" s="97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7"/>
      <c r="AV686" s="97"/>
      <c r="AW686" s="97"/>
      <c r="AX686" s="97"/>
      <c r="AY686" s="97"/>
      <c r="AZ686" s="97"/>
      <c r="BA686" s="97"/>
      <c r="BB686" s="97"/>
      <c r="BC686" s="97"/>
      <c r="BD686" s="97"/>
      <c r="BE686" s="99"/>
    </row>
    <row r="687" spans="1:57" ht="15.75" customHeight="1">
      <c r="A687" s="95"/>
      <c r="B687" s="97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7"/>
      <c r="AV687" s="97"/>
      <c r="AW687" s="97"/>
      <c r="AX687" s="97"/>
      <c r="AY687" s="97"/>
      <c r="AZ687" s="97"/>
      <c r="BA687" s="97"/>
      <c r="BB687" s="97"/>
      <c r="BC687" s="97"/>
      <c r="BD687" s="97"/>
      <c r="BE687" s="99"/>
    </row>
    <row r="688" spans="1:57" ht="15.75" customHeight="1">
      <c r="A688" s="95"/>
      <c r="B688" s="97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7"/>
      <c r="AV688" s="97"/>
      <c r="AW688" s="97"/>
      <c r="AX688" s="97"/>
      <c r="AY688" s="97"/>
      <c r="AZ688" s="97"/>
      <c r="BA688" s="97"/>
      <c r="BB688" s="97"/>
      <c r="BC688" s="97"/>
      <c r="BD688" s="97"/>
      <c r="BE688" s="99"/>
    </row>
    <row r="689" spans="1:57" ht="15.75" customHeight="1">
      <c r="A689" s="95"/>
      <c r="B689" s="97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7"/>
      <c r="AV689" s="97"/>
      <c r="AW689" s="97"/>
      <c r="AX689" s="97"/>
      <c r="AY689" s="97"/>
      <c r="AZ689" s="97"/>
      <c r="BA689" s="97"/>
      <c r="BB689" s="97"/>
      <c r="BC689" s="97"/>
      <c r="BD689" s="97"/>
      <c r="BE689" s="99"/>
    </row>
    <row r="690" spans="1:57" ht="15.75" customHeight="1">
      <c r="A690" s="95"/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7"/>
      <c r="AV690" s="97"/>
      <c r="AW690" s="97"/>
      <c r="AX690" s="97"/>
      <c r="AY690" s="97"/>
      <c r="AZ690" s="97"/>
      <c r="BA690" s="97"/>
      <c r="BB690" s="97"/>
      <c r="BC690" s="97"/>
      <c r="BD690" s="97"/>
      <c r="BE690" s="99"/>
    </row>
    <row r="691" spans="1:57" ht="15.75" customHeight="1">
      <c r="A691" s="95"/>
      <c r="B691" s="97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7"/>
      <c r="AV691" s="97"/>
      <c r="AW691" s="97"/>
      <c r="AX691" s="97"/>
      <c r="AY691" s="97"/>
      <c r="AZ691" s="97"/>
      <c r="BA691" s="97"/>
      <c r="BB691" s="97"/>
      <c r="BC691" s="97"/>
      <c r="BD691" s="97"/>
      <c r="BE691" s="99"/>
    </row>
    <row r="692" spans="1:57" ht="15.75" customHeight="1">
      <c r="A692" s="95"/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7"/>
      <c r="AV692" s="97"/>
      <c r="AW692" s="97"/>
      <c r="AX692" s="97"/>
      <c r="AY692" s="97"/>
      <c r="AZ692" s="97"/>
      <c r="BA692" s="97"/>
      <c r="BB692" s="97"/>
      <c r="BC692" s="97"/>
      <c r="BD692" s="97"/>
      <c r="BE692" s="99"/>
    </row>
    <row r="693" spans="1:57" ht="15.75" customHeight="1">
      <c r="A693" s="95"/>
      <c r="B693" s="97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7"/>
      <c r="AV693" s="97"/>
      <c r="AW693" s="97"/>
      <c r="AX693" s="97"/>
      <c r="AY693" s="97"/>
      <c r="AZ693" s="97"/>
      <c r="BA693" s="97"/>
      <c r="BB693" s="97"/>
      <c r="BC693" s="97"/>
      <c r="BD693" s="97"/>
      <c r="BE693" s="99"/>
    </row>
    <row r="694" spans="1:57" ht="15.75" customHeight="1">
      <c r="A694" s="95"/>
      <c r="B694" s="97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7"/>
      <c r="AV694" s="97"/>
      <c r="AW694" s="97"/>
      <c r="AX694" s="97"/>
      <c r="AY694" s="97"/>
      <c r="AZ694" s="97"/>
      <c r="BA694" s="97"/>
      <c r="BB694" s="97"/>
      <c r="BC694" s="97"/>
      <c r="BD694" s="97"/>
      <c r="BE694" s="99"/>
    </row>
    <row r="695" spans="1:57" ht="15.75" customHeight="1">
      <c r="A695" s="95"/>
      <c r="B695" s="97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7"/>
      <c r="AV695" s="97"/>
      <c r="AW695" s="97"/>
      <c r="AX695" s="97"/>
      <c r="AY695" s="97"/>
      <c r="AZ695" s="97"/>
      <c r="BA695" s="97"/>
      <c r="BB695" s="97"/>
      <c r="BC695" s="97"/>
      <c r="BD695" s="97"/>
      <c r="BE695" s="99"/>
    </row>
    <row r="696" spans="1:57" ht="15.75" customHeight="1">
      <c r="A696" s="95"/>
      <c r="B696" s="97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7"/>
      <c r="AV696" s="97"/>
      <c r="AW696" s="97"/>
      <c r="AX696" s="97"/>
      <c r="AY696" s="97"/>
      <c r="AZ696" s="97"/>
      <c r="BA696" s="97"/>
      <c r="BB696" s="97"/>
      <c r="BC696" s="97"/>
      <c r="BD696" s="97"/>
      <c r="BE696" s="99"/>
    </row>
    <row r="697" spans="1:57" ht="15.75" customHeight="1">
      <c r="A697" s="95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7"/>
      <c r="AV697" s="97"/>
      <c r="AW697" s="97"/>
      <c r="AX697" s="97"/>
      <c r="AY697" s="97"/>
      <c r="AZ697" s="97"/>
      <c r="BA697" s="97"/>
      <c r="BB697" s="97"/>
      <c r="BC697" s="97"/>
      <c r="BD697" s="97"/>
      <c r="BE697" s="99"/>
    </row>
    <row r="698" spans="1:57" ht="15.75" customHeight="1">
      <c r="A698" s="95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7"/>
      <c r="AV698" s="97"/>
      <c r="AW698" s="97"/>
      <c r="AX698" s="97"/>
      <c r="AY698" s="97"/>
      <c r="AZ698" s="97"/>
      <c r="BA698" s="97"/>
      <c r="BB698" s="97"/>
      <c r="BC698" s="97"/>
      <c r="BD698" s="97"/>
      <c r="BE698" s="99"/>
    </row>
    <row r="699" spans="1:57" ht="15.75" customHeight="1">
      <c r="A699" s="95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7"/>
      <c r="AV699" s="97"/>
      <c r="AW699" s="97"/>
      <c r="AX699" s="97"/>
      <c r="AY699" s="97"/>
      <c r="AZ699" s="97"/>
      <c r="BA699" s="97"/>
      <c r="BB699" s="97"/>
      <c r="BC699" s="97"/>
      <c r="BD699" s="97"/>
      <c r="BE699" s="99"/>
    </row>
    <row r="700" spans="1:57" ht="15.75" customHeight="1">
      <c r="A700" s="95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7"/>
      <c r="AV700" s="97"/>
      <c r="AW700" s="97"/>
      <c r="AX700" s="97"/>
      <c r="AY700" s="97"/>
      <c r="AZ700" s="97"/>
      <c r="BA700" s="97"/>
      <c r="BB700" s="97"/>
      <c r="BC700" s="97"/>
      <c r="BD700" s="97"/>
      <c r="BE700" s="99"/>
    </row>
    <row r="701" spans="1:57" ht="15.75" customHeight="1">
      <c r="A701" s="95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7"/>
      <c r="AV701" s="97"/>
      <c r="AW701" s="97"/>
      <c r="AX701" s="97"/>
      <c r="AY701" s="97"/>
      <c r="AZ701" s="97"/>
      <c r="BA701" s="97"/>
      <c r="BB701" s="97"/>
      <c r="BC701" s="97"/>
      <c r="BD701" s="97"/>
      <c r="BE701" s="99"/>
    </row>
    <row r="702" spans="1:57" ht="15.75" customHeight="1">
      <c r="A702" s="95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7"/>
      <c r="AV702" s="97"/>
      <c r="AW702" s="97"/>
      <c r="AX702" s="97"/>
      <c r="AY702" s="97"/>
      <c r="AZ702" s="97"/>
      <c r="BA702" s="97"/>
      <c r="BB702" s="97"/>
      <c r="BC702" s="97"/>
      <c r="BD702" s="97"/>
      <c r="BE702" s="99"/>
    </row>
    <row r="703" spans="1:57" ht="15.75" customHeight="1">
      <c r="A703" s="95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7"/>
      <c r="AV703" s="97"/>
      <c r="AW703" s="97"/>
      <c r="AX703" s="97"/>
      <c r="AY703" s="97"/>
      <c r="AZ703" s="97"/>
      <c r="BA703" s="97"/>
      <c r="BB703" s="97"/>
      <c r="BC703" s="97"/>
      <c r="BD703" s="97"/>
      <c r="BE703" s="99"/>
    </row>
    <row r="704" spans="1:57" ht="15.75" customHeight="1">
      <c r="A704" s="95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7"/>
      <c r="AV704" s="97"/>
      <c r="AW704" s="97"/>
      <c r="AX704" s="97"/>
      <c r="AY704" s="97"/>
      <c r="AZ704" s="97"/>
      <c r="BA704" s="97"/>
      <c r="BB704" s="97"/>
      <c r="BC704" s="97"/>
      <c r="BD704" s="97"/>
      <c r="BE704" s="99"/>
    </row>
    <row r="705" spans="1:57" ht="15.75" customHeight="1">
      <c r="A705" s="95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7"/>
      <c r="AV705" s="97"/>
      <c r="AW705" s="97"/>
      <c r="AX705" s="97"/>
      <c r="AY705" s="97"/>
      <c r="AZ705" s="97"/>
      <c r="BA705" s="97"/>
      <c r="BB705" s="97"/>
      <c r="BC705" s="97"/>
      <c r="BD705" s="97"/>
      <c r="BE705" s="99"/>
    </row>
    <row r="706" spans="1:57" ht="15.75" customHeight="1">
      <c r="A706" s="95"/>
      <c r="B706" s="97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7"/>
      <c r="AV706" s="97"/>
      <c r="AW706" s="97"/>
      <c r="AX706" s="97"/>
      <c r="AY706" s="97"/>
      <c r="AZ706" s="97"/>
      <c r="BA706" s="97"/>
      <c r="BB706" s="97"/>
      <c r="BC706" s="97"/>
      <c r="BD706" s="97"/>
      <c r="BE706" s="99"/>
    </row>
    <row r="707" spans="1:57" ht="15.75" customHeight="1">
      <c r="A707" s="95"/>
      <c r="B707" s="97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7"/>
      <c r="AV707" s="97"/>
      <c r="AW707" s="97"/>
      <c r="AX707" s="97"/>
      <c r="AY707" s="97"/>
      <c r="AZ707" s="97"/>
      <c r="BA707" s="97"/>
      <c r="BB707" s="97"/>
      <c r="BC707" s="97"/>
      <c r="BD707" s="97"/>
      <c r="BE707" s="99"/>
    </row>
    <row r="708" spans="1:57" ht="15.75" customHeight="1">
      <c r="A708" s="95"/>
      <c r="B708" s="97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7"/>
      <c r="AV708" s="97"/>
      <c r="AW708" s="97"/>
      <c r="AX708" s="97"/>
      <c r="AY708" s="97"/>
      <c r="AZ708" s="97"/>
      <c r="BA708" s="97"/>
      <c r="BB708" s="97"/>
      <c r="BC708" s="97"/>
      <c r="BD708" s="97"/>
      <c r="BE708" s="99"/>
    </row>
    <row r="709" spans="1:57" ht="15.75" customHeight="1">
      <c r="A709" s="95"/>
      <c r="B709" s="97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7"/>
      <c r="AV709" s="97"/>
      <c r="AW709" s="97"/>
      <c r="AX709" s="97"/>
      <c r="AY709" s="97"/>
      <c r="AZ709" s="97"/>
      <c r="BA709" s="97"/>
      <c r="BB709" s="97"/>
      <c r="BC709" s="97"/>
      <c r="BD709" s="97"/>
      <c r="BE709" s="99"/>
    </row>
    <row r="710" spans="1:57" ht="15.75" customHeight="1">
      <c r="A710" s="95"/>
      <c r="B710" s="97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7"/>
      <c r="AV710" s="97"/>
      <c r="AW710" s="97"/>
      <c r="AX710" s="97"/>
      <c r="AY710" s="97"/>
      <c r="AZ710" s="97"/>
      <c r="BA710" s="97"/>
      <c r="BB710" s="97"/>
      <c r="BC710" s="97"/>
      <c r="BD710" s="97"/>
      <c r="BE710" s="99"/>
    </row>
    <row r="711" spans="1:57" ht="15.75" customHeight="1">
      <c r="A711" s="95"/>
      <c r="B711" s="97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7"/>
      <c r="AV711" s="97"/>
      <c r="AW711" s="97"/>
      <c r="AX711" s="97"/>
      <c r="AY711" s="97"/>
      <c r="AZ711" s="97"/>
      <c r="BA711" s="97"/>
      <c r="BB711" s="97"/>
      <c r="BC711" s="97"/>
      <c r="BD711" s="97"/>
      <c r="BE711" s="99"/>
    </row>
    <row r="712" spans="1:57" ht="15.75" customHeight="1">
      <c r="A712" s="95"/>
      <c r="B712" s="97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7"/>
      <c r="AV712" s="97"/>
      <c r="AW712" s="97"/>
      <c r="AX712" s="97"/>
      <c r="AY712" s="97"/>
      <c r="AZ712" s="97"/>
      <c r="BA712" s="97"/>
      <c r="BB712" s="97"/>
      <c r="BC712" s="97"/>
      <c r="BD712" s="97"/>
      <c r="BE712" s="99"/>
    </row>
    <row r="713" spans="1:57" ht="15.75" customHeight="1">
      <c r="A713" s="95"/>
      <c r="B713" s="97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7"/>
      <c r="AV713" s="97"/>
      <c r="AW713" s="97"/>
      <c r="AX713" s="97"/>
      <c r="AY713" s="97"/>
      <c r="AZ713" s="97"/>
      <c r="BA713" s="97"/>
      <c r="BB713" s="97"/>
      <c r="BC713" s="97"/>
      <c r="BD713" s="97"/>
      <c r="BE713" s="99"/>
    </row>
    <row r="714" spans="1:57" ht="15.75" customHeight="1">
      <c r="A714" s="95"/>
      <c r="B714" s="97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7"/>
      <c r="AV714" s="97"/>
      <c r="AW714" s="97"/>
      <c r="AX714" s="97"/>
      <c r="AY714" s="97"/>
      <c r="AZ714" s="97"/>
      <c r="BA714" s="97"/>
      <c r="BB714" s="97"/>
      <c r="BC714" s="97"/>
      <c r="BD714" s="97"/>
      <c r="BE714" s="99"/>
    </row>
    <row r="715" spans="1:57" ht="15.75" customHeight="1">
      <c r="A715" s="95"/>
      <c r="B715" s="97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7"/>
      <c r="AV715" s="97"/>
      <c r="AW715" s="97"/>
      <c r="AX715" s="97"/>
      <c r="AY715" s="97"/>
      <c r="AZ715" s="97"/>
      <c r="BA715" s="97"/>
      <c r="BB715" s="97"/>
      <c r="BC715" s="97"/>
      <c r="BD715" s="97"/>
      <c r="BE715" s="99"/>
    </row>
    <row r="716" spans="1:57" ht="15.75" customHeight="1">
      <c r="A716" s="95"/>
      <c r="B716" s="97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7"/>
      <c r="AV716" s="97"/>
      <c r="AW716" s="97"/>
      <c r="AX716" s="97"/>
      <c r="AY716" s="97"/>
      <c r="AZ716" s="97"/>
      <c r="BA716" s="97"/>
      <c r="BB716" s="97"/>
      <c r="BC716" s="97"/>
      <c r="BD716" s="97"/>
      <c r="BE716" s="99"/>
    </row>
    <row r="717" spans="1:57" ht="15.75" customHeight="1">
      <c r="A717" s="95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7"/>
      <c r="AV717" s="97"/>
      <c r="AW717" s="97"/>
      <c r="AX717" s="97"/>
      <c r="AY717" s="97"/>
      <c r="AZ717" s="97"/>
      <c r="BA717" s="97"/>
      <c r="BB717" s="97"/>
      <c r="BC717" s="97"/>
      <c r="BD717" s="97"/>
      <c r="BE717" s="99"/>
    </row>
    <row r="718" spans="1:57" ht="15.75" customHeight="1">
      <c r="A718" s="95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9"/>
    </row>
    <row r="719" spans="1:57" ht="15.75" customHeight="1">
      <c r="A719" s="95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7"/>
      <c r="AV719" s="97"/>
      <c r="AW719" s="97"/>
      <c r="AX719" s="97"/>
      <c r="AY719" s="97"/>
      <c r="AZ719" s="97"/>
      <c r="BA719" s="97"/>
      <c r="BB719" s="97"/>
      <c r="BC719" s="97"/>
      <c r="BD719" s="97"/>
      <c r="BE719" s="99"/>
    </row>
    <row r="720" spans="1:57" ht="15.75" customHeight="1">
      <c r="A720" s="95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7"/>
      <c r="AV720" s="97"/>
      <c r="AW720" s="97"/>
      <c r="AX720" s="97"/>
      <c r="AY720" s="97"/>
      <c r="AZ720" s="97"/>
      <c r="BA720" s="97"/>
      <c r="BB720" s="97"/>
      <c r="BC720" s="97"/>
      <c r="BD720" s="97"/>
      <c r="BE720" s="99"/>
    </row>
    <row r="721" spans="1:57" ht="15.75" customHeight="1">
      <c r="A721" s="95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7"/>
      <c r="AV721" s="97"/>
      <c r="AW721" s="97"/>
      <c r="AX721" s="97"/>
      <c r="AY721" s="97"/>
      <c r="AZ721" s="97"/>
      <c r="BA721" s="97"/>
      <c r="BB721" s="97"/>
      <c r="BC721" s="97"/>
      <c r="BD721" s="97"/>
      <c r="BE721" s="99"/>
    </row>
    <row r="722" spans="1:57" ht="15.75" customHeight="1">
      <c r="A722" s="95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7"/>
      <c r="AV722" s="97"/>
      <c r="AW722" s="97"/>
      <c r="AX722" s="97"/>
      <c r="AY722" s="97"/>
      <c r="AZ722" s="97"/>
      <c r="BA722" s="97"/>
      <c r="BB722" s="97"/>
      <c r="BC722" s="97"/>
      <c r="BD722" s="97"/>
      <c r="BE722" s="99"/>
    </row>
    <row r="723" spans="1:57" ht="15.75" customHeight="1">
      <c r="A723" s="95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7"/>
      <c r="AV723" s="97"/>
      <c r="AW723" s="97"/>
      <c r="AX723" s="97"/>
      <c r="AY723" s="97"/>
      <c r="AZ723" s="97"/>
      <c r="BA723" s="97"/>
      <c r="BB723" s="97"/>
      <c r="BC723" s="97"/>
      <c r="BD723" s="97"/>
      <c r="BE723" s="99"/>
    </row>
    <row r="724" spans="1:57" ht="15.75" customHeight="1">
      <c r="A724" s="95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7"/>
      <c r="AV724" s="97"/>
      <c r="AW724" s="97"/>
      <c r="AX724" s="97"/>
      <c r="AY724" s="97"/>
      <c r="AZ724" s="97"/>
      <c r="BA724" s="97"/>
      <c r="BB724" s="97"/>
      <c r="BC724" s="97"/>
      <c r="BD724" s="97"/>
      <c r="BE724" s="99"/>
    </row>
    <row r="725" spans="1:57" ht="15.75" customHeight="1">
      <c r="A725" s="95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7"/>
      <c r="AV725" s="97"/>
      <c r="AW725" s="97"/>
      <c r="AX725" s="97"/>
      <c r="AY725" s="97"/>
      <c r="AZ725" s="97"/>
      <c r="BA725" s="97"/>
      <c r="BB725" s="97"/>
      <c r="BC725" s="97"/>
      <c r="BD725" s="97"/>
      <c r="BE725" s="99"/>
    </row>
    <row r="726" spans="1:57" ht="15.75" customHeight="1">
      <c r="A726" s="95"/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7"/>
      <c r="AV726" s="97"/>
      <c r="AW726" s="97"/>
      <c r="AX726" s="97"/>
      <c r="AY726" s="97"/>
      <c r="AZ726" s="97"/>
      <c r="BA726" s="97"/>
      <c r="BB726" s="97"/>
      <c r="BC726" s="97"/>
      <c r="BD726" s="97"/>
      <c r="BE726" s="99"/>
    </row>
    <row r="727" spans="1:57" ht="15.75" customHeight="1">
      <c r="A727" s="95"/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7"/>
      <c r="AV727" s="97"/>
      <c r="AW727" s="97"/>
      <c r="AX727" s="97"/>
      <c r="AY727" s="97"/>
      <c r="AZ727" s="97"/>
      <c r="BA727" s="97"/>
      <c r="BB727" s="97"/>
      <c r="BC727" s="97"/>
      <c r="BD727" s="97"/>
      <c r="BE727" s="99"/>
    </row>
    <row r="728" spans="1:57" ht="15.75" customHeight="1">
      <c r="A728" s="95"/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7"/>
      <c r="AV728" s="97"/>
      <c r="AW728" s="97"/>
      <c r="AX728" s="97"/>
      <c r="AY728" s="97"/>
      <c r="AZ728" s="97"/>
      <c r="BA728" s="97"/>
      <c r="BB728" s="97"/>
      <c r="BC728" s="97"/>
      <c r="BD728" s="97"/>
      <c r="BE728" s="99"/>
    </row>
    <row r="729" spans="1:57" ht="15.75" customHeight="1">
      <c r="A729" s="95"/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7"/>
      <c r="AV729" s="97"/>
      <c r="AW729" s="97"/>
      <c r="AX729" s="97"/>
      <c r="AY729" s="97"/>
      <c r="AZ729" s="97"/>
      <c r="BA729" s="97"/>
      <c r="BB729" s="97"/>
      <c r="BC729" s="97"/>
      <c r="BD729" s="97"/>
      <c r="BE729" s="99"/>
    </row>
    <row r="730" spans="1:57" ht="15.75" customHeight="1">
      <c r="A730" s="95"/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7"/>
      <c r="AV730" s="97"/>
      <c r="AW730" s="97"/>
      <c r="AX730" s="97"/>
      <c r="AY730" s="97"/>
      <c r="AZ730" s="97"/>
      <c r="BA730" s="97"/>
      <c r="BB730" s="97"/>
      <c r="BC730" s="97"/>
      <c r="BD730" s="97"/>
      <c r="BE730" s="99"/>
    </row>
    <row r="731" spans="1:57" ht="15.75" customHeight="1">
      <c r="A731" s="95"/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7"/>
      <c r="AV731" s="97"/>
      <c r="AW731" s="97"/>
      <c r="AX731" s="97"/>
      <c r="AY731" s="97"/>
      <c r="AZ731" s="97"/>
      <c r="BA731" s="97"/>
      <c r="BB731" s="97"/>
      <c r="BC731" s="97"/>
      <c r="BD731" s="97"/>
      <c r="BE731" s="99"/>
    </row>
    <row r="732" spans="1:57" ht="15.75" customHeight="1">
      <c r="A732" s="95"/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7"/>
      <c r="AV732" s="97"/>
      <c r="AW732" s="97"/>
      <c r="AX732" s="97"/>
      <c r="AY732" s="97"/>
      <c r="AZ732" s="97"/>
      <c r="BA732" s="97"/>
      <c r="BB732" s="97"/>
      <c r="BC732" s="97"/>
      <c r="BD732" s="97"/>
      <c r="BE732" s="99"/>
    </row>
    <row r="733" spans="1:57" ht="15.75" customHeight="1">
      <c r="A733" s="95"/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7"/>
      <c r="AV733" s="97"/>
      <c r="AW733" s="97"/>
      <c r="AX733" s="97"/>
      <c r="AY733" s="97"/>
      <c r="AZ733" s="97"/>
      <c r="BA733" s="97"/>
      <c r="BB733" s="97"/>
      <c r="BC733" s="97"/>
      <c r="BD733" s="97"/>
      <c r="BE733" s="99"/>
    </row>
    <row r="734" spans="1:57" ht="15.75" customHeight="1">
      <c r="A734" s="95"/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7"/>
      <c r="AV734" s="97"/>
      <c r="AW734" s="97"/>
      <c r="AX734" s="97"/>
      <c r="AY734" s="97"/>
      <c r="AZ734" s="97"/>
      <c r="BA734" s="97"/>
      <c r="BB734" s="97"/>
      <c r="BC734" s="97"/>
      <c r="BD734" s="97"/>
      <c r="BE734" s="99"/>
    </row>
    <row r="735" spans="1:57" ht="15.75" customHeight="1">
      <c r="A735" s="95"/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7"/>
      <c r="AV735" s="97"/>
      <c r="AW735" s="97"/>
      <c r="AX735" s="97"/>
      <c r="AY735" s="97"/>
      <c r="AZ735" s="97"/>
      <c r="BA735" s="97"/>
      <c r="BB735" s="97"/>
      <c r="BC735" s="97"/>
      <c r="BD735" s="97"/>
      <c r="BE735" s="99"/>
    </row>
    <row r="736" spans="1:57" ht="15.75" customHeight="1">
      <c r="A736" s="95"/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7"/>
      <c r="AV736" s="97"/>
      <c r="AW736" s="97"/>
      <c r="AX736" s="97"/>
      <c r="AY736" s="97"/>
      <c r="AZ736" s="97"/>
      <c r="BA736" s="97"/>
      <c r="BB736" s="97"/>
      <c r="BC736" s="97"/>
      <c r="BD736" s="97"/>
      <c r="BE736" s="99"/>
    </row>
    <row r="737" spans="1:57" ht="15.75" customHeight="1">
      <c r="A737" s="95"/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7"/>
      <c r="AV737" s="97"/>
      <c r="AW737" s="97"/>
      <c r="AX737" s="97"/>
      <c r="AY737" s="97"/>
      <c r="AZ737" s="97"/>
      <c r="BA737" s="97"/>
      <c r="BB737" s="97"/>
      <c r="BC737" s="97"/>
      <c r="BD737" s="97"/>
      <c r="BE737" s="99"/>
    </row>
    <row r="738" spans="1:57" ht="15.75" customHeight="1">
      <c r="A738" s="95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7"/>
      <c r="AV738" s="97"/>
      <c r="AW738" s="97"/>
      <c r="AX738" s="97"/>
      <c r="AY738" s="97"/>
      <c r="AZ738" s="97"/>
      <c r="BA738" s="97"/>
      <c r="BB738" s="97"/>
      <c r="BC738" s="97"/>
      <c r="BD738" s="97"/>
      <c r="BE738" s="99"/>
    </row>
    <row r="739" spans="1:57" ht="15.75" customHeight="1">
      <c r="A739" s="95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7"/>
      <c r="AV739" s="97"/>
      <c r="AW739" s="97"/>
      <c r="AX739" s="97"/>
      <c r="AY739" s="97"/>
      <c r="AZ739" s="97"/>
      <c r="BA739" s="97"/>
      <c r="BB739" s="97"/>
      <c r="BC739" s="97"/>
      <c r="BD739" s="97"/>
      <c r="BE739" s="99"/>
    </row>
    <row r="740" spans="1:57" ht="15.75" customHeight="1">
      <c r="A740" s="95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7"/>
      <c r="AV740" s="97"/>
      <c r="AW740" s="97"/>
      <c r="AX740" s="97"/>
      <c r="AY740" s="97"/>
      <c r="AZ740" s="97"/>
      <c r="BA740" s="97"/>
      <c r="BB740" s="97"/>
      <c r="BC740" s="97"/>
      <c r="BD740" s="97"/>
      <c r="BE740" s="99"/>
    </row>
    <row r="741" spans="1:57" ht="15.75" customHeight="1">
      <c r="A741" s="95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7"/>
      <c r="AV741" s="97"/>
      <c r="AW741" s="97"/>
      <c r="AX741" s="97"/>
      <c r="AY741" s="97"/>
      <c r="AZ741" s="97"/>
      <c r="BA741" s="97"/>
      <c r="BB741" s="97"/>
      <c r="BC741" s="97"/>
      <c r="BD741" s="97"/>
      <c r="BE741" s="99"/>
    </row>
    <row r="742" spans="1:57" ht="15.75" customHeight="1">
      <c r="A742" s="95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7"/>
      <c r="AV742" s="97"/>
      <c r="AW742" s="97"/>
      <c r="AX742" s="97"/>
      <c r="AY742" s="97"/>
      <c r="AZ742" s="97"/>
      <c r="BA742" s="97"/>
      <c r="BB742" s="97"/>
      <c r="BC742" s="97"/>
      <c r="BD742" s="97"/>
      <c r="BE742" s="99"/>
    </row>
    <row r="743" spans="1:57" ht="15.75" customHeight="1">
      <c r="A743" s="95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7"/>
      <c r="AV743" s="97"/>
      <c r="AW743" s="97"/>
      <c r="AX743" s="97"/>
      <c r="AY743" s="97"/>
      <c r="AZ743" s="97"/>
      <c r="BA743" s="97"/>
      <c r="BB743" s="97"/>
      <c r="BC743" s="97"/>
      <c r="BD743" s="97"/>
      <c r="BE743" s="99"/>
    </row>
    <row r="744" spans="1:57" ht="15.75" customHeight="1">
      <c r="A744" s="95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7"/>
      <c r="AV744" s="97"/>
      <c r="AW744" s="97"/>
      <c r="AX744" s="97"/>
      <c r="AY744" s="97"/>
      <c r="AZ744" s="97"/>
      <c r="BA744" s="97"/>
      <c r="BB744" s="97"/>
      <c r="BC744" s="97"/>
      <c r="BD744" s="97"/>
      <c r="BE744" s="99"/>
    </row>
    <row r="745" spans="1:57" ht="15.75" customHeight="1">
      <c r="A745" s="95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7"/>
      <c r="AV745" s="97"/>
      <c r="AW745" s="97"/>
      <c r="AX745" s="97"/>
      <c r="AY745" s="97"/>
      <c r="AZ745" s="97"/>
      <c r="BA745" s="97"/>
      <c r="BB745" s="97"/>
      <c r="BC745" s="97"/>
      <c r="BD745" s="97"/>
      <c r="BE745" s="99"/>
    </row>
    <row r="746" spans="1:57" ht="15.75" customHeight="1">
      <c r="A746" s="95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7"/>
      <c r="AV746" s="97"/>
      <c r="AW746" s="97"/>
      <c r="AX746" s="97"/>
      <c r="AY746" s="97"/>
      <c r="AZ746" s="97"/>
      <c r="BA746" s="97"/>
      <c r="BB746" s="97"/>
      <c r="BC746" s="97"/>
      <c r="BD746" s="97"/>
      <c r="BE746" s="99"/>
    </row>
    <row r="747" spans="1:57" ht="15.75" customHeight="1">
      <c r="A747" s="95"/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7"/>
      <c r="AV747" s="97"/>
      <c r="AW747" s="97"/>
      <c r="AX747" s="97"/>
      <c r="AY747" s="97"/>
      <c r="AZ747" s="97"/>
      <c r="BA747" s="97"/>
      <c r="BB747" s="97"/>
      <c r="BC747" s="97"/>
      <c r="BD747" s="97"/>
      <c r="BE747" s="99"/>
    </row>
    <row r="748" spans="1:57" ht="15.75" customHeight="1">
      <c r="A748" s="95"/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7"/>
      <c r="AV748" s="97"/>
      <c r="AW748" s="97"/>
      <c r="AX748" s="97"/>
      <c r="AY748" s="97"/>
      <c r="AZ748" s="97"/>
      <c r="BA748" s="97"/>
      <c r="BB748" s="97"/>
      <c r="BC748" s="97"/>
      <c r="BD748" s="97"/>
      <c r="BE748" s="99"/>
    </row>
    <row r="749" spans="1:57" ht="15.75" customHeight="1">
      <c r="A749" s="95"/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7"/>
      <c r="AV749" s="97"/>
      <c r="AW749" s="97"/>
      <c r="AX749" s="97"/>
      <c r="AY749" s="97"/>
      <c r="AZ749" s="97"/>
      <c r="BA749" s="97"/>
      <c r="BB749" s="97"/>
      <c r="BC749" s="97"/>
      <c r="BD749" s="97"/>
      <c r="BE749" s="99"/>
    </row>
    <row r="750" spans="1:57" ht="15.75" customHeight="1">
      <c r="A750" s="95"/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7"/>
      <c r="AV750" s="97"/>
      <c r="AW750" s="97"/>
      <c r="AX750" s="97"/>
      <c r="AY750" s="97"/>
      <c r="AZ750" s="97"/>
      <c r="BA750" s="97"/>
      <c r="BB750" s="97"/>
      <c r="BC750" s="97"/>
      <c r="BD750" s="97"/>
      <c r="BE750" s="99"/>
    </row>
    <row r="751" spans="1:57" ht="15.75" customHeight="1">
      <c r="A751" s="95"/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7"/>
      <c r="AV751" s="97"/>
      <c r="AW751" s="97"/>
      <c r="AX751" s="97"/>
      <c r="AY751" s="97"/>
      <c r="AZ751" s="97"/>
      <c r="BA751" s="97"/>
      <c r="BB751" s="97"/>
      <c r="BC751" s="97"/>
      <c r="BD751" s="97"/>
      <c r="BE751" s="99"/>
    </row>
    <row r="752" spans="1:57" ht="15.75" customHeight="1">
      <c r="A752" s="95"/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7"/>
      <c r="AV752" s="97"/>
      <c r="AW752" s="97"/>
      <c r="AX752" s="97"/>
      <c r="AY752" s="97"/>
      <c r="AZ752" s="97"/>
      <c r="BA752" s="97"/>
      <c r="BB752" s="97"/>
      <c r="BC752" s="97"/>
      <c r="BD752" s="97"/>
      <c r="BE752" s="99"/>
    </row>
    <row r="753" spans="1:57" ht="15.75" customHeight="1">
      <c r="A753" s="95"/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7"/>
      <c r="AV753" s="97"/>
      <c r="AW753" s="97"/>
      <c r="AX753" s="97"/>
      <c r="AY753" s="97"/>
      <c r="AZ753" s="97"/>
      <c r="BA753" s="97"/>
      <c r="BB753" s="97"/>
      <c r="BC753" s="97"/>
      <c r="BD753" s="97"/>
      <c r="BE753" s="99"/>
    </row>
    <row r="754" spans="1:57" ht="15.75" customHeight="1">
      <c r="A754" s="95"/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7"/>
      <c r="AV754" s="97"/>
      <c r="AW754" s="97"/>
      <c r="AX754" s="97"/>
      <c r="AY754" s="97"/>
      <c r="AZ754" s="97"/>
      <c r="BA754" s="97"/>
      <c r="BB754" s="97"/>
      <c r="BC754" s="97"/>
      <c r="BD754" s="97"/>
      <c r="BE754" s="99"/>
    </row>
    <row r="755" spans="1:57" ht="15.75" customHeight="1">
      <c r="A755" s="95"/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7"/>
      <c r="AV755" s="97"/>
      <c r="AW755" s="97"/>
      <c r="AX755" s="97"/>
      <c r="AY755" s="97"/>
      <c r="AZ755" s="97"/>
      <c r="BA755" s="97"/>
      <c r="BB755" s="97"/>
      <c r="BC755" s="97"/>
      <c r="BD755" s="97"/>
      <c r="BE755" s="99"/>
    </row>
    <row r="756" spans="1:57" ht="15.75" customHeight="1">
      <c r="A756" s="95"/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7"/>
      <c r="AV756" s="97"/>
      <c r="AW756" s="97"/>
      <c r="AX756" s="97"/>
      <c r="AY756" s="97"/>
      <c r="AZ756" s="97"/>
      <c r="BA756" s="97"/>
      <c r="BB756" s="97"/>
      <c r="BC756" s="97"/>
      <c r="BD756" s="97"/>
      <c r="BE756" s="99"/>
    </row>
    <row r="757" spans="1:57" ht="15.75" customHeight="1">
      <c r="A757" s="95"/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7"/>
      <c r="AV757" s="97"/>
      <c r="AW757" s="97"/>
      <c r="AX757" s="97"/>
      <c r="AY757" s="97"/>
      <c r="AZ757" s="97"/>
      <c r="BA757" s="97"/>
      <c r="BB757" s="97"/>
      <c r="BC757" s="97"/>
      <c r="BD757" s="97"/>
      <c r="BE757" s="99"/>
    </row>
    <row r="758" spans="1:57" ht="15.75" customHeight="1">
      <c r="A758" s="95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7"/>
      <c r="AV758" s="97"/>
      <c r="AW758" s="97"/>
      <c r="AX758" s="97"/>
      <c r="AY758" s="97"/>
      <c r="AZ758" s="97"/>
      <c r="BA758" s="97"/>
      <c r="BB758" s="97"/>
      <c r="BC758" s="97"/>
      <c r="BD758" s="97"/>
      <c r="BE758" s="99"/>
    </row>
    <row r="759" spans="1:57" ht="15.75" customHeight="1">
      <c r="A759" s="95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7"/>
      <c r="AV759" s="97"/>
      <c r="AW759" s="97"/>
      <c r="AX759" s="97"/>
      <c r="AY759" s="97"/>
      <c r="AZ759" s="97"/>
      <c r="BA759" s="97"/>
      <c r="BB759" s="97"/>
      <c r="BC759" s="97"/>
      <c r="BD759" s="97"/>
      <c r="BE759" s="99"/>
    </row>
    <row r="760" spans="1:57" ht="15.75" customHeight="1">
      <c r="A760" s="95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7"/>
      <c r="AV760" s="97"/>
      <c r="AW760" s="97"/>
      <c r="AX760" s="97"/>
      <c r="AY760" s="97"/>
      <c r="AZ760" s="97"/>
      <c r="BA760" s="97"/>
      <c r="BB760" s="97"/>
      <c r="BC760" s="97"/>
      <c r="BD760" s="97"/>
      <c r="BE760" s="99"/>
    </row>
    <row r="761" spans="1:57" ht="15.75" customHeight="1">
      <c r="A761" s="95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7"/>
      <c r="AV761" s="97"/>
      <c r="AW761" s="97"/>
      <c r="AX761" s="97"/>
      <c r="AY761" s="97"/>
      <c r="AZ761" s="97"/>
      <c r="BA761" s="97"/>
      <c r="BB761" s="97"/>
      <c r="BC761" s="97"/>
      <c r="BD761" s="97"/>
      <c r="BE761" s="99"/>
    </row>
    <row r="762" spans="1:57" ht="15.75" customHeight="1">
      <c r="A762" s="95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7"/>
      <c r="AV762" s="97"/>
      <c r="AW762" s="97"/>
      <c r="AX762" s="97"/>
      <c r="AY762" s="97"/>
      <c r="AZ762" s="97"/>
      <c r="BA762" s="97"/>
      <c r="BB762" s="97"/>
      <c r="BC762" s="97"/>
      <c r="BD762" s="97"/>
      <c r="BE762" s="99"/>
    </row>
    <row r="763" spans="1:57" ht="15.75" customHeight="1">
      <c r="A763" s="95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7"/>
      <c r="AV763" s="97"/>
      <c r="AW763" s="97"/>
      <c r="AX763" s="97"/>
      <c r="AY763" s="97"/>
      <c r="AZ763" s="97"/>
      <c r="BA763" s="97"/>
      <c r="BB763" s="97"/>
      <c r="BC763" s="97"/>
      <c r="BD763" s="97"/>
      <c r="BE763" s="99"/>
    </row>
    <row r="764" spans="1:57" ht="15.75" customHeight="1">
      <c r="A764" s="95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7"/>
      <c r="AV764" s="97"/>
      <c r="AW764" s="97"/>
      <c r="AX764" s="97"/>
      <c r="AY764" s="97"/>
      <c r="AZ764" s="97"/>
      <c r="BA764" s="97"/>
      <c r="BB764" s="97"/>
      <c r="BC764" s="97"/>
      <c r="BD764" s="97"/>
      <c r="BE764" s="99"/>
    </row>
    <row r="765" spans="1:57" ht="15.75" customHeight="1">
      <c r="A765" s="95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7"/>
      <c r="AV765" s="97"/>
      <c r="AW765" s="97"/>
      <c r="AX765" s="97"/>
      <c r="AY765" s="97"/>
      <c r="AZ765" s="97"/>
      <c r="BA765" s="97"/>
      <c r="BB765" s="97"/>
      <c r="BC765" s="97"/>
      <c r="BD765" s="97"/>
      <c r="BE765" s="99"/>
    </row>
    <row r="766" spans="1:57" ht="15.75" customHeight="1">
      <c r="A766" s="95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7"/>
      <c r="AV766" s="97"/>
      <c r="AW766" s="97"/>
      <c r="AX766" s="97"/>
      <c r="AY766" s="97"/>
      <c r="AZ766" s="97"/>
      <c r="BA766" s="97"/>
      <c r="BB766" s="97"/>
      <c r="BC766" s="97"/>
      <c r="BD766" s="97"/>
      <c r="BE766" s="99"/>
    </row>
    <row r="767" spans="1:57" ht="15.75" customHeight="1">
      <c r="A767" s="95"/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7"/>
      <c r="AV767" s="97"/>
      <c r="AW767" s="97"/>
      <c r="AX767" s="97"/>
      <c r="AY767" s="97"/>
      <c r="AZ767" s="97"/>
      <c r="BA767" s="97"/>
      <c r="BB767" s="97"/>
      <c r="BC767" s="97"/>
      <c r="BD767" s="97"/>
      <c r="BE767" s="99"/>
    </row>
    <row r="768" spans="1:57" ht="15.75" customHeight="1">
      <c r="A768" s="95"/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7"/>
      <c r="AV768" s="97"/>
      <c r="AW768" s="97"/>
      <c r="AX768" s="97"/>
      <c r="AY768" s="97"/>
      <c r="AZ768" s="97"/>
      <c r="BA768" s="97"/>
      <c r="BB768" s="97"/>
      <c r="BC768" s="97"/>
      <c r="BD768" s="97"/>
      <c r="BE768" s="99"/>
    </row>
    <row r="769" spans="1:57" ht="15.75" customHeight="1">
      <c r="A769" s="95"/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7"/>
      <c r="AV769" s="97"/>
      <c r="AW769" s="97"/>
      <c r="AX769" s="97"/>
      <c r="AY769" s="97"/>
      <c r="AZ769" s="97"/>
      <c r="BA769" s="97"/>
      <c r="BB769" s="97"/>
      <c r="BC769" s="97"/>
      <c r="BD769" s="97"/>
      <c r="BE769" s="99"/>
    </row>
    <row r="770" spans="1:57" ht="15.75" customHeight="1">
      <c r="A770" s="95"/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7"/>
      <c r="AV770" s="97"/>
      <c r="AW770" s="97"/>
      <c r="AX770" s="97"/>
      <c r="AY770" s="97"/>
      <c r="AZ770" s="97"/>
      <c r="BA770" s="97"/>
      <c r="BB770" s="97"/>
      <c r="BC770" s="97"/>
      <c r="BD770" s="97"/>
      <c r="BE770" s="99"/>
    </row>
    <row r="771" spans="1:57" ht="15.75" customHeight="1">
      <c r="A771" s="95"/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7"/>
      <c r="AV771" s="97"/>
      <c r="AW771" s="97"/>
      <c r="AX771" s="97"/>
      <c r="AY771" s="97"/>
      <c r="AZ771" s="97"/>
      <c r="BA771" s="97"/>
      <c r="BB771" s="97"/>
      <c r="BC771" s="97"/>
      <c r="BD771" s="97"/>
      <c r="BE771" s="99"/>
    </row>
    <row r="772" spans="1:57" ht="15.75" customHeight="1">
      <c r="A772" s="95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7"/>
      <c r="AV772" s="97"/>
      <c r="AW772" s="97"/>
      <c r="AX772" s="97"/>
      <c r="AY772" s="97"/>
      <c r="AZ772" s="97"/>
      <c r="BA772" s="97"/>
      <c r="BB772" s="97"/>
      <c r="BC772" s="97"/>
      <c r="BD772" s="97"/>
      <c r="BE772" s="99"/>
    </row>
    <row r="773" spans="1:57" ht="15.75" customHeight="1">
      <c r="A773" s="95"/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7"/>
      <c r="AV773" s="97"/>
      <c r="AW773" s="97"/>
      <c r="AX773" s="97"/>
      <c r="AY773" s="97"/>
      <c r="AZ773" s="97"/>
      <c r="BA773" s="97"/>
      <c r="BB773" s="97"/>
      <c r="BC773" s="97"/>
      <c r="BD773" s="97"/>
      <c r="BE773" s="99"/>
    </row>
    <row r="774" spans="1:57" ht="15.75" customHeight="1">
      <c r="A774" s="95"/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7"/>
      <c r="AV774" s="97"/>
      <c r="AW774" s="97"/>
      <c r="AX774" s="97"/>
      <c r="AY774" s="97"/>
      <c r="AZ774" s="97"/>
      <c r="BA774" s="97"/>
      <c r="BB774" s="97"/>
      <c r="BC774" s="97"/>
      <c r="BD774" s="97"/>
      <c r="BE774" s="99"/>
    </row>
    <row r="775" spans="1:57" ht="15.75" customHeight="1">
      <c r="A775" s="95"/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7"/>
      <c r="AV775" s="97"/>
      <c r="AW775" s="97"/>
      <c r="AX775" s="97"/>
      <c r="AY775" s="97"/>
      <c r="AZ775" s="97"/>
      <c r="BA775" s="97"/>
      <c r="BB775" s="97"/>
      <c r="BC775" s="97"/>
      <c r="BD775" s="97"/>
      <c r="BE775" s="99"/>
    </row>
    <row r="776" spans="1:57" ht="15.75" customHeight="1">
      <c r="A776" s="95"/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7"/>
      <c r="AV776" s="97"/>
      <c r="AW776" s="97"/>
      <c r="AX776" s="97"/>
      <c r="AY776" s="97"/>
      <c r="AZ776" s="97"/>
      <c r="BA776" s="97"/>
      <c r="BB776" s="97"/>
      <c r="BC776" s="97"/>
      <c r="BD776" s="97"/>
      <c r="BE776" s="99"/>
    </row>
    <row r="777" spans="1:57" ht="15.75" customHeight="1">
      <c r="A777" s="95"/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7"/>
      <c r="AV777" s="97"/>
      <c r="AW777" s="97"/>
      <c r="AX777" s="97"/>
      <c r="AY777" s="97"/>
      <c r="AZ777" s="97"/>
      <c r="BA777" s="97"/>
      <c r="BB777" s="97"/>
      <c r="BC777" s="97"/>
      <c r="BD777" s="97"/>
      <c r="BE777" s="99"/>
    </row>
    <row r="778" spans="1:57" ht="15.75" customHeight="1">
      <c r="A778" s="95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7"/>
      <c r="AV778" s="97"/>
      <c r="AW778" s="97"/>
      <c r="AX778" s="97"/>
      <c r="AY778" s="97"/>
      <c r="AZ778" s="97"/>
      <c r="BA778" s="97"/>
      <c r="BB778" s="97"/>
      <c r="BC778" s="97"/>
      <c r="BD778" s="97"/>
      <c r="BE778" s="99"/>
    </row>
    <row r="779" spans="1:57" ht="15.75" customHeight="1">
      <c r="A779" s="95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9"/>
    </row>
    <row r="780" spans="1:57" ht="15.75" customHeight="1">
      <c r="A780" s="95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7"/>
      <c r="AV780" s="97"/>
      <c r="AW780" s="97"/>
      <c r="AX780" s="97"/>
      <c r="AY780" s="97"/>
      <c r="AZ780" s="97"/>
      <c r="BA780" s="97"/>
      <c r="BB780" s="97"/>
      <c r="BC780" s="97"/>
      <c r="BD780" s="97"/>
      <c r="BE780" s="99"/>
    </row>
    <row r="781" spans="1:57" ht="15.75" customHeight="1">
      <c r="A781" s="95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7"/>
      <c r="AV781" s="97"/>
      <c r="AW781" s="97"/>
      <c r="AX781" s="97"/>
      <c r="AY781" s="97"/>
      <c r="AZ781" s="97"/>
      <c r="BA781" s="97"/>
      <c r="BB781" s="97"/>
      <c r="BC781" s="97"/>
      <c r="BD781" s="97"/>
      <c r="BE781" s="99"/>
    </row>
    <row r="782" spans="1:57" ht="15.75" customHeight="1">
      <c r="A782" s="95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7"/>
      <c r="AV782" s="97"/>
      <c r="AW782" s="97"/>
      <c r="AX782" s="97"/>
      <c r="AY782" s="97"/>
      <c r="AZ782" s="97"/>
      <c r="BA782" s="97"/>
      <c r="BB782" s="97"/>
      <c r="BC782" s="97"/>
      <c r="BD782" s="97"/>
      <c r="BE782" s="99"/>
    </row>
    <row r="783" spans="1:57" ht="15.75" customHeight="1">
      <c r="A783" s="95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7"/>
      <c r="AV783" s="97"/>
      <c r="AW783" s="97"/>
      <c r="AX783" s="97"/>
      <c r="AY783" s="97"/>
      <c r="AZ783" s="97"/>
      <c r="BA783" s="97"/>
      <c r="BB783" s="97"/>
      <c r="BC783" s="97"/>
      <c r="BD783" s="97"/>
      <c r="BE783" s="99"/>
    </row>
    <row r="784" spans="1:57" ht="15.75" customHeight="1">
      <c r="A784" s="95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7"/>
      <c r="AV784" s="97"/>
      <c r="AW784" s="97"/>
      <c r="AX784" s="97"/>
      <c r="AY784" s="97"/>
      <c r="AZ784" s="97"/>
      <c r="BA784" s="97"/>
      <c r="BB784" s="97"/>
      <c r="BC784" s="97"/>
      <c r="BD784" s="97"/>
      <c r="BE784" s="99"/>
    </row>
    <row r="785" spans="1:57" ht="15.75" customHeight="1">
      <c r="A785" s="95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7"/>
      <c r="AV785" s="97"/>
      <c r="AW785" s="97"/>
      <c r="AX785" s="97"/>
      <c r="AY785" s="97"/>
      <c r="AZ785" s="97"/>
      <c r="BA785" s="97"/>
      <c r="BB785" s="97"/>
      <c r="BC785" s="97"/>
      <c r="BD785" s="97"/>
      <c r="BE785" s="99"/>
    </row>
    <row r="786" spans="1:57" ht="15.75" customHeight="1">
      <c r="A786" s="95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7"/>
      <c r="AV786" s="97"/>
      <c r="AW786" s="97"/>
      <c r="AX786" s="97"/>
      <c r="AY786" s="97"/>
      <c r="AZ786" s="97"/>
      <c r="BA786" s="97"/>
      <c r="BB786" s="97"/>
      <c r="BC786" s="97"/>
      <c r="BD786" s="97"/>
      <c r="BE786" s="99"/>
    </row>
    <row r="787" spans="1:57" ht="15.75" customHeight="1">
      <c r="A787" s="95"/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7"/>
      <c r="AV787" s="97"/>
      <c r="AW787" s="97"/>
      <c r="AX787" s="97"/>
      <c r="AY787" s="97"/>
      <c r="AZ787" s="97"/>
      <c r="BA787" s="97"/>
      <c r="BB787" s="97"/>
      <c r="BC787" s="97"/>
      <c r="BD787" s="97"/>
      <c r="BE787" s="99"/>
    </row>
    <row r="788" spans="1:57" ht="15.75" customHeight="1">
      <c r="A788" s="95"/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7"/>
      <c r="AV788" s="97"/>
      <c r="AW788" s="97"/>
      <c r="AX788" s="97"/>
      <c r="AY788" s="97"/>
      <c r="AZ788" s="97"/>
      <c r="BA788" s="97"/>
      <c r="BB788" s="97"/>
      <c r="BC788" s="97"/>
      <c r="BD788" s="97"/>
      <c r="BE788" s="99"/>
    </row>
    <row r="789" spans="1:57" ht="15.75" customHeight="1">
      <c r="A789" s="95"/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7"/>
      <c r="AV789" s="97"/>
      <c r="AW789" s="97"/>
      <c r="AX789" s="97"/>
      <c r="AY789" s="97"/>
      <c r="AZ789" s="97"/>
      <c r="BA789" s="97"/>
      <c r="BB789" s="97"/>
      <c r="BC789" s="97"/>
      <c r="BD789" s="97"/>
      <c r="BE789" s="99"/>
    </row>
    <row r="790" spans="1:57" ht="15.75" customHeight="1">
      <c r="A790" s="95"/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7"/>
      <c r="AV790" s="97"/>
      <c r="AW790" s="97"/>
      <c r="AX790" s="97"/>
      <c r="AY790" s="97"/>
      <c r="AZ790" s="97"/>
      <c r="BA790" s="97"/>
      <c r="BB790" s="97"/>
      <c r="BC790" s="97"/>
      <c r="BD790" s="97"/>
      <c r="BE790" s="99"/>
    </row>
    <row r="791" spans="1:57" ht="15.75" customHeight="1">
      <c r="A791" s="95"/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7"/>
      <c r="AV791" s="97"/>
      <c r="AW791" s="97"/>
      <c r="AX791" s="97"/>
      <c r="AY791" s="97"/>
      <c r="AZ791" s="97"/>
      <c r="BA791" s="97"/>
      <c r="BB791" s="97"/>
      <c r="BC791" s="97"/>
      <c r="BD791" s="97"/>
      <c r="BE791" s="99"/>
    </row>
    <row r="792" spans="1:57" ht="15.75" customHeight="1">
      <c r="A792" s="95"/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7"/>
      <c r="AV792" s="97"/>
      <c r="AW792" s="97"/>
      <c r="AX792" s="97"/>
      <c r="AY792" s="97"/>
      <c r="AZ792" s="97"/>
      <c r="BA792" s="97"/>
      <c r="BB792" s="97"/>
      <c r="BC792" s="97"/>
      <c r="BD792" s="97"/>
      <c r="BE792" s="99"/>
    </row>
    <row r="793" spans="1:57" ht="15.75" customHeight="1">
      <c r="A793" s="95"/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7"/>
      <c r="AV793" s="97"/>
      <c r="AW793" s="97"/>
      <c r="AX793" s="97"/>
      <c r="AY793" s="97"/>
      <c r="AZ793" s="97"/>
      <c r="BA793" s="97"/>
      <c r="BB793" s="97"/>
      <c r="BC793" s="97"/>
      <c r="BD793" s="97"/>
      <c r="BE793" s="99"/>
    </row>
    <row r="794" spans="1:57" ht="15.75" customHeight="1">
      <c r="A794" s="95"/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7"/>
      <c r="AV794" s="97"/>
      <c r="AW794" s="97"/>
      <c r="AX794" s="97"/>
      <c r="AY794" s="97"/>
      <c r="AZ794" s="97"/>
      <c r="BA794" s="97"/>
      <c r="BB794" s="97"/>
      <c r="BC794" s="97"/>
      <c r="BD794" s="97"/>
      <c r="BE794" s="99"/>
    </row>
    <row r="795" spans="1:57" ht="15.75" customHeight="1">
      <c r="A795" s="95"/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7"/>
      <c r="AV795" s="97"/>
      <c r="AW795" s="97"/>
      <c r="AX795" s="97"/>
      <c r="AY795" s="97"/>
      <c r="AZ795" s="97"/>
      <c r="BA795" s="97"/>
      <c r="BB795" s="97"/>
      <c r="BC795" s="97"/>
      <c r="BD795" s="97"/>
      <c r="BE795" s="99"/>
    </row>
    <row r="796" spans="1:57" ht="15.75" customHeight="1">
      <c r="A796" s="95"/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7"/>
      <c r="AV796" s="97"/>
      <c r="AW796" s="97"/>
      <c r="AX796" s="97"/>
      <c r="AY796" s="97"/>
      <c r="AZ796" s="97"/>
      <c r="BA796" s="97"/>
      <c r="BB796" s="97"/>
      <c r="BC796" s="97"/>
      <c r="BD796" s="97"/>
      <c r="BE796" s="99"/>
    </row>
    <row r="797" spans="1:57" ht="15.75" customHeight="1">
      <c r="A797" s="95"/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7"/>
      <c r="AV797" s="97"/>
      <c r="AW797" s="97"/>
      <c r="AX797" s="97"/>
      <c r="AY797" s="97"/>
      <c r="AZ797" s="97"/>
      <c r="BA797" s="97"/>
      <c r="BB797" s="97"/>
      <c r="BC797" s="97"/>
      <c r="BD797" s="97"/>
      <c r="BE797" s="99"/>
    </row>
    <row r="798" spans="1:57" ht="15.75" customHeight="1">
      <c r="A798" s="95"/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7"/>
      <c r="AV798" s="97"/>
      <c r="AW798" s="97"/>
      <c r="AX798" s="97"/>
      <c r="AY798" s="97"/>
      <c r="AZ798" s="97"/>
      <c r="BA798" s="97"/>
      <c r="BB798" s="97"/>
      <c r="BC798" s="97"/>
      <c r="BD798" s="97"/>
      <c r="BE798" s="99"/>
    </row>
    <row r="799" spans="1:57" ht="15.75" customHeight="1">
      <c r="A799" s="95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7"/>
      <c r="AV799" s="97"/>
      <c r="AW799" s="97"/>
      <c r="AX799" s="97"/>
      <c r="AY799" s="97"/>
      <c r="AZ799" s="97"/>
      <c r="BA799" s="97"/>
      <c r="BB799" s="97"/>
      <c r="BC799" s="97"/>
      <c r="BD799" s="97"/>
      <c r="BE799" s="99"/>
    </row>
    <row r="800" spans="1:57" ht="15.75" customHeight="1">
      <c r="A800" s="95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7"/>
      <c r="AV800" s="97"/>
      <c r="AW800" s="97"/>
      <c r="AX800" s="97"/>
      <c r="AY800" s="97"/>
      <c r="AZ800" s="97"/>
      <c r="BA800" s="97"/>
      <c r="BB800" s="97"/>
      <c r="BC800" s="97"/>
      <c r="BD800" s="97"/>
      <c r="BE800" s="99"/>
    </row>
    <row r="801" spans="1:57" ht="15.75" customHeight="1">
      <c r="A801" s="95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7"/>
      <c r="AV801" s="97"/>
      <c r="AW801" s="97"/>
      <c r="AX801" s="97"/>
      <c r="AY801" s="97"/>
      <c r="AZ801" s="97"/>
      <c r="BA801" s="97"/>
      <c r="BB801" s="97"/>
      <c r="BC801" s="97"/>
      <c r="BD801" s="97"/>
      <c r="BE801" s="99"/>
    </row>
    <row r="802" spans="1:57" ht="15.75" customHeight="1">
      <c r="A802" s="95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7"/>
      <c r="AV802" s="97"/>
      <c r="AW802" s="97"/>
      <c r="AX802" s="97"/>
      <c r="AY802" s="97"/>
      <c r="AZ802" s="97"/>
      <c r="BA802" s="97"/>
      <c r="BB802" s="97"/>
      <c r="BC802" s="97"/>
      <c r="BD802" s="97"/>
      <c r="BE802" s="99"/>
    </row>
    <row r="803" spans="1:57" ht="15.75" customHeight="1">
      <c r="A803" s="95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7"/>
      <c r="AV803" s="97"/>
      <c r="AW803" s="97"/>
      <c r="AX803" s="97"/>
      <c r="AY803" s="97"/>
      <c r="AZ803" s="97"/>
      <c r="BA803" s="97"/>
      <c r="BB803" s="97"/>
      <c r="BC803" s="97"/>
      <c r="BD803" s="97"/>
      <c r="BE803" s="99"/>
    </row>
    <row r="804" spans="1:57" ht="15.75" customHeight="1">
      <c r="A804" s="95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7"/>
      <c r="AV804" s="97"/>
      <c r="AW804" s="97"/>
      <c r="AX804" s="97"/>
      <c r="AY804" s="97"/>
      <c r="AZ804" s="97"/>
      <c r="BA804" s="97"/>
      <c r="BB804" s="97"/>
      <c r="BC804" s="97"/>
      <c r="BD804" s="97"/>
      <c r="BE804" s="99"/>
    </row>
    <row r="805" spans="1:57" ht="15.75" customHeight="1">
      <c r="A805" s="95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7"/>
      <c r="AV805" s="97"/>
      <c r="AW805" s="97"/>
      <c r="AX805" s="97"/>
      <c r="AY805" s="97"/>
      <c r="AZ805" s="97"/>
      <c r="BA805" s="97"/>
      <c r="BB805" s="97"/>
      <c r="BC805" s="97"/>
      <c r="BD805" s="97"/>
      <c r="BE805" s="99"/>
    </row>
    <row r="806" spans="1:57" ht="15.75" customHeight="1">
      <c r="A806" s="95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7"/>
      <c r="AV806" s="97"/>
      <c r="AW806" s="97"/>
      <c r="AX806" s="97"/>
      <c r="AY806" s="97"/>
      <c r="AZ806" s="97"/>
      <c r="BA806" s="97"/>
      <c r="BB806" s="97"/>
      <c r="BC806" s="97"/>
      <c r="BD806" s="97"/>
      <c r="BE806" s="99"/>
    </row>
    <row r="807" spans="1:57" ht="15.75" customHeight="1">
      <c r="A807" s="95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7"/>
      <c r="AV807" s="97"/>
      <c r="AW807" s="97"/>
      <c r="AX807" s="97"/>
      <c r="AY807" s="97"/>
      <c r="AZ807" s="97"/>
      <c r="BA807" s="97"/>
      <c r="BB807" s="97"/>
      <c r="BC807" s="97"/>
      <c r="BD807" s="97"/>
      <c r="BE807" s="99"/>
    </row>
    <row r="808" spans="1:57" ht="15.75" customHeight="1">
      <c r="A808" s="95"/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7"/>
      <c r="AV808" s="97"/>
      <c r="AW808" s="97"/>
      <c r="AX808" s="97"/>
      <c r="AY808" s="97"/>
      <c r="AZ808" s="97"/>
      <c r="BA808" s="97"/>
      <c r="BB808" s="97"/>
      <c r="BC808" s="97"/>
      <c r="BD808" s="97"/>
      <c r="BE808" s="99"/>
    </row>
    <row r="809" spans="1:57" ht="15.75" customHeight="1">
      <c r="A809" s="95"/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7"/>
      <c r="AV809" s="97"/>
      <c r="AW809" s="97"/>
      <c r="AX809" s="97"/>
      <c r="AY809" s="97"/>
      <c r="AZ809" s="97"/>
      <c r="BA809" s="97"/>
      <c r="BB809" s="97"/>
      <c r="BC809" s="97"/>
      <c r="BD809" s="97"/>
      <c r="BE809" s="99"/>
    </row>
    <row r="810" spans="1:57" ht="15.75" customHeight="1">
      <c r="A810" s="95"/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7"/>
      <c r="AV810" s="97"/>
      <c r="AW810" s="97"/>
      <c r="AX810" s="97"/>
      <c r="AY810" s="97"/>
      <c r="AZ810" s="97"/>
      <c r="BA810" s="97"/>
      <c r="BB810" s="97"/>
      <c r="BC810" s="97"/>
      <c r="BD810" s="97"/>
      <c r="BE810" s="99"/>
    </row>
    <row r="811" spans="1:57" ht="15.75" customHeight="1">
      <c r="A811" s="95"/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7"/>
      <c r="AV811" s="97"/>
      <c r="AW811" s="97"/>
      <c r="AX811" s="97"/>
      <c r="AY811" s="97"/>
      <c r="AZ811" s="97"/>
      <c r="BA811" s="97"/>
      <c r="BB811" s="97"/>
      <c r="BC811" s="97"/>
      <c r="BD811" s="97"/>
      <c r="BE811" s="99"/>
    </row>
    <row r="812" spans="1:57" ht="15.75" customHeight="1">
      <c r="A812" s="95"/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7"/>
      <c r="AV812" s="97"/>
      <c r="AW812" s="97"/>
      <c r="AX812" s="97"/>
      <c r="AY812" s="97"/>
      <c r="AZ812" s="97"/>
      <c r="BA812" s="97"/>
      <c r="BB812" s="97"/>
      <c r="BC812" s="97"/>
      <c r="BD812" s="97"/>
      <c r="BE812" s="99"/>
    </row>
    <row r="813" spans="1:57" ht="15.75" customHeight="1">
      <c r="A813" s="95"/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7"/>
      <c r="AV813" s="97"/>
      <c r="AW813" s="97"/>
      <c r="AX813" s="97"/>
      <c r="AY813" s="97"/>
      <c r="AZ813" s="97"/>
      <c r="BA813" s="97"/>
      <c r="BB813" s="97"/>
      <c r="BC813" s="97"/>
      <c r="BD813" s="97"/>
      <c r="BE813" s="99"/>
    </row>
    <row r="814" spans="1:57" ht="15.75" customHeight="1">
      <c r="A814" s="95"/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7"/>
      <c r="AV814" s="97"/>
      <c r="AW814" s="97"/>
      <c r="AX814" s="97"/>
      <c r="AY814" s="97"/>
      <c r="AZ814" s="97"/>
      <c r="BA814" s="97"/>
      <c r="BB814" s="97"/>
      <c r="BC814" s="97"/>
      <c r="BD814" s="97"/>
      <c r="BE814" s="99"/>
    </row>
    <row r="815" spans="1:57" ht="15.75" customHeight="1">
      <c r="A815" s="95"/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7"/>
      <c r="AV815" s="97"/>
      <c r="AW815" s="97"/>
      <c r="AX815" s="97"/>
      <c r="AY815" s="97"/>
      <c r="AZ815" s="97"/>
      <c r="BA815" s="97"/>
      <c r="BB815" s="97"/>
      <c r="BC815" s="97"/>
      <c r="BD815" s="97"/>
      <c r="BE815" s="99"/>
    </row>
    <row r="816" spans="1:57" ht="15.75" customHeight="1">
      <c r="A816" s="95"/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7"/>
      <c r="AV816" s="97"/>
      <c r="AW816" s="97"/>
      <c r="AX816" s="97"/>
      <c r="AY816" s="97"/>
      <c r="AZ816" s="97"/>
      <c r="BA816" s="97"/>
      <c r="BB816" s="97"/>
      <c r="BC816" s="97"/>
      <c r="BD816" s="97"/>
      <c r="BE816" s="99"/>
    </row>
    <row r="817" spans="1:57" ht="15.75" customHeight="1">
      <c r="A817" s="95"/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7"/>
      <c r="AV817" s="97"/>
      <c r="AW817" s="97"/>
      <c r="AX817" s="97"/>
      <c r="AY817" s="97"/>
      <c r="AZ817" s="97"/>
      <c r="BA817" s="97"/>
      <c r="BB817" s="97"/>
      <c r="BC817" s="97"/>
      <c r="BD817" s="97"/>
      <c r="BE817" s="99"/>
    </row>
    <row r="818" spans="1:57" ht="15.75" customHeight="1">
      <c r="A818" s="95"/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7"/>
      <c r="AV818" s="97"/>
      <c r="AW818" s="97"/>
      <c r="AX818" s="97"/>
      <c r="AY818" s="97"/>
      <c r="AZ818" s="97"/>
      <c r="BA818" s="97"/>
      <c r="BB818" s="97"/>
      <c r="BC818" s="97"/>
      <c r="BD818" s="97"/>
      <c r="BE818" s="99"/>
    </row>
    <row r="819" spans="1:57" ht="15.75" customHeight="1">
      <c r="A819" s="95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7"/>
      <c r="AV819" s="97"/>
      <c r="AW819" s="97"/>
      <c r="AX819" s="97"/>
      <c r="AY819" s="97"/>
      <c r="AZ819" s="97"/>
      <c r="BA819" s="97"/>
      <c r="BB819" s="97"/>
      <c r="BC819" s="97"/>
      <c r="BD819" s="97"/>
      <c r="BE819" s="99"/>
    </row>
    <row r="820" spans="1:57" ht="15.75" customHeight="1">
      <c r="A820" s="95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7"/>
      <c r="AV820" s="97"/>
      <c r="AW820" s="97"/>
      <c r="AX820" s="97"/>
      <c r="AY820" s="97"/>
      <c r="AZ820" s="97"/>
      <c r="BA820" s="97"/>
      <c r="BB820" s="97"/>
      <c r="BC820" s="97"/>
      <c r="BD820" s="97"/>
      <c r="BE820" s="99"/>
    </row>
    <row r="821" spans="1:57" ht="15.75" customHeight="1">
      <c r="A821" s="95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7"/>
      <c r="AV821" s="97"/>
      <c r="AW821" s="97"/>
      <c r="AX821" s="97"/>
      <c r="AY821" s="97"/>
      <c r="AZ821" s="97"/>
      <c r="BA821" s="97"/>
      <c r="BB821" s="97"/>
      <c r="BC821" s="97"/>
      <c r="BD821" s="97"/>
      <c r="BE821" s="99"/>
    </row>
    <row r="822" spans="1:57" ht="15.75" customHeight="1">
      <c r="A822" s="95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7"/>
      <c r="AV822" s="97"/>
      <c r="AW822" s="97"/>
      <c r="AX822" s="97"/>
      <c r="AY822" s="97"/>
      <c r="AZ822" s="97"/>
      <c r="BA822" s="97"/>
      <c r="BB822" s="97"/>
      <c r="BC822" s="97"/>
      <c r="BD822" s="97"/>
      <c r="BE822" s="99"/>
    </row>
    <row r="823" spans="1:57" ht="15.75" customHeight="1">
      <c r="A823" s="95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7"/>
      <c r="AV823" s="97"/>
      <c r="AW823" s="97"/>
      <c r="AX823" s="97"/>
      <c r="AY823" s="97"/>
      <c r="AZ823" s="97"/>
      <c r="BA823" s="97"/>
      <c r="BB823" s="97"/>
      <c r="BC823" s="97"/>
      <c r="BD823" s="97"/>
      <c r="BE823" s="99"/>
    </row>
    <row r="824" spans="1:57" ht="15.75" customHeight="1">
      <c r="A824" s="95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7"/>
      <c r="AV824" s="97"/>
      <c r="AW824" s="97"/>
      <c r="AX824" s="97"/>
      <c r="AY824" s="97"/>
      <c r="AZ824" s="97"/>
      <c r="BA824" s="97"/>
      <c r="BB824" s="97"/>
      <c r="BC824" s="97"/>
      <c r="BD824" s="97"/>
      <c r="BE824" s="99"/>
    </row>
    <row r="825" spans="1:57" ht="15.75" customHeight="1">
      <c r="A825" s="95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7"/>
      <c r="AV825" s="97"/>
      <c r="AW825" s="97"/>
      <c r="AX825" s="97"/>
      <c r="AY825" s="97"/>
      <c r="AZ825" s="97"/>
      <c r="BA825" s="97"/>
      <c r="BB825" s="97"/>
      <c r="BC825" s="97"/>
      <c r="BD825" s="97"/>
      <c r="BE825" s="99"/>
    </row>
    <row r="826" spans="1:57" ht="15.75" customHeight="1">
      <c r="A826" s="95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7"/>
      <c r="AV826" s="97"/>
      <c r="AW826" s="97"/>
      <c r="AX826" s="97"/>
      <c r="AY826" s="97"/>
      <c r="AZ826" s="97"/>
      <c r="BA826" s="97"/>
      <c r="BB826" s="97"/>
      <c r="BC826" s="97"/>
      <c r="BD826" s="97"/>
      <c r="BE826" s="99"/>
    </row>
    <row r="827" spans="1:57" ht="15.75" customHeight="1">
      <c r="A827" s="95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7"/>
      <c r="AV827" s="97"/>
      <c r="AW827" s="97"/>
      <c r="AX827" s="97"/>
      <c r="AY827" s="97"/>
      <c r="AZ827" s="97"/>
      <c r="BA827" s="97"/>
      <c r="BB827" s="97"/>
      <c r="BC827" s="97"/>
      <c r="BD827" s="97"/>
      <c r="BE827" s="99"/>
    </row>
    <row r="828" spans="1:57" ht="15.75" customHeight="1">
      <c r="A828" s="95"/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7"/>
      <c r="AV828" s="97"/>
      <c r="AW828" s="97"/>
      <c r="AX828" s="97"/>
      <c r="AY828" s="97"/>
      <c r="AZ828" s="97"/>
      <c r="BA828" s="97"/>
      <c r="BB828" s="97"/>
      <c r="BC828" s="97"/>
      <c r="BD828" s="97"/>
      <c r="BE828" s="99"/>
    </row>
    <row r="829" spans="1:57" ht="15.75" customHeight="1">
      <c r="A829" s="95"/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7"/>
      <c r="AV829" s="97"/>
      <c r="AW829" s="97"/>
      <c r="AX829" s="97"/>
      <c r="AY829" s="97"/>
      <c r="AZ829" s="97"/>
      <c r="BA829" s="97"/>
      <c r="BB829" s="97"/>
      <c r="BC829" s="97"/>
      <c r="BD829" s="97"/>
      <c r="BE829" s="99"/>
    </row>
    <row r="830" spans="1:57" ht="15.75" customHeight="1">
      <c r="A830" s="95"/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7"/>
      <c r="AV830" s="97"/>
      <c r="AW830" s="97"/>
      <c r="AX830" s="97"/>
      <c r="AY830" s="97"/>
      <c r="AZ830" s="97"/>
      <c r="BA830" s="97"/>
      <c r="BB830" s="97"/>
      <c r="BC830" s="97"/>
      <c r="BD830" s="97"/>
      <c r="BE830" s="99"/>
    </row>
    <row r="831" spans="1:57" ht="15.75" customHeight="1">
      <c r="A831" s="95"/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7"/>
      <c r="AV831" s="97"/>
      <c r="AW831" s="97"/>
      <c r="AX831" s="97"/>
      <c r="AY831" s="97"/>
      <c r="AZ831" s="97"/>
      <c r="BA831" s="97"/>
      <c r="BB831" s="97"/>
      <c r="BC831" s="97"/>
      <c r="BD831" s="97"/>
      <c r="BE831" s="99"/>
    </row>
    <row r="832" spans="1:57" ht="15.75" customHeight="1">
      <c r="A832" s="95"/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7"/>
      <c r="AV832" s="97"/>
      <c r="AW832" s="97"/>
      <c r="AX832" s="97"/>
      <c r="AY832" s="97"/>
      <c r="AZ832" s="97"/>
      <c r="BA832" s="97"/>
      <c r="BB832" s="97"/>
      <c r="BC832" s="97"/>
      <c r="BD832" s="97"/>
      <c r="BE832" s="99"/>
    </row>
    <row r="833" spans="1:57" ht="15.75" customHeight="1">
      <c r="A833" s="95"/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7"/>
      <c r="AV833" s="97"/>
      <c r="AW833" s="97"/>
      <c r="AX833" s="97"/>
      <c r="AY833" s="97"/>
      <c r="AZ833" s="97"/>
      <c r="BA833" s="97"/>
      <c r="BB833" s="97"/>
      <c r="BC833" s="97"/>
      <c r="BD833" s="97"/>
      <c r="BE833" s="99"/>
    </row>
    <row r="834" spans="1:57" ht="15.75" customHeight="1">
      <c r="A834" s="95"/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7"/>
      <c r="AV834" s="97"/>
      <c r="AW834" s="97"/>
      <c r="AX834" s="97"/>
      <c r="AY834" s="97"/>
      <c r="AZ834" s="97"/>
      <c r="BA834" s="97"/>
      <c r="BB834" s="97"/>
      <c r="BC834" s="97"/>
      <c r="BD834" s="97"/>
      <c r="BE834" s="99"/>
    </row>
    <row r="835" spans="1:57" ht="15.75" customHeight="1">
      <c r="A835" s="95"/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7"/>
      <c r="AV835" s="97"/>
      <c r="AW835" s="97"/>
      <c r="AX835" s="97"/>
      <c r="AY835" s="97"/>
      <c r="AZ835" s="97"/>
      <c r="BA835" s="97"/>
      <c r="BB835" s="97"/>
      <c r="BC835" s="97"/>
      <c r="BD835" s="97"/>
      <c r="BE835" s="99"/>
    </row>
    <row r="836" spans="1:57" ht="15.75" customHeight="1">
      <c r="A836" s="95"/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7"/>
      <c r="AV836" s="97"/>
      <c r="AW836" s="97"/>
      <c r="AX836" s="97"/>
      <c r="AY836" s="97"/>
      <c r="AZ836" s="97"/>
      <c r="BA836" s="97"/>
      <c r="BB836" s="97"/>
      <c r="BC836" s="97"/>
      <c r="BD836" s="97"/>
      <c r="BE836" s="99"/>
    </row>
    <row r="837" spans="1:57" ht="15.75" customHeight="1">
      <c r="A837" s="95"/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7"/>
      <c r="AV837" s="97"/>
      <c r="AW837" s="97"/>
      <c r="AX837" s="97"/>
      <c r="AY837" s="97"/>
      <c r="AZ837" s="97"/>
      <c r="BA837" s="97"/>
      <c r="BB837" s="97"/>
      <c r="BC837" s="97"/>
      <c r="BD837" s="97"/>
      <c r="BE837" s="99"/>
    </row>
    <row r="838" spans="1:57" ht="15.75" customHeight="1">
      <c r="A838" s="95"/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7"/>
      <c r="AV838" s="97"/>
      <c r="AW838" s="97"/>
      <c r="AX838" s="97"/>
      <c r="AY838" s="97"/>
      <c r="AZ838" s="97"/>
      <c r="BA838" s="97"/>
      <c r="BB838" s="97"/>
      <c r="BC838" s="97"/>
      <c r="BD838" s="97"/>
      <c r="BE838" s="99"/>
    </row>
    <row r="839" spans="1:57" ht="15.75" customHeight="1">
      <c r="A839" s="95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7"/>
      <c r="AV839" s="97"/>
      <c r="AW839" s="97"/>
      <c r="AX839" s="97"/>
      <c r="AY839" s="97"/>
      <c r="AZ839" s="97"/>
      <c r="BA839" s="97"/>
      <c r="BB839" s="97"/>
      <c r="BC839" s="97"/>
      <c r="BD839" s="97"/>
      <c r="BE839" s="99"/>
    </row>
    <row r="840" spans="1:57" ht="15.75" customHeight="1">
      <c r="A840" s="95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7"/>
      <c r="AV840" s="97"/>
      <c r="AW840" s="97"/>
      <c r="AX840" s="97"/>
      <c r="AY840" s="97"/>
      <c r="AZ840" s="97"/>
      <c r="BA840" s="97"/>
      <c r="BB840" s="97"/>
      <c r="BC840" s="97"/>
      <c r="BD840" s="97"/>
      <c r="BE840" s="99"/>
    </row>
    <row r="841" spans="1:57" ht="15.75" customHeight="1">
      <c r="A841" s="95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7"/>
      <c r="AV841" s="97"/>
      <c r="AW841" s="97"/>
      <c r="AX841" s="97"/>
      <c r="AY841" s="97"/>
      <c r="AZ841" s="97"/>
      <c r="BA841" s="97"/>
      <c r="BB841" s="97"/>
      <c r="BC841" s="97"/>
      <c r="BD841" s="97"/>
      <c r="BE841" s="99"/>
    </row>
    <row r="842" spans="1:57" ht="15.75" customHeight="1">
      <c r="A842" s="95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7"/>
      <c r="AV842" s="97"/>
      <c r="AW842" s="97"/>
      <c r="AX842" s="97"/>
      <c r="AY842" s="97"/>
      <c r="AZ842" s="97"/>
      <c r="BA842" s="97"/>
      <c r="BB842" s="97"/>
      <c r="BC842" s="97"/>
      <c r="BD842" s="97"/>
      <c r="BE842" s="99"/>
    </row>
    <row r="843" spans="1:57" ht="15.75" customHeight="1">
      <c r="A843" s="95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7"/>
      <c r="AV843" s="97"/>
      <c r="AW843" s="97"/>
      <c r="AX843" s="97"/>
      <c r="AY843" s="97"/>
      <c r="AZ843" s="97"/>
      <c r="BA843" s="97"/>
      <c r="BB843" s="97"/>
      <c r="BC843" s="97"/>
      <c r="BD843" s="97"/>
      <c r="BE843" s="99"/>
    </row>
    <row r="844" spans="1:57" ht="15.75" customHeight="1">
      <c r="A844" s="95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7"/>
      <c r="AV844" s="97"/>
      <c r="AW844" s="97"/>
      <c r="AX844" s="97"/>
      <c r="AY844" s="97"/>
      <c r="AZ844" s="97"/>
      <c r="BA844" s="97"/>
      <c r="BB844" s="97"/>
      <c r="BC844" s="97"/>
      <c r="BD844" s="97"/>
      <c r="BE844" s="99"/>
    </row>
    <row r="845" spans="1:57" ht="15.75" customHeight="1">
      <c r="A845" s="95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7"/>
      <c r="AV845" s="97"/>
      <c r="AW845" s="97"/>
      <c r="AX845" s="97"/>
      <c r="AY845" s="97"/>
      <c r="AZ845" s="97"/>
      <c r="BA845" s="97"/>
      <c r="BB845" s="97"/>
      <c r="BC845" s="97"/>
      <c r="BD845" s="97"/>
      <c r="BE845" s="99"/>
    </row>
    <row r="846" spans="1:57" ht="15.75" customHeight="1">
      <c r="A846" s="95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7"/>
      <c r="AV846" s="97"/>
      <c r="AW846" s="97"/>
      <c r="AX846" s="97"/>
      <c r="AY846" s="97"/>
      <c r="AZ846" s="97"/>
      <c r="BA846" s="97"/>
      <c r="BB846" s="97"/>
      <c r="BC846" s="97"/>
      <c r="BD846" s="97"/>
      <c r="BE846" s="99"/>
    </row>
    <row r="847" spans="1:57" ht="15.75" customHeight="1">
      <c r="A847" s="95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7"/>
      <c r="AV847" s="97"/>
      <c r="AW847" s="97"/>
      <c r="AX847" s="97"/>
      <c r="AY847" s="97"/>
      <c r="AZ847" s="97"/>
      <c r="BA847" s="97"/>
      <c r="BB847" s="97"/>
      <c r="BC847" s="97"/>
      <c r="BD847" s="97"/>
      <c r="BE847" s="99"/>
    </row>
    <row r="848" spans="1:57" ht="15.75" customHeight="1">
      <c r="A848" s="95"/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7"/>
      <c r="AV848" s="97"/>
      <c r="AW848" s="97"/>
      <c r="AX848" s="97"/>
      <c r="AY848" s="97"/>
      <c r="AZ848" s="97"/>
      <c r="BA848" s="97"/>
      <c r="BB848" s="97"/>
      <c r="BC848" s="97"/>
      <c r="BD848" s="97"/>
      <c r="BE848" s="99"/>
    </row>
    <row r="849" spans="1:57" ht="15.75" customHeight="1">
      <c r="A849" s="95"/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7"/>
      <c r="AV849" s="97"/>
      <c r="AW849" s="97"/>
      <c r="AX849" s="97"/>
      <c r="AY849" s="97"/>
      <c r="AZ849" s="97"/>
      <c r="BA849" s="97"/>
      <c r="BB849" s="97"/>
      <c r="BC849" s="97"/>
      <c r="BD849" s="97"/>
      <c r="BE849" s="99"/>
    </row>
    <row r="850" spans="1:57" ht="15.75" customHeight="1">
      <c r="A850" s="95"/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7"/>
      <c r="AV850" s="97"/>
      <c r="AW850" s="97"/>
      <c r="AX850" s="97"/>
      <c r="AY850" s="97"/>
      <c r="AZ850" s="97"/>
      <c r="BA850" s="97"/>
      <c r="BB850" s="97"/>
      <c r="BC850" s="97"/>
      <c r="BD850" s="97"/>
      <c r="BE850" s="99"/>
    </row>
    <row r="851" spans="1:57" ht="15.75" customHeight="1">
      <c r="A851" s="95"/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7"/>
      <c r="AV851" s="97"/>
      <c r="AW851" s="97"/>
      <c r="AX851" s="97"/>
      <c r="AY851" s="97"/>
      <c r="AZ851" s="97"/>
      <c r="BA851" s="97"/>
      <c r="BB851" s="97"/>
      <c r="BC851" s="97"/>
      <c r="BD851" s="97"/>
      <c r="BE851" s="99"/>
    </row>
    <row r="852" spans="1:57" ht="15.75" customHeight="1">
      <c r="A852" s="95"/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7"/>
      <c r="AV852" s="97"/>
      <c r="AW852" s="97"/>
      <c r="AX852" s="97"/>
      <c r="AY852" s="97"/>
      <c r="AZ852" s="97"/>
      <c r="BA852" s="97"/>
      <c r="BB852" s="97"/>
      <c r="BC852" s="97"/>
      <c r="BD852" s="97"/>
      <c r="BE852" s="99"/>
    </row>
    <row r="853" spans="1:57" ht="15.75" customHeight="1">
      <c r="A853" s="95"/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7"/>
      <c r="AV853" s="97"/>
      <c r="AW853" s="97"/>
      <c r="AX853" s="97"/>
      <c r="AY853" s="97"/>
      <c r="AZ853" s="97"/>
      <c r="BA853" s="97"/>
      <c r="BB853" s="97"/>
      <c r="BC853" s="97"/>
      <c r="BD853" s="97"/>
      <c r="BE853" s="99"/>
    </row>
    <row r="854" spans="1:57" ht="15.75" customHeight="1">
      <c r="A854" s="95"/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7"/>
      <c r="AV854" s="97"/>
      <c r="AW854" s="97"/>
      <c r="AX854" s="97"/>
      <c r="AY854" s="97"/>
      <c r="AZ854" s="97"/>
      <c r="BA854" s="97"/>
      <c r="BB854" s="97"/>
      <c r="BC854" s="97"/>
      <c r="BD854" s="97"/>
      <c r="BE854" s="99"/>
    </row>
    <row r="855" spans="1:57" ht="15.75" customHeight="1">
      <c r="A855" s="95"/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7"/>
      <c r="AV855" s="97"/>
      <c r="AW855" s="97"/>
      <c r="AX855" s="97"/>
      <c r="AY855" s="97"/>
      <c r="AZ855" s="97"/>
      <c r="BA855" s="97"/>
      <c r="BB855" s="97"/>
      <c r="BC855" s="97"/>
      <c r="BD855" s="97"/>
      <c r="BE855" s="99"/>
    </row>
    <row r="856" spans="1:57" ht="15.75" customHeight="1">
      <c r="A856" s="95"/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7"/>
      <c r="AV856" s="97"/>
      <c r="AW856" s="97"/>
      <c r="AX856" s="97"/>
      <c r="AY856" s="97"/>
      <c r="AZ856" s="97"/>
      <c r="BA856" s="97"/>
      <c r="BB856" s="97"/>
      <c r="BC856" s="97"/>
      <c r="BD856" s="97"/>
      <c r="BE856" s="99"/>
    </row>
    <row r="857" spans="1:57" ht="15.75" customHeight="1">
      <c r="A857" s="95"/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7"/>
      <c r="AV857" s="97"/>
      <c r="AW857" s="97"/>
      <c r="AX857" s="97"/>
      <c r="AY857" s="97"/>
      <c r="AZ857" s="97"/>
      <c r="BA857" s="97"/>
      <c r="BB857" s="97"/>
      <c r="BC857" s="97"/>
      <c r="BD857" s="97"/>
      <c r="BE857" s="99"/>
    </row>
    <row r="858" spans="1:57" ht="15.75" customHeight="1">
      <c r="A858" s="95"/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7"/>
      <c r="AV858" s="97"/>
      <c r="AW858" s="97"/>
      <c r="AX858" s="97"/>
      <c r="AY858" s="97"/>
      <c r="AZ858" s="97"/>
      <c r="BA858" s="97"/>
      <c r="BB858" s="97"/>
      <c r="BC858" s="97"/>
      <c r="BD858" s="97"/>
      <c r="BE858" s="99"/>
    </row>
    <row r="859" spans="1:57" ht="15.75" customHeight="1">
      <c r="A859" s="95"/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7"/>
      <c r="AV859" s="97"/>
      <c r="AW859" s="97"/>
      <c r="AX859" s="97"/>
      <c r="AY859" s="97"/>
      <c r="AZ859" s="97"/>
      <c r="BA859" s="97"/>
      <c r="BB859" s="97"/>
      <c r="BC859" s="97"/>
      <c r="BD859" s="97"/>
      <c r="BE859" s="99"/>
    </row>
    <row r="860" spans="1:57" ht="15.75" customHeight="1">
      <c r="A860" s="95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7"/>
      <c r="AV860" s="97"/>
      <c r="AW860" s="97"/>
      <c r="AX860" s="97"/>
      <c r="AY860" s="97"/>
      <c r="AZ860" s="97"/>
      <c r="BA860" s="97"/>
      <c r="BB860" s="97"/>
      <c r="BC860" s="97"/>
      <c r="BD860" s="97"/>
      <c r="BE860" s="99"/>
    </row>
    <row r="861" spans="1:57" ht="15.75" customHeight="1">
      <c r="A861" s="95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7"/>
      <c r="AV861" s="97"/>
      <c r="AW861" s="97"/>
      <c r="AX861" s="97"/>
      <c r="AY861" s="97"/>
      <c r="AZ861" s="97"/>
      <c r="BA861" s="97"/>
      <c r="BB861" s="97"/>
      <c r="BC861" s="97"/>
      <c r="BD861" s="97"/>
      <c r="BE861" s="99"/>
    </row>
    <row r="862" spans="1:57" ht="15.75" customHeight="1">
      <c r="A862" s="95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7"/>
      <c r="AV862" s="97"/>
      <c r="AW862" s="97"/>
      <c r="AX862" s="97"/>
      <c r="AY862" s="97"/>
      <c r="AZ862" s="97"/>
      <c r="BA862" s="97"/>
      <c r="BB862" s="97"/>
      <c r="BC862" s="97"/>
      <c r="BD862" s="97"/>
      <c r="BE862" s="99"/>
    </row>
    <row r="863" spans="1:57" ht="15.75" customHeight="1">
      <c r="A863" s="95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7"/>
      <c r="AV863" s="97"/>
      <c r="AW863" s="97"/>
      <c r="AX863" s="97"/>
      <c r="AY863" s="97"/>
      <c r="AZ863" s="97"/>
      <c r="BA863" s="97"/>
      <c r="BB863" s="97"/>
      <c r="BC863" s="97"/>
      <c r="BD863" s="97"/>
      <c r="BE863" s="99"/>
    </row>
    <row r="864" spans="1:57" ht="15.75" customHeight="1">
      <c r="A864" s="95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7"/>
      <c r="AV864" s="97"/>
      <c r="AW864" s="97"/>
      <c r="AX864" s="97"/>
      <c r="AY864" s="97"/>
      <c r="AZ864" s="97"/>
      <c r="BA864" s="97"/>
      <c r="BB864" s="97"/>
      <c r="BC864" s="97"/>
      <c r="BD864" s="97"/>
      <c r="BE864" s="99"/>
    </row>
    <row r="865" spans="1:57" ht="15.75" customHeight="1">
      <c r="A865" s="95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7"/>
      <c r="AV865" s="97"/>
      <c r="AW865" s="97"/>
      <c r="AX865" s="97"/>
      <c r="AY865" s="97"/>
      <c r="AZ865" s="97"/>
      <c r="BA865" s="97"/>
      <c r="BB865" s="97"/>
      <c r="BC865" s="97"/>
      <c r="BD865" s="97"/>
      <c r="BE865" s="99"/>
    </row>
    <row r="866" spans="1:57" ht="15.75" customHeight="1">
      <c r="A866" s="95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7"/>
      <c r="AV866" s="97"/>
      <c r="AW866" s="97"/>
      <c r="AX866" s="97"/>
      <c r="AY866" s="97"/>
      <c r="AZ866" s="97"/>
      <c r="BA866" s="97"/>
      <c r="BB866" s="97"/>
      <c r="BC866" s="97"/>
      <c r="BD866" s="97"/>
      <c r="BE866" s="99"/>
    </row>
    <row r="867" spans="1:57" ht="15.75" customHeight="1">
      <c r="A867" s="95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7"/>
      <c r="AV867" s="97"/>
      <c r="AW867" s="97"/>
      <c r="AX867" s="97"/>
      <c r="AY867" s="97"/>
      <c r="AZ867" s="97"/>
      <c r="BA867" s="97"/>
      <c r="BB867" s="97"/>
      <c r="BC867" s="97"/>
      <c r="BD867" s="97"/>
      <c r="BE867" s="99"/>
    </row>
    <row r="868" spans="1:57" ht="15.75" customHeight="1">
      <c r="A868" s="95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7"/>
      <c r="AV868" s="97"/>
      <c r="AW868" s="97"/>
      <c r="AX868" s="97"/>
      <c r="AY868" s="97"/>
      <c r="AZ868" s="97"/>
      <c r="BA868" s="97"/>
      <c r="BB868" s="97"/>
      <c r="BC868" s="97"/>
      <c r="BD868" s="97"/>
      <c r="BE868" s="99"/>
    </row>
    <row r="869" spans="1:57" ht="15.75" customHeight="1">
      <c r="A869" s="95"/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7"/>
      <c r="AV869" s="97"/>
      <c r="AW869" s="97"/>
      <c r="AX869" s="97"/>
      <c r="AY869" s="97"/>
      <c r="AZ869" s="97"/>
      <c r="BA869" s="97"/>
      <c r="BB869" s="97"/>
      <c r="BC869" s="97"/>
      <c r="BD869" s="97"/>
      <c r="BE869" s="99"/>
    </row>
    <row r="870" spans="1:57" ht="15.75" customHeight="1">
      <c r="A870" s="95"/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7"/>
      <c r="AV870" s="97"/>
      <c r="AW870" s="97"/>
      <c r="AX870" s="97"/>
      <c r="AY870" s="97"/>
      <c r="AZ870" s="97"/>
      <c r="BA870" s="97"/>
      <c r="BB870" s="97"/>
      <c r="BC870" s="97"/>
      <c r="BD870" s="97"/>
      <c r="BE870" s="99"/>
    </row>
    <row r="871" spans="1:57" ht="15.75" customHeight="1">
      <c r="A871" s="95"/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7"/>
      <c r="AV871" s="97"/>
      <c r="AW871" s="97"/>
      <c r="AX871" s="97"/>
      <c r="AY871" s="97"/>
      <c r="AZ871" s="97"/>
      <c r="BA871" s="97"/>
      <c r="BB871" s="97"/>
      <c r="BC871" s="97"/>
      <c r="BD871" s="97"/>
      <c r="BE871" s="99"/>
    </row>
    <row r="872" spans="1:57" ht="15.75" customHeight="1">
      <c r="A872" s="95"/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7"/>
      <c r="AV872" s="97"/>
      <c r="AW872" s="97"/>
      <c r="AX872" s="97"/>
      <c r="AY872" s="97"/>
      <c r="AZ872" s="97"/>
      <c r="BA872" s="97"/>
      <c r="BB872" s="97"/>
      <c r="BC872" s="97"/>
      <c r="BD872" s="97"/>
      <c r="BE872" s="99"/>
    </row>
    <row r="873" spans="1:57" ht="15.75" customHeight="1">
      <c r="A873" s="95"/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7"/>
      <c r="AV873" s="97"/>
      <c r="AW873" s="97"/>
      <c r="AX873" s="97"/>
      <c r="AY873" s="97"/>
      <c r="AZ873" s="97"/>
      <c r="BA873" s="97"/>
      <c r="BB873" s="97"/>
      <c r="BC873" s="97"/>
      <c r="BD873" s="97"/>
      <c r="BE873" s="99"/>
    </row>
    <row r="874" spans="1:57" ht="15.75" customHeight="1">
      <c r="A874" s="95"/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7"/>
      <c r="AV874" s="97"/>
      <c r="AW874" s="97"/>
      <c r="AX874" s="97"/>
      <c r="AY874" s="97"/>
      <c r="AZ874" s="97"/>
      <c r="BA874" s="97"/>
      <c r="BB874" s="97"/>
      <c r="BC874" s="97"/>
      <c r="BD874" s="97"/>
      <c r="BE874" s="99"/>
    </row>
    <row r="875" spans="1:57" ht="15.75" customHeight="1">
      <c r="A875" s="95"/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7"/>
      <c r="AV875" s="97"/>
      <c r="AW875" s="97"/>
      <c r="AX875" s="97"/>
      <c r="AY875" s="97"/>
      <c r="AZ875" s="97"/>
      <c r="BA875" s="97"/>
      <c r="BB875" s="97"/>
      <c r="BC875" s="97"/>
      <c r="BD875" s="97"/>
      <c r="BE875" s="99"/>
    </row>
    <row r="876" spans="1:57" ht="15.75" customHeight="1">
      <c r="A876" s="95"/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7"/>
      <c r="AV876" s="97"/>
      <c r="AW876" s="97"/>
      <c r="AX876" s="97"/>
      <c r="AY876" s="97"/>
      <c r="AZ876" s="97"/>
      <c r="BA876" s="97"/>
      <c r="BB876" s="97"/>
      <c r="BC876" s="97"/>
      <c r="BD876" s="97"/>
      <c r="BE876" s="99"/>
    </row>
    <row r="877" spans="1:57" ht="15.75" customHeight="1">
      <c r="A877" s="95"/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7"/>
      <c r="AV877" s="97"/>
      <c r="AW877" s="97"/>
      <c r="AX877" s="97"/>
      <c r="AY877" s="97"/>
      <c r="AZ877" s="97"/>
      <c r="BA877" s="97"/>
      <c r="BB877" s="97"/>
      <c r="BC877" s="97"/>
      <c r="BD877" s="97"/>
      <c r="BE877" s="99"/>
    </row>
    <row r="878" spans="1:57" ht="15.75" customHeight="1">
      <c r="A878" s="95"/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7"/>
      <c r="AV878" s="97"/>
      <c r="AW878" s="97"/>
      <c r="AX878" s="97"/>
      <c r="AY878" s="97"/>
      <c r="AZ878" s="97"/>
      <c r="BA878" s="97"/>
      <c r="BB878" s="97"/>
      <c r="BC878" s="97"/>
      <c r="BD878" s="97"/>
      <c r="BE878" s="99"/>
    </row>
    <row r="879" spans="1:57" ht="15.75" customHeight="1">
      <c r="A879" s="95"/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7"/>
      <c r="AV879" s="97"/>
      <c r="AW879" s="97"/>
      <c r="AX879" s="97"/>
      <c r="AY879" s="97"/>
      <c r="AZ879" s="97"/>
      <c r="BA879" s="97"/>
      <c r="BB879" s="97"/>
      <c r="BC879" s="97"/>
      <c r="BD879" s="97"/>
      <c r="BE879" s="99"/>
    </row>
    <row r="880" spans="1:57" ht="15.75" customHeight="1">
      <c r="A880" s="95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7"/>
      <c r="AV880" s="97"/>
      <c r="AW880" s="97"/>
      <c r="AX880" s="97"/>
      <c r="AY880" s="97"/>
      <c r="AZ880" s="97"/>
      <c r="BA880" s="97"/>
      <c r="BB880" s="97"/>
      <c r="BC880" s="97"/>
      <c r="BD880" s="97"/>
      <c r="BE880" s="99"/>
    </row>
    <row r="881" spans="1:57" ht="15.75" customHeight="1">
      <c r="A881" s="95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7"/>
      <c r="AV881" s="97"/>
      <c r="AW881" s="97"/>
      <c r="AX881" s="97"/>
      <c r="AY881" s="97"/>
      <c r="AZ881" s="97"/>
      <c r="BA881" s="97"/>
      <c r="BB881" s="97"/>
      <c r="BC881" s="97"/>
      <c r="BD881" s="97"/>
      <c r="BE881" s="99"/>
    </row>
    <row r="882" spans="1:57" ht="15.75" customHeight="1">
      <c r="A882" s="95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7"/>
      <c r="AV882" s="97"/>
      <c r="AW882" s="97"/>
      <c r="AX882" s="97"/>
      <c r="AY882" s="97"/>
      <c r="AZ882" s="97"/>
      <c r="BA882" s="97"/>
      <c r="BB882" s="97"/>
      <c r="BC882" s="97"/>
      <c r="BD882" s="97"/>
      <c r="BE882" s="99"/>
    </row>
    <row r="883" spans="1:57" ht="15.75" customHeight="1">
      <c r="A883" s="95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7"/>
      <c r="AV883" s="97"/>
      <c r="AW883" s="97"/>
      <c r="AX883" s="97"/>
      <c r="AY883" s="97"/>
      <c r="AZ883" s="97"/>
      <c r="BA883" s="97"/>
      <c r="BB883" s="97"/>
      <c r="BC883" s="97"/>
      <c r="BD883" s="97"/>
      <c r="BE883" s="99"/>
    </row>
    <row r="884" spans="1:57" ht="15.75" customHeight="1">
      <c r="A884" s="95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7"/>
      <c r="AV884" s="97"/>
      <c r="AW884" s="97"/>
      <c r="AX884" s="97"/>
      <c r="AY884" s="97"/>
      <c r="AZ884" s="97"/>
      <c r="BA884" s="97"/>
      <c r="BB884" s="97"/>
      <c r="BC884" s="97"/>
      <c r="BD884" s="97"/>
      <c r="BE884" s="99"/>
    </row>
    <row r="885" spans="1:57" ht="15.75" customHeight="1">
      <c r="A885" s="95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7"/>
      <c r="AV885" s="97"/>
      <c r="AW885" s="97"/>
      <c r="AX885" s="97"/>
      <c r="AY885" s="97"/>
      <c r="AZ885" s="97"/>
      <c r="BA885" s="97"/>
      <c r="BB885" s="97"/>
      <c r="BC885" s="97"/>
      <c r="BD885" s="97"/>
      <c r="BE885" s="99"/>
    </row>
    <row r="886" spans="1:57" ht="15.75" customHeight="1">
      <c r="A886" s="95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7"/>
      <c r="AV886" s="97"/>
      <c r="AW886" s="97"/>
      <c r="AX886" s="97"/>
      <c r="AY886" s="97"/>
      <c r="AZ886" s="97"/>
      <c r="BA886" s="97"/>
      <c r="BB886" s="97"/>
      <c r="BC886" s="97"/>
      <c r="BD886" s="97"/>
      <c r="BE886" s="99"/>
    </row>
    <row r="887" spans="1:57" ht="15.75" customHeight="1">
      <c r="A887" s="95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7"/>
      <c r="AV887" s="97"/>
      <c r="AW887" s="97"/>
      <c r="AX887" s="97"/>
      <c r="AY887" s="97"/>
      <c r="AZ887" s="97"/>
      <c r="BA887" s="97"/>
      <c r="BB887" s="97"/>
      <c r="BC887" s="97"/>
      <c r="BD887" s="97"/>
      <c r="BE887" s="99"/>
    </row>
    <row r="888" spans="1:57" ht="15.75" customHeight="1">
      <c r="A888" s="95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7"/>
      <c r="AV888" s="97"/>
      <c r="AW888" s="97"/>
      <c r="AX888" s="97"/>
      <c r="AY888" s="97"/>
      <c r="AZ888" s="97"/>
      <c r="BA888" s="97"/>
      <c r="BB888" s="97"/>
      <c r="BC888" s="97"/>
      <c r="BD888" s="97"/>
      <c r="BE888" s="99"/>
    </row>
    <row r="889" spans="1:57" ht="15.75" customHeight="1">
      <c r="A889" s="95"/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7"/>
      <c r="AV889" s="97"/>
      <c r="AW889" s="97"/>
      <c r="AX889" s="97"/>
      <c r="AY889" s="97"/>
      <c r="AZ889" s="97"/>
      <c r="BA889" s="97"/>
      <c r="BB889" s="97"/>
      <c r="BC889" s="97"/>
      <c r="BD889" s="97"/>
      <c r="BE889" s="99"/>
    </row>
    <row r="890" spans="1:57" ht="15.75" customHeight="1">
      <c r="A890" s="95"/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7"/>
      <c r="AV890" s="97"/>
      <c r="AW890" s="97"/>
      <c r="AX890" s="97"/>
      <c r="AY890" s="97"/>
      <c r="AZ890" s="97"/>
      <c r="BA890" s="97"/>
      <c r="BB890" s="97"/>
      <c r="BC890" s="97"/>
      <c r="BD890" s="97"/>
      <c r="BE890" s="99"/>
    </row>
    <row r="891" spans="1:57" ht="15.75" customHeight="1">
      <c r="A891" s="95"/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7"/>
      <c r="AV891" s="97"/>
      <c r="AW891" s="97"/>
      <c r="AX891" s="97"/>
      <c r="AY891" s="97"/>
      <c r="AZ891" s="97"/>
      <c r="BA891" s="97"/>
      <c r="BB891" s="97"/>
      <c r="BC891" s="97"/>
      <c r="BD891" s="97"/>
      <c r="BE891" s="99"/>
    </row>
    <row r="892" spans="1:57" ht="15.75" customHeight="1">
      <c r="A892" s="95"/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7"/>
      <c r="AV892" s="97"/>
      <c r="AW892" s="97"/>
      <c r="AX892" s="97"/>
      <c r="AY892" s="97"/>
      <c r="AZ892" s="97"/>
      <c r="BA892" s="97"/>
      <c r="BB892" s="97"/>
      <c r="BC892" s="97"/>
      <c r="BD892" s="97"/>
      <c r="BE892" s="99"/>
    </row>
    <row r="893" spans="1:57" ht="15.75" customHeight="1">
      <c r="A893" s="95"/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7"/>
      <c r="AV893" s="97"/>
      <c r="AW893" s="97"/>
      <c r="AX893" s="97"/>
      <c r="AY893" s="97"/>
      <c r="AZ893" s="97"/>
      <c r="BA893" s="97"/>
      <c r="BB893" s="97"/>
      <c r="BC893" s="97"/>
      <c r="BD893" s="97"/>
      <c r="BE893" s="99"/>
    </row>
    <row r="894" spans="1:57" ht="15.75" customHeight="1">
      <c r="A894" s="95"/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7"/>
      <c r="AV894" s="97"/>
      <c r="AW894" s="97"/>
      <c r="AX894" s="97"/>
      <c r="AY894" s="97"/>
      <c r="AZ894" s="97"/>
      <c r="BA894" s="97"/>
      <c r="BB894" s="97"/>
      <c r="BC894" s="97"/>
      <c r="BD894" s="97"/>
      <c r="BE894" s="99"/>
    </row>
    <row r="895" spans="1:57" ht="15.75" customHeight="1">
      <c r="A895" s="95"/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7"/>
      <c r="AV895" s="97"/>
      <c r="AW895" s="97"/>
      <c r="AX895" s="97"/>
      <c r="AY895" s="97"/>
      <c r="AZ895" s="97"/>
      <c r="BA895" s="97"/>
      <c r="BB895" s="97"/>
      <c r="BC895" s="97"/>
      <c r="BD895" s="97"/>
      <c r="BE895" s="99"/>
    </row>
    <row r="896" spans="1:57" ht="15.75" customHeight="1">
      <c r="A896" s="95"/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7"/>
      <c r="AV896" s="97"/>
      <c r="AW896" s="97"/>
      <c r="AX896" s="97"/>
      <c r="AY896" s="97"/>
      <c r="AZ896" s="97"/>
      <c r="BA896" s="97"/>
      <c r="BB896" s="97"/>
      <c r="BC896" s="97"/>
      <c r="BD896" s="97"/>
      <c r="BE896" s="99"/>
    </row>
    <row r="897" spans="1:57" ht="15.75" customHeight="1">
      <c r="A897" s="95"/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7"/>
      <c r="AV897" s="97"/>
      <c r="AW897" s="97"/>
      <c r="AX897" s="97"/>
      <c r="AY897" s="97"/>
      <c r="AZ897" s="97"/>
      <c r="BA897" s="97"/>
      <c r="BB897" s="97"/>
      <c r="BC897" s="97"/>
      <c r="BD897" s="97"/>
      <c r="BE897" s="99"/>
    </row>
    <row r="898" spans="1:57" ht="15.75" customHeight="1">
      <c r="A898" s="95"/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7"/>
      <c r="AV898" s="97"/>
      <c r="AW898" s="97"/>
      <c r="AX898" s="97"/>
      <c r="AY898" s="97"/>
      <c r="AZ898" s="97"/>
      <c r="BA898" s="97"/>
      <c r="BB898" s="97"/>
      <c r="BC898" s="97"/>
      <c r="BD898" s="97"/>
      <c r="BE898" s="99"/>
    </row>
    <row r="899" spans="1:57" ht="15.75" customHeight="1">
      <c r="A899" s="95"/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7"/>
      <c r="AV899" s="97"/>
      <c r="AW899" s="97"/>
      <c r="AX899" s="97"/>
      <c r="AY899" s="97"/>
      <c r="AZ899" s="97"/>
      <c r="BA899" s="97"/>
      <c r="BB899" s="97"/>
      <c r="BC899" s="97"/>
      <c r="BD899" s="97"/>
      <c r="BE899" s="99"/>
    </row>
    <row r="900" spans="1:57" ht="15.75" customHeight="1">
      <c r="A900" s="95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7"/>
      <c r="AV900" s="97"/>
      <c r="AW900" s="97"/>
      <c r="AX900" s="97"/>
      <c r="AY900" s="97"/>
      <c r="AZ900" s="97"/>
      <c r="BA900" s="97"/>
      <c r="BB900" s="97"/>
      <c r="BC900" s="97"/>
      <c r="BD900" s="97"/>
      <c r="BE900" s="99"/>
    </row>
    <row r="901" spans="1:57" ht="15.75" customHeight="1">
      <c r="A901" s="95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7"/>
      <c r="AV901" s="97"/>
      <c r="AW901" s="97"/>
      <c r="AX901" s="97"/>
      <c r="AY901" s="97"/>
      <c r="AZ901" s="97"/>
      <c r="BA901" s="97"/>
      <c r="BB901" s="97"/>
      <c r="BC901" s="97"/>
      <c r="BD901" s="97"/>
      <c r="BE901" s="99"/>
    </row>
    <row r="902" spans="1:57" ht="15.75" customHeight="1">
      <c r="A902" s="95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7"/>
      <c r="AV902" s="97"/>
      <c r="AW902" s="97"/>
      <c r="AX902" s="97"/>
      <c r="AY902" s="97"/>
      <c r="AZ902" s="97"/>
      <c r="BA902" s="97"/>
      <c r="BB902" s="97"/>
      <c r="BC902" s="97"/>
      <c r="BD902" s="97"/>
      <c r="BE902" s="99"/>
    </row>
    <row r="903" spans="1:57" ht="15.75" customHeight="1">
      <c r="A903" s="95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7"/>
      <c r="AV903" s="97"/>
      <c r="AW903" s="97"/>
      <c r="AX903" s="97"/>
      <c r="AY903" s="97"/>
      <c r="AZ903" s="97"/>
      <c r="BA903" s="97"/>
      <c r="BB903" s="97"/>
      <c r="BC903" s="97"/>
      <c r="BD903" s="97"/>
      <c r="BE903" s="99"/>
    </row>
    <row r="904" spans="1:57" ht="15.75" customHeight="1">
      <c r="A904" s="95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7"/>
      <c r="AV904" s="97"/>
      <c r="AW904" s="97"/>
      <c r="AX904" s="97"/>
      <c r="AY904" s="97"/>
      <c r="AZ904" s="97"/>
      <c r="BA904" s="97"/>
      <c r="BB904" s="97"/>
      <c r="BC904" s="97"/>
      <c r="BD904" s="97"/>
      <c r="BE904" s="99"/>
    </row>
    <row r="905" spans="1:57" ht="15.75" customHeight="1">
      <c r="A905" s="95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7"/>
      <c r="AV905" s="97"/>
      <c r="AW905" s="97"/>
      <c r="AX905" s="97"/>
      <c r="AY905" s="97"/>
      <c r="AZ905" s="97"/>
      <c r="BA905" s="97"/>
      <c r="BB905" s="97"/>
      <c r="BC905" s="97"/>
      <c r="BD905" s="97"/>
      <c r="BE905" s="99"/>
    </row>
    <row r="906" spans="1:57" ht="15.75" customHeight="1">
      <c r="A906" s="95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7"/>
      <c r="AV906" s="97"/>
      <c r="AW906" s="97"/>
      <c r="AX906" s="97"/>
      <c r="AY906" s="97"/>
      <c r="AZ906" s="97"/>
      <c r="BA906" s="97"/>
      <c r="BB906" s="97"/>
      <c r="BC906" s="97"/>
      <c r="BD906" s="97"/>
      <c r="BE906" s="99"/>
    </row>
    <row r="907" spans="1:57" ht="15.75" customHeight="1">
      <c r="A907" s="95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7"/>
      <c r="AV907" s="97"/>
      <c r="AW907" s="97"/>
      <c r="AX907" s="97"/>
      <c r="AY907" s="97"/>
      <c r="AZ907" s="97"/>
      <c r="BA907" s="97"/>
      <c r="BB907" s="97"/>
      <c r="BC907" s="97"/>
      <c r="BD907" s="97"/>
      <c r="BE907" s="99"/>
    </row>
    <row r="908" spans="1:57" ht="15.75" customHeight="1">
      <c r="A908" s="95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7"/>
      <c r="AV908" s="97"/>
      <c r="AW908" s="97"/>
      <c r="AX908" s="97"/>
      <c r="AY908" s="97"/>
      <c r="AZ908" s="97"/>
      <c r="BA908" s="97"/>
      <c r="BB908" s="97"/>
      <c r="BC908" s="97"/>
      <c r="BD908" s="97"/>
      <c r="BE908" s="99"/>
    </row>
    <row r="909" spans="1:57" ht="15.75" customHeight="1">
      <c r="A909" s="95"/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7"/>
      <c r="AV909" s="97"/>
      <c r="AW909" s="97"/>
      <c r="AX909" s="97"/>
      <c r="AY909" s="97"/>
      <c r="AZ909" s="97"/>
      <c r="BA909" s="97"/>
      <c r="BB909" s="97"/>
      <c r="BC909" s="97"/>
      <c r="BD909" s="97"/>
      <c r="BE909" s="99"/>
    </row>
    <row r="910" spans="1:57" ht="15.75" customHeight="1">
      <c r="A910" s="95"/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7"/>
      <c r="AV910" s="97"/>
      <c r="AW910" s="97"/>
      <c r="AX910" s="97"/>
      <c r="AY910" s="97"/>
      <c r="AZ910" s="97"/>
      <c r="BA910" s="97"/>
      <c r="BB910" s="97"/>
      <c r="BC910" s="97"/>
      <c r="BD910" s="97"/>
      <c r="BE910" s="99"/>
    </row>
    <row r="911" spans="1:57" ht="15.75" customHeight="1">
      <c r="A911" s="95"/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7"/>
      <c r="AV911" s="97"/>
      <c r="AW911" s="97"/>
      <c r="AX911" s="97"/>
      <c r="AY911" s="97"/>
      <c r="AZ911" s="97"/>
      <c r="BA911" s="97"/>
      <c r="BB911" s="97"/>
      <c r="BC911" s="97"/>
      <c r="BD911" s="97"/>
      <c r="BE911" s="99"/>
    </row>
    <row r="912" spans="1:57" ht="15.75" customHeight="1">
      <c r="A912" s="95"/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7"/>
      <c r="AV912" s="97"/>
      <c r="AW912" s="97"/>
      <c r="AX912" s="97"/>
      <c r="AY912" s="97"/>
      <c r="AZ912" s="97"/>
      <c r="BA912" s="97"/>
      <c r="BB912" s="97"/>
      <c r="BC912" s="97"/>
      <c r="BD912" s="97"/>
      <c r="BE912" s="99"/>
    </row>
    <row r="913" spans="1:57" ht="15.75" customHeight="1">
      <c r="A913" s="95"/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7"/>
      <c r="AV913" s="97"/>
      <c r="AW913" s="97"/>
      <c r="AX913" s="97"/>
      <c r="AY913" s="97"/>
      <c r="AZ913" s="97"/>
      <c r="BA913" s="97"/>
      <c r="BB913" s="97"/>
      <c r="BC913" s="97"/>
      <c r="BD913" s="97"/>
      <c r="BE913" s="99"/>
    </row>
    <row r="914" spans="1:57" ht="15.75" customHeight="1">
      <c r="A914" s="95"/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7"/>
      <c r="AV914" s="97"/>
      <c r="AW914" s="97"/>
      <c r="AX914" s="97"/>
      <c r="AY914" s="97"/>
      <c r="AZ914" s="97"/>
      <c r="BA914" s="97"/>
      <c r="BB914" s="97"/>
      <c r="BC914" s="97"/>
      <c r="BD914" s="97"/>
      <c r="BE914" s="99"/>
    </row>
    <row r="915" spans="1:57" ht="15.75" customHeight="1">
      <c r="A915" s="95"/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7"/>
      <c r="AV915" s="97"/>
      <c r="AW915" s="97"/>
      <c r="AX915" s="97"/>
      <c r="AY915" s="97"/>
      <c r="AZ915" s="97"/>
      <c r="BA915" s="97"/>
      <c r="BB915" s="97"/>
      <c r="BC915" s="97"/>
      <c r="BD915" s="97"/>
      <c r="BE915" s="99"/>
    </row>
    <row r="916" spans="1:57" ht="15.75" customHeight="1">
      <c r="A916" s="95"/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7"/>
      <c r="AV916" s="97"/>
      <c r="AW916" s="97"/>
      <c r="AX916" s="97"/>
      <c r="AY916" s="97"/>
      <c r="AZ916" s="97"/>
      <c r="BA916" s="97"/>
      <c r="BB916" s="97"/>
      <c r="BC916" s="97"/>
      <c r="BD916" s="97"/>
      <c r="BE916" s="99"/>
    </row>
    <row r="917" spans="1:57" ht="15.75" customHeight="1">
      <c r="A917" s="95"/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7"/>
      <c r="AV917" s="97"/>
      <c r="AW917" s="97"/>
      <c r="AX917" s="97"/>
      <c r="AY917" s="97"/>
      <c r="AZ917" s="97"/>
      <c r="BA917" s="97"/>
      <c r="BB917" s="97"/>
      <c r="BC917" s="97"/>
      <c r="BD917" s="97"/>
      <c r="BE917" s="99"/>
    </row>
    <row r="918" spans="1:57" ht="15.75" customHeight="1">
      <c r="A918" s="95"/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7"/>
      <c r="AV918" s="97"/>
      <c r="AW918" s="97"/>
      <c r="AX918" s="97"/>
      <c r="AY918" s="97"/>
      <c r="AZ918" s="97"/>
      <c r="BA918" s="97"/>
      <c r="BB918" s="97"/>
      <c r="BC918" s="97"/>
      <c r="BD918" s="97"/>
      <c r="BE918" s="99"/>
    </row>
    <row r="919" spans="1:57" ht="15.75" customHeight="1">
      <c r="A919" s="95"/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7"/>
      <c r="AV919" s="97"/>
      <c r="AW919" s="97"/>
      <c r="AX919" s="97"/>
      <c r="AY919" s="97"/>
      <c r="AZ919" s="97"/>
      <c r="BA919" s="97"/>
      <c r="BB919" s="97"/>
      <c r="BC919" s="97"/>
      <c r="BD919" s="97"/>
      <c r="BE919" s="99"/>
    </row>
    <row r="920" spans="1:57" ht="15.75" customHeight="1">
      <c r="A920" s="95"/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7"/>
      <c r="AV920" s="97"/>
      <c r="AW920" s="97"/>
      <c r="AX920" s="97"/>
      <c r="AY920" s="97"/>
      <c r="AZ920" s="97"/>
      <c r="BA920" s="97"/>
      <c r="BB920" s="97"/>
      <c r="BC920" s="97"/>
      <c r="BD920" s="97"/>
      <c r="BE920" s="99"/>
    </row>
    <row r="921" spans="1:57" ht="15.75" customHeight="1">
      <c r="A921" s="95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7"/>
      <c r="AV921" s="97"/>
      <c r="AW921" s="97"/>
      <c r="AX921" s="97"/>
      <c r="AY921" s="97"/>
      <c r="AZ921" s="97"/>
      <c r="BA921" s="97"/>
      <c r="BB921" s="97"/>
      <c r="BC921" s="97"/>
      <c r="BD921" s="97"/>
      <c r="BE921" s="99"/>
    </row>
    <row r="922" spans="1:57" ht="15.75" customHeight="1">
      <c r="A922" s="95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7"/>
      <c r="AV922" s="97"/>
      <c r="AW922" s="97"/>
      <c r="AX922" s="97"/>
      <c r="AY922" s="97"/>
      <c r="AZ922" s="97"/>
      <c r="BA922" s="97"/>
      <c r="BB922" s="97"/>
      <c r="BC922" s="97"/>
      <c r="BD922" s="97"/>
      <c r="BE922" s="99"/>
    </row>
    <row r="923" spans="1:57" ht="15.75" customHeight="1">
      <c r="A923" s="95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7"/>
      <c r="AV923" s="97"/>
      <c r="AW923" s="97"/>
      <c r="AX923" s="97"/>
      <c r="AY923" s="97"/>
      <c r="AZ923" s="97"/>
      <c r="BA923" s="97"/>
      <c r="BB923" s="97"/>
      <c r="BC923" s="97"/>
      <c r="BD923" s="97"/>
      <c r="BE923" s="99"/>
    </row>
    <row r="924" spans="1:57" ht="15.75" customHeight="1">
      <c r="A924" s="95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7"/>
      <c r="AV924" s="97"/>
      <c r="AW924" s="97"/>
      <c r="AX924" s="97"/>
      <c r="AY924" s="97"/>
      <c r="AZ924" s="97"/>
      <c r="BA924" s="97"/>
      <c r="BB924" s="97"/>
      <c r="BC924" s="97"/>
      <c r="BD924" s="97"/>
      <c r="BE924" s="99"/>
    </row>
    <row r="925" spans="1:57" ht="15.75" customHeight="1">
      <c r="A925" s="95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7"/>
      <c r="AV925" s="97"/>
      <c r="AW925" s="97"/>
      <c r="AX925" s="97"/>
      <c r="AY925" s="97"/>
      <c r="AZ925" s="97"/>
      <c r="BA925" s="97"/>
      <c r="BB925" s="97"/>
      <c r="BC925" s="97"/>
      <c r="BD925" s="97"/>
      <c r="BE925" s="99"/>
    </row>
    <row r="926" spans="1:57" ht="15.75" customHeight="1">
      <c r="A926" s="95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7"/>
      <c r="AV926" s="97"/>
      <c r="AW926" s="97"/>
      <c r="AX926" s="97"/>
      <c r="AY926" s="97"/>
      <c r="AZ926" s="97"/>
      <c r="BA926" s="97"/>
      <c r="BB926" s="97"/>
      <c r="BC926" s="97"/>
      <c r="BD926" s="97"/>
      <c r="BE926" s="99"/>
    </row>
    <row r="927" spans="1:57" ht="15.75" customHeight="1">
      <c r="A927" s="95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7"/>
      <c r="AV927" s="97"/>
      <c r="AW927" s="97"/>
      <c r="AX927" s="97"/>
      <c r="AY927" s="97"/>
      <c r="AZ927" s="97"/>
      <c r="BA927" s="97"/>
      <c r="BB927" s="97"/>
      <c r="BC927" s="97"/>
      <c r="BD927" s="97"/>
      <c r="BE927" s="99"/>
    </row>
    <row r="928" spans="1:57" ht="15.75" customHeight="1">
      <c r="A928" s="95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7"/>
      <c r="AV928" s="97"/>
      <c r="AW928" s="97"/>
      <c r="AX928" s="97"/>
      <c r="AY928" s="97"/>
      <c r="AZ928" s="97"/>
      <c r="BA928" s="97"/>
      <c r="BB928" s="97"/>
      <c r="BC928" s="97"/>
      <c r="BD928" s="97"/>
      <c r="BE928" s="99"/>
    </row>
    <row r="929" spans="1:57" ht="15.75" customHeight="1">
      <c r="A929" s="95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7"/>
      <c r="AV929" s="97"/>
      <c r="AW929" s="97"/>
      <c r="AX929" s="97"/>
      <c r="AY929" s="97"/>
      <c r="AZ929" s="97"/>
      <c r="BA929" s="97"/>
      <c r="BB929" s="97"/>
      <c r="BC929" s="97"/>
      <c r="BD929" s="97"/>
      <c r="BE929" s="99"/>
    </row>
    <row r="930" spans="1:57" ht="15.75" customHeight="1">
      <c r="A930" s="95"/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7"/>
      <c r="AV930" s="97"/>
      <c r="AW930" s="97"/>
      <c r="AX930" s="97"/>
      <c r="AY930" s="97"/>
      <c r="AZ930" s="97"/>
      <c r="BA930" s="97"/>
      <c r="BB930" s="97"/>
      <c r="BC930" s="97"/>
      <c r="BD930" s="97"/>
      <c r="BE930" s="99"/>
    </row>
    <row r="931" spans="1:57" ht="15.75" customHeight="1">
      <c r="A931" s="95"/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7"/>
      <c r="AV931" s="97"/>
      <c r="AW931" s="97"/>
      <c r="AX931" s="97"/>
      <c r="AY931" s="97"/>
      <c r="AZ931" s="97"/>
      <c r="BA931" s="97"/>
      <c r="BB931" s="97"/>
      <c r="BC931" s="97"/>
      <c r="BD931" s="97"/>
      <c r="BE931" s="99"/>
    </row>
    <row r="932" spans="1:57" ht="15.75" customHeight="1">
      <c r="A932" s="95"/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7"/>
      <c r="AV932" s="97"/>
      <c r="AW932" s="97"/>
      <c r="AX932" s="97"/>
      <c r="AY932" s="97"/>
      <c r="AZ932" s="97"/>
      <c r="BA932" s="97"/>
      <c r="BB932" s="97"/>
      <c r="BC932" s="97"/>
      <c r="BD932" s="97"/>
      <c r="BE932" s="99"/>
    </row>
    <row r="933" spans="1:57" ht="15.75" customHeight="1">
      <c r="A933" s="95"/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7"/>
      <c r="AV933" s="97"/>
      <c r="AW933" s="97"/>
      <c r="AX933" s="97"/>
      <c r="AY933" s="97"/>
      <c r="AZ933" s="97"/>
      <c r="BA933" s="97"/>
      <c r="BB933" s="97"/>
      <c r="BC933" s="97"/>
      <c r="BD933" s="97"/>
      <c r="BE933" s="99"/>
    </row>
    <row r="934" spans="1:57" ht="15.75" customHeight="1">
      <c r="A934" s="95"/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7"/>
      <c r="AV934" s="97"/>
      <c r="AW934" s="97"/>
      <c r="AX934" s="97"/>
      <c r="AY934" s="97"/>
      <c r="AZ934" s="97"/>
      <c r="BA934" s="97"/>
      <c r="BB934" s="97"/>
      <c r="BC934" s="97"/>
      <c r="BD934" s="97"/>
      <c r="BE934" s="99"/>
    </row>
    <row r="935" spans="1:57" ht="15.75" customHeight="1">
      <c r="A935" s="95"/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7"/>
      <c r="AV935" s="97"/>
      <c r="AW935" s="97"/>
      <c r="AX935" s="97"/>
      <c r="AY935" s="97"/>
      <c r="AZ935" s="97"/>
      <c r="BA935" s="97"/>
      <c r="BB935" s="97"/>
      <c r="BC935" s="97"/>
      <c r="BD935" s="97"/>
      <c r="BE935" s="99"/>
    </row>
    <row r="936" spans="1:57" ht="15.75" customHeight="1">
      <c r="A936" s="95"/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7"/>
      <c r="AV936" s="97"/>
      <c r="AW936" s="97"/>
      <c r="AX936" s="97"/>
      <c r="AY936" s="97"/>
      <c r="AZ936" s="97"/>
      <c r="BA936" s="97"/>
      <c r="BB936" s="97"/>
      <c r="BC936" s="97"/>
      <c r="BD936" s="97"/>
      <c r="BE936" s="99"/>
    </row>
    <row r="937" spans="1:57" ht="15.75" customHeight="1">
      <c r="A937" s="95"/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7"/>
      <c r="AV937" s="97"/>
      <c r="AW937" s="97"/>
      <c r="AX937" s="97"/>
      <c r="AY937" s="97"/>
      <c r="AZ937" s="97"/>
      <c r="BA937" s="97"/>
      <c r="BB937" s="97"/>
      <c r="BC937" s="97"/>
      <c r="BD937" s="97"/>
      <c r="BE937" s="99"/>
    </row>
    <row r="938" spans="1:57" ht="15.75" customHeight="1">
      <c r="A938" s="95"/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7"/>
      <c r="AV938" s="97"/>
      <c r="AW938" s="97"/>
      <c r="AX938" s="97"/>
      <c r="AY938" s="97"/>
      <c r="AZ938" s="97"/>
      <c r="BA938" s="97"/>
      <c r="BB938" s="97"/>
      <c r="BC938" s="97"/>
      <c r="BD938" s="97"/>
      <c r="BE938" s="99"/>
    </row>
    <row r="939" spans="1:57" ht="15.75" customHeight="1">
      <c r="A939" s="95"/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7"/>
      <c r="AV939" s="97"/>
      <c r="AW939" s="97"/>
      <c r="AX939" s="97"/>
      <c r="AY939" s="97"/>
      <c r="AZ939" s="97"/>
      <c r="BA939" s="97"/>
      <c r="BB939" s="97"/>
      <c r="BC939" s="97"/>
      <c r="BD939" s="97"/>
      <c r="BE939" s="99"/>
    </row>
    <row r="940" spans="1:57" ht="15.75" customHeight="1">
      <c r="A940" s="95"/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7"/>
      <c r="AV940" s="97"/>
      <c r="AW940" s="97"/>
      <c r="AX940" s="97"/>
      <c r="AY940" s="97"/>
      <c r="AZ940" s="97"/>
      <c r="BA940" s="97"/>
      <c r="BB940" s="97"/>
      <c r="BC940" s="97"/>
      <c r="BD940" s="97"/>
      <c r="BE940" s="99"/>
    </row>
    <row r="941" spans="1:57" ht="15.75" customHeight="1">
      <c r="A941" s="95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7"/>
      <c r="AV941" s="97"/>
      <c r="AW941" s="97"/>
      <c r="AX941" s="97"/>
      <c r="AY941" s="97"/>
      <c r="AZ941" s="97"/>
      <c r="BA941" s="97"/>
      <c r="BB941" s="97"/>
      <c r="BC941" s="97"/>
      <c r="BD941" s="97"/>
      <c r="BE941" s="99"/>
    </row>
    <row r="942" spans="1:57" ht="15.75" customHeight="1">
      <c r="A942" s="95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7"/>
      <c r="AV942" s="97"/>
      <c r="AW942" s="97"/>
      <c r="AX942" s="97"/>
      <c r="AY942" s="97"/>
      <c r="AZ942" s="97"/>
      <c r="BA942" s="97"/>
      <c r="BB942" s="97"/>
      <c r="BC942" s="97"/>
      <c r="BD942" s="97"/>
      <c r="BE942" s="99"/>
    </row>
    <row r="943" spans="1:57" ht="15.75" customHeight="1">
      <c r="A943" s="95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7"/>
      <c r="AV943" s="97"/>
      <c r="AW943" s="97"/>
      <c r="AX943" s="97"/>
      <c r="AY943" s="97"/>
      <c r="AZ943" s="97"/>
      <c r="BA943" s="97"/>
      <c r="BB943" s="97"/>
      <c r="BC943" s="97"/>
      <c r="BD943" s="97"/>
      <c r="BE943" s="99"/>
    </row>
    <row r="944" spans="1:57" ht="15.75" customHeight="1">
      <c r="A944" s="95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7"/>
      <c r="AV944" s="97"/>
      <c r="AW944" s="97"/>
      <c r="AX944" s="97"/>
      <c r="AY944" s="97"/>
      <c r="AZ944" s="97"/>
      <c r="BA944" s="97"/>
      <c r="BB944" s="97"/>
      <c r="BC944" s="97"/>
      <c r="BD944" s="97"/>
      <c r="BE944" s="99"/>
    </row>
    <row r="945" spans="1:57" ht="15.75" customHeight="1">
      <c r="A945" s="95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7"/>
      <c r="AV945" s="97"/>
      <c r="AW945" s="97"/>
      <c r="AX945" s="97"/>
      <c r="AY945" s="97"/>
      <c r="AZ945" s="97"/>
      <c r="BA945" s="97"/>
      <c r="BB945" s="97"/>
      <c r="BC945" s="97"/>
      <c r="BD945" s="97"/>
      <c r="BE945" s="99"/>
    </row>
    <row r="946" spans="1:57" ht="15.75" customHeight="1">
      <c r="A946" s="95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7"/>
      <c r="AV946" s="97"/>
      <c r="AW946" s="97"/>
      <c r="AX946" s="97"/>
      <c r="AY946" s="97"/>
      <c r="AZ946" s="97"/>
      <c r="BA946" s="97"/>
      <c r="BB946" s="97"/>
      <c r="BC946" s="97"/>
      <c r="BD946" s="97"/>
      <c r="BE946" s="99"/>
    </row>
    <row r="947" spans="1:57" ht="15.75" customHeight="1">
      <c r="A947" s="95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7"/>
      <c r="AV947" s="97"/>
      <c r="AW947" s="97"/>
      <c r="AX947" s="97"/>
      <c r="AY947" s="97"/>
      <c r="AZ947" s="97"/>
      <c r="BA947" s="97"/>
      <c r="BB947" s="97"/>
      <c r="BC947" s="97"/>
      <c r="BD947" s="97"/>
      <c r="BE947" s="99"/>
    </row>
    <row r="948" spans="1:57" ht="15.75" customHeight="1">
      <c r="A948" s="95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7"/>
      <c r="AV948" s="97"/>
      <c r="AW948" s="97"/>
      <c r="AX948" s="97"/>
      <c r="AY948" s="97"/>
      <c r="AZ948" s="97"/>
      <c r="BA948" s="97"/>
      <c r="BB948" s="97"/>
      <c r="BC948" s="97"/>
      <c r="BD948" s="97"/>
      <c r="BE948" s="99"/>
    </row>
    <row r="949" spans="1:57" ht="15.75" customHeight="1">
      <c r="A949" s="95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7"/>
      <c r="AV949" s="97"/>
      <c r="AW949" s="97"/>
      <c r="AX949" s="97"/>
      <c r="AY949" s="97"/>
      <c r="AZ949" s="97"/>
      <c r="BA949" s="97"/>
      <c r="BB949" s="97"/>
      <c r="BC949" s="97"/>
      <c r="BD949" s="97"/>
      <c r="BE949" s="99"/>
    </row>
    <row r="950" spans="1:57" ht="15.75" customHeight="1">
      <c r="A950" s="95"/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7"/>
      <c r="AV950" s="97"/>
      <c r="AW950" s="97"/>
      <c r="AX950" s="97"/>
      <c r="AY950" s="97"/>
      <c r="AZ950" s="97"/>
      <c r="BA950" s="97"/>
      <c r="BB950" s="97"/>
      <c r="BC950" s="97"/>
      <c r="BD950" s="97"/>
      <c r="BE950" s="99"/>
    </row>
    <row r="951" spans="1:57" ht="15.75" customHeight="1">
      <c r="A951" s="95"/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7"/>
      <c r="AV951" s="97"/>
      <c r="AW951" s="97"/>
      <c r="AX951" s="97"/>
      <c r="AY951" s="97"/>
      <c r="AZ951" s="97"/>
      <c r="BA951" s="97"/>
      <c r="BB951" s="97"/>
      <c r="BC951" s="97"/>
      <c r="BD951" s="97"/>
      <c r="BE951" s="99"/>
    </row>
    <row r="952" spans="1:57" ht="15.75" customHeight="1">
      <c r="A952" s="95"/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7"/>
      <c r="AV952" s="97"/>
      <c r="AW952" s="97"/>
      <c r="AX952" s="97"/>
      <c r="AY952" s="97"/>
      <c r="AZ952" s="97"/>
      <c r="BA952" s="97"/>
      <c r="BB952" s="97"/>
      <c r="BC952" s="97"/>
      <c r="BD952" s="97"/>
      <c r="BE952" s="99"/>
    </row>
    <row r="953" spans="1:57" ht="15.75" customHeight="1">
      <c r="A953" s="95"/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7"/>
      <c r="AV953" s="97"/>
      <c r="AW953" s="97"/>
      <c r="AX953" s="97"/>
      <c r="AY953" s="97"/>
      <c r="AZ953" s="97"/>
      <c r="BA953" s="97"/>
      <c r="BB953" s="97"/>
      <c r="BC953" s="97"/>
      <c r="BD953" s="97"/>
      <c r="BE953" s="99"/>
    </row>
    <row r="954" spans="1:57" ht="15.75" customHeight="1">
      <c r="A954" s="95"/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7"/>
      <c r="AV954" s="97"/>
      <c r="AW954" s="97"/>
      <c r="AX954" s="97"/>
      <c r="AY954" s="97"/>
      <c r="AZ954" s="97"/>
      <c r="BA954" s="97"/>
      <c r="BB954" s="97"/>
      <c r="BC954" s="97"/>
      <c r="BD954" s="97"/>
      <c r="BE954" s="99"/>
    </row>
    <row r="955" spans="1:57" ht="15.75" customHeight="1">
      <c r="A955" s="95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7"/>
      <c r="AV955" s="97"/>
      <c r="AW955" s="97"/>
      <c r="AX955" s="97"/>
      <c r="AY955" s="97"/>
      <c r="AZ955" s="97"/>
      <c r="BA955" s="97"/>
      <c r="BB955" s="97"/>
      <c r="BC955" s="97"/>
      <c r="BD955" s="97"/>
      <c r="BE955" s="99"/>
    </row>
    <row r="956" spans="1:57" ht="15.75" customHeight="1">
      <c r="A956" s="95"/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7"/>
      <c r="AV956" s="97"/>
      <c r="AW956" s="97"/>
      <c r="AX956" s="97"/>
      <c r="AY956" s="97"/>
      <c r="AZ956" s="97"/>
      <c r="BA956" s="97"/>
      <c r="BB956" s="97"/>
      <c r="BC956" s="97"/>
      <c r="BD956" s="97"/>
      <c r="BE956" s="99"/>
    </row>
    <row r="957" spans="1:57" ht="15.75" customHeight="1">
      <c r="A957" s="95"/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7"/>
      <c r="AV957" s="97"/>
      <c r="AW957" s="97"/>
      <c r="AX957" s="97"/>
      <c r="AY957" s="97"/>
      <c r="AZ957" s="97"/>
      <c r="BA957" s="97"/>
      <c r="BB957" s="97"/>
      <c r="BC957" s="97"/>
      <c r="BD957" s="97"/>
      <c r="BE957" s="99"/>
    </row>
    <row r="958" spans="1:57" ht="15.75" customHeight="1">
      <c r="A958" s="95"/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7"/>
      <c r="AV958" s="97"/>
      <c r="AW958" s="97"/>
      <c r="AX958" s="97"/>
      <c r="AY958" s="97"/>
      <c r="AZ958" s="97"/>
      <c r="BA958" s="97"/>
      <c r="BB958" s="97"/>
      <c r="BC958" s="97"/>
      <c r="BD958" s="97"/>
      <c r="BE958" s="99"/>
    </row>
    <row r="959" spans="1:57" ht="15.75" customHeight="1">
      <c r="A959" s="95"/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7"/>
      <c r="AV959" s="97"/>
      <c r="AW959" s="97"/>
      <c r="AX959" s="97"/>
      <c r="AY959" s="97"/>
      <c r="AZ959" s="97"/>
      <c r="BA959" s="97"/>
      <c r="BB959" s="97"/>
      <c r="BC959" s="97"/>
      <c r="BD959" s="97"/>
      <c r="BE959" s="99"/>
    </row>
    <row r="960" spans="1:57" ht="15.75" customHeight="1">
      <c r="A960" s="95"/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7"/>
      <c r="AV960" s="97"/>
      <c r="AW960" s="97"/>
      <c r="AX960" s="97"/>
      <c r="AY960" s="97"/>
      <c r="AZ960" s="97"/>
      <c r="BA960" s="97"/>
      <c r="BB960" s="97"/>
      <c r="BC960" s="97"/>
      <c r="BD960" s="97"/>
      <c r="BE960" s="99"/>
    </row>
    <row r="961" spans="1:57" ht="15.75" customHeight="1">
      <c r="A961" s="95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7"/>
      <c r="AV961" s="97"/>
      <c r="AW961" s="97"/>
      <c r="AX961" s="97"/>
      <c r="AY961" s="97"/>
      <c r="AZ961" s="97"/>
      <c r="BA961" s="97"/>
      <c r="BB961" s="97"/>
      <c r="BC961" s="97"/>
      <c r="BD961" s="97"/>
      <c r="BE961" s="99"/>
    </row>
    <row r="962" spans="1:57" ht="15.75" customHeight="1">
      <c r="A962" s="95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7"/>
      <c r="AV962" s="97"/>
      <c r="AW962" s="97"/>
      <c r="AX962" s="97"/>
      <c r="AY962" s="97"/>
      <c r="AZ962" s="97"/>
      <c r="BA962" s="97"/>
      <c r="BB962" s="97"/>
      <c r="BC962" s="97"/>
      <c r="BD962" s="97"/>
      <c r="BE962" s="99"/>
    </row>
    <row r="963" spans="1:57" ht="15.75" customHeight="1">
      <c r="A963" s="95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7"/>
      <c r="AV963" s="97"/>
      <c r="AW963" s="97"/>
      <c r="AX963" s="97"/>
      <c r="AY963" s="97"/>
      <c r="AZ963" s="97"/>
      <c r="BA963" s="97"/>
      <c r="BB963" s="97"/>
      <c r="BC963" s="97"/>
      <c r="BD963" s="97"/>
      <c r="BE963" s="99"/>
    </row>
    <row r="964" spans="1:57" ht="15.75" customHeight="1">
      <c r="A964" s="95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7"/>
      <c r="AV964" s="97"/>
      <c r="AW964" s="97"/>
      <c r="AX964" s="97"/>
      <c r="AY964" s="97"/>
      <c r="AZ964" s="97"/>
      <c r="BA964" s="97"/>
      <c r="BB964" s="97"/>
      <c r="BC964" s="97"/>
      <c r="BD964" s="97"/>
      <c r="BE964" s="99"/>
    </row>
    <row r="965" spans="1:57" ht="15.75" customHeight="1">
      <c r="A965" s="95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7"/>
      <c r="AV965" s="97"/>
      <c r="AW965" s="97"/>
      <c r="AX965" s="97"/>
      <c r="AY965" s="97"/>
      <c r="AZ965" s="97"/>
      <c r="BA965" s="97"/>
      <c r="BB965" s="97"/>
      <c r="BC965" s="97"/>
      <c r="BD965" s="97"/>
      <c r="BE965" s="99"/>
    </row>
    <row r="966" spans="1:57" ht="15.75" customHeight="1">
      <c r="A966" s="95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7"/>
      <c r="AV966" s="97"/>
      <c r="AW966" s="97"/>
      <c r="AX966" s="97"/>
      <c r="AY966" s="97"/>
      <c r="AZ966" s="97"/>
      <c r="BA966" s="97"/>
      <c r="BB966" s="97"/>
      <c r="BC966" s="97"/>
      <c r="BD966" s="97"/>
      <c r="BE966" s="99"/>
    </row>
    <row r="967" spans="1:57" ht="15.75" customHeight="1">
      <c r="A967" s="95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7"/>
      <c r="AV967" s="97"/>
      <c r="AW967" s="97"/>
      <c r="AX967" s="97"/>
      <c r="AY967" s="97"/>
      <c r="AZ967" s="97"/>
      <c r="BA967" s="97"/>
      <c r="BB967" s="97"/>
      <c r="BC967" s="97"/>
      <c r="BD967" s="97"/>
      <c r="BE967" s="99"/>
    </row>
    <row r="968" spans="1:57" ht="15.75" customHeight="1">
      <c r="A968" s="95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7"/>
      <c r="AV968" s="97"/>
      <c r="AW968" s="97"/>
      <c r="AX968" s="97"/>
      <c r="AY968" s="97"/>
      <c r="AZ968" s="97"/>
      <c r="BA968" s="97"/>
      <c r="BB968" s="97"/>
      <c r="BC968" s="97"/>
      <c r="BD968" s="97"/>
      <c r="BE968" s="99"/>
    </row>
    <row r="969" spans="1:57" ht="15.75" customHeight="1">
      <c r="A969" s="95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7"/>
      <c r="AV969" s="97"/>
      <c r="AW969" s="97"/>
      <c r="AX969" s="97"/>
      <c r="AY969" s="97"/>
      <c r="AZ969" s="97"/>
      <c r="BA969" s="97"/>
      <c r="BB969" s="97"/>
      <c r="BC969" s="97"/>
      <c r="BD969" s="97"/>
      <c r="BE969" s="99"/>
    </row>
    <row r="970" spans="1:57" ht="15.75" customHeight="1">
      <c r="A970" s="95"/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7"/>
      <c r="AV970" s="97"/>
      <c r="AW970" s="97"/>
      <c r="AX970" s="97"/>
      <c r="AY970" s="97"/>
      <c r="AZ970" s="97"/>
      <c r="BA970" s="97"/>
      <c r="BB970" s="97"/>
      <c r="BC970" s="97"/>
      <c r="BD970" s="97"/>
      <c r="BE970" s="99"/>
    </row>
    <row r="971" spans="1:57" ht="15.75" customHeight="1">
      <c r="A971" s="95"/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7"/>
      <c r="AV971" s="97"/>
      <c r="AW971" s="97"/>
      <c r="AX971" s="97"/>
      <c r="AY971" s="97"/>
      <c r="AZ971" s="97"/>
      <c r="BA971" s="97"/>
      <c r="BB971" s="97"/>
      <c r="BC971" s="97"/>
      <c r="BD971" s="97"/>
      <c r="BE971" s="99"/>
    </row>
    <row r="972" spans="1:57" ht="15.75" customHeight="1">
      <c r="A972" s="95"/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7"/>
      <c r="AV972" s="97"/>
      <c r="AW972" s="97"/>
      <c r="AX972" s="97"/>
      <c r="AY972" s="97"/>
      <c r="AZ972" s="97"/>
      <c r="BA972" s="97"/>
      <c r="BB972" s="97"/>
      <c r="BC972" s="97"/>
      <c r="BD972" s="97"/>
      <c r="BE972" s="99"/>
    </row>
    <row r="973" spans="1:57" ht="15.75" customHeight="1">
      <c r="A973" s="95"/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7"/>
      <c r="AV973" s="97"/>
      <c r="AW973" s="97"/>
      <c r="AX973" s="97"/>
      <c r="AY973" s="97"/>
      <c r="AZ973" s="97"/>
      <c r="BA973" s="97"/>
      <c r="BB973" s="97"/>
      <c r="BC973" s="97"/>
      <c r="BD973" s="97"/>
      <c r="BE973" s="99"/>
    </row>
    <row r="974" spans="1:57" ht="15.75" customHeight="1">
      <c r="A974" s="95"/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7"/>
      <c r="AV974" s="97"/>
      <c r="AW974" s="97"/>
      <c r="AX974" s="97"/>
      <c r="AY974" s="97"/>
      <c r="AZ974" s="97"/>
      <c r="BA974" s="97"/>
      <c r="BB974" s="97"/>
      <c r="BC974" s="97"/>
      <c r="BD974" s="97"/>
      <c r="BE974" s="99"/>
    </row>
    <row r="975" spans="1:57" ht="15.75" customHeight="1">
      <c r="A975" s="95"/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7"/>
      <c r="AV975" s="97"/>
      <c r="AW975" s="97"/>
      <c r="AX975" s="97"/>
      <c r="AY975" s="97"/>
      <c r="AZ975" s="97"/>
      <c r="BA975" s="97"/>
      <c r="BB975" s="97"/>
      <c r="BC975" s="97"/>
      <c r="BD975" s="97"/>
      <c r="BE975" s="99"/>
    </row>
    <row r="976" spans="1:57" ht="15.75" customHeight="1">
      <c r="A976" s="95"/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7"/>
      <c r="AV976" s="97"/>
      <c r="AW976" s="97"/>
      <c r="AX976" s="97"/>
      <c r="AY976" s="97"/>
      <c r="AZ976" s="97"/>
      <c r="BA976" s="97"/>
      <c r="BB976" s="97"/>
      <c r="BC976" s="97"/>
      <c r="BD976" s="97"/>
      <c r="BE976" s="99"/>
    </row>
    <row r="977" spans="1:57" ht="15.75" customHeight="1">
      <c r="A977" s="95"/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7"/>
      <c r="AV977" s="97"/>
      <c r="AW977" s="97"/>
      <c r="AX977" s="97"/>
      <c r="AY977" s="97"/>
      <c r="AZ977" s="97"/>
      <c r="BA977" s="97"/>
      <c r="BB977" s="97"/>
      <c r="BC977" s="97"/>
      <c r="BD977" s="97"/>
      <c r="BE977" s="99"/>
    </row>
    <row r="978" spans="1:57" ht="15.75" customHeight="1">
      <c r="A978" s="95"/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7"/>
      <c r="AV978" s="97"/>
      <c r="AW978" s="97"/>
      <c r="AX978" s="97"/>
      <c r="AY978" s="97"/>
      <c r="AZ978" s="97"/>
      <c r="BA978" s="97"/>
      <c r="BB978" s="97"/>
      <c r="BC978" s="97"/>
      <c r="BD978" s="97"/>
      <c r="BE978" s="99"/>
    </row>
    <row r="979" spans="1:57" ht="15.75" customHeight="1">
      <c r="A979" s="95"/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7"/>
      <c r="AV979" s="97"/>
      <c r="AW979" s="97"/>
      <c r="AX979" s="97"/>
      <c r="AY979" s="97"/>
      <c r="AZ979" s="97"/>
      <c r="BA979" s="97"/>
      <c r="BB979" s="97"/>
      <c r="BC979" s="97"/>
      <c r="BD979" s="97"/>
      <c r="BE979" s="99"/>
    </row>
    <row r="980" spans="1:57" ht="15.75" customHeight="1">
      <c r="A980" s="95"/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7"/>
      <c r="AV980" s="97"/>
      <c r="AW980" s="97"/>
      <c r="AX980" s="97"/>
      <c r="AY980" s="97"/>
      <c r="AZ980" s="97"/>
      <c r="BA980" s="97"/>
      <c r="BB980" s="97"/>
      <c r="BC980" s="97"/>
      <c r="BD980" s="97"/>
      <c r="BE980" s="99"/>
    </row>
    <row r="981" spans="1:57" ht="15.75" customHeight="1">
      <c r="A981" s="95"/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7"/>
      <c r="AV981" s="97"/>
      <c r="AW981" s="97"/>
      <c r="AX981" s="97"/>
      <c r="AY981" s="97"/>
      <c r="AZ981" s="97"/>
      <c r="BA981" s="97"/>
      <c r="BB981" s="97"/>
      <c r="BC981" s="97"/>
      <c r="BD981" s="97"/>
      <c r="BE981" s="99"/>
    </row>
    <row r="982" spans="1:57" ht="15.75" customHeight="1">
      <c r="A982" s="95"/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7"/>
      <c r="AV982" s="97"/>
      <c r="AW982" s="97"/>
      <c r="AX982" s="97"/>
      <c r="AY982" s="97"/>
      <c r="AZ982" s="97"/>
      <c r="BA982" s="97"/>
      <c r="BB982" s="97"/>
      <c r="BC982" s="97"/>
      <c r="BD982" s="97"/>
      <c r="BE982" s="99"/>
    </row>
    <row r="983" spans="1:57" ht="15.75" customHeight="1">
      <c r="A983" s="95"/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7"/>
      <c r="AV983" s="97"/>
      <c r="AW983" s="97"/>
      <c r="AX983" s="97"/>
      <c r="AY983" s="97"/>
      <c r="AZ983" s="97"/>
      <c r="BA983" s="97"/>
      <c r="BB983" s="97"/>
      <c r="BC983" s="97"/>
      <c r="BD983" s="97"/>
      <c r="BE983" s="99"/>
    </row>
    <row r="984" spans="1:57" ht="15.75" customHeight="1">
      <c r="A984" s="95"/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7"/>
      <c r="AV984" s="97"/>
      <c r="AW984" s="97"/>
      <c r="AX984" s="97"/>
      <c r="AY984" s="97"/>
      <c r="AZ984" s="97"/>
      <c r="BA984" s="97"/>
      <c r="BB984" s="97"/>
      <c r="BC984" s="97"/>
      <c r="BD984" s="97"/>
      <c r="BE984" s="99"/>
    </row>
    <row r="985" spans="1:57" ht="15.75" customHeight="1">
      <c r="A985" s="95"/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7"/>
      <c r="AV985" s="97"/>
      <c r="AW985" s="97"/>
      <c r="AX985" s="97"/>
      <c r="AY985" s="97"/>
      <c r="AZ985" s="97"/>
      <c r="BA985" s="97"/>
      <c r="BB985" s="97"/>
      <c r="BC985" s="97"/>
      <c r="BD985" s="97"/>
      <c r="BE985" s="99"/>
    </row>
    <row r="986" spans="1:57" ht="15.75" customHeight="1">
      <c r="A986" s="95"/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7"/>
      <c r="AV986" s="97"/>
      <c r="AW986" s="97"/>
      <c r="AX986" s="97"/>
      <c r="AY986" s="97"/>
      <c r="AZ986" s="97"/>
      <c r="BA986" s="97"/>
      <c r="BB986" s="97"/>
      <c r="BC986" s="97"/>
      <c r="BD986" s="97"/>
      <c r="BE986" s="99"/>
    </row>
    <row r="987" spans="1:57" ht="15.75" customHeight="1">
      <c r="A987" s="95"/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7"/>
      <c r="AV987" s="97"/>
      <c r="AW987" s="97"/>
      <c r="AX987" s="97"/>
      <c r="AY987" s="97"/>
      <c r="AZ987" s="97"/>
      <c r="BA987" s="97"/>
      <c r="BB987" s="97"/>
      <c r="BC987" s="97"/>
      <c r="BD987" s="97"/>
      <c r="BE987" s="99"/>
    </row>
    <row r="988" spans="1:57" ht="15.75" customHeight="1">
      <c r="A988" s="95"/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7"/>
      <c r="AV988" s="97"/>
      <c r="AW988" s="97"/>
      <c r="AX988" s="97"/>
      <c r="AY988" s="97"/>
      <c r="AZ988" s="97"/>
      <c r="BA988" s="97"/>
      <c r="BB988" s="97"/>
      <c r="BC988" s="97"/>
      <c r="BD988" s="97"/>
      <c r="BE988" s="99"/>
    </row>
    <row r="989" spans="1:57" ht="15.75" customHeight="1">
      <c r="A989" s="95"/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7"/>
      <c r="AV989" s="97"/>
      <c r="AW989" s="97"/>
      <c r="AX989" s="97"/>
      <c r="AY989" s="97"/>
      <c r="AZ989" s="97"/>
      <c r="BA989" s="97"/>
      <c r="BB989" s="97"/>
      <c r="BC989" s="97"/>
      <c r="BD989" s="97"/>
      <c r="BE989" s="99"/>
    </row>
    <row r="990" spans="1:57" ht="15.75" customHeight="1">
      <c r="A990" s="95"/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7"/>
      <c r="AV990" s="97"/>
      <c r="AW990" s="97"/>
      <c r="AX990" s="97"/>
      <c r="AY990" s="97"/>
      <c r="AZ990" s="97"/>
      <c r="BA990" s="97"/>
      <c r="BB990" s="97"/>
      <c r="BC990" s="97"/>
      <c r="BD990" s="97"/>
      <c r="BE990" s="99"/>
    </row>
    <row r="991" spans="1:57" ht="15.75" customHeight="1">
      <c r="A991" s="95"/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7"/>
      <c r="AV991" s="97"/>
      <c r="AW991" s="97"/>
      <c r="AX991" s="97"/>
      <c r="AY991" s="97"/>
      <c r="AZ991" s="97"/>
      <c r="BA991" s="97"/>
      <c r="BB991" s="97"/>
      <c r="BC991" s="97"/>
      <c r="BD991" s="97"/>
      <c r="BE991" s="99"/>
    </row>
    <row r="992" spans="1:57" ht="15.75" customHeight="1">
      <c r="A992" s="95"/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7"/>
      <c r="AV992" s="97"/>
      <c r="AW992" s="97"/>
      <c r="AX992" s="97"/>
      <c r="AY992" s="97"/>
      <c r="AZ992" s="97"/>
      <c r="BA992" s="97"/>
      <c r="BB992" s="97"/>
      <c r="BC992" s="97"/>
      <c r="BD992" s="97"/>
      <c r="BE992" s="99"/>
    </row>
    <row r="993" spans="1:57" ht="15.75" customHeight="1">
      <c r="A993" s="95"/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7"/>
      <c r="AV993" s="97"/>
      <c r="AW993" s="97"/>
      <c r="AX993" s="97"/>
      <c r="AY993" s="97"/>
      <c r="AZ993" s="97"/>
      <c r="BA993" s="97"/>
      <c r="BB993" s="97"/>
      <c r="BC993" s="97"/>
      <c r="BD993" s="97"/>
      <c r="BE993" s="99"/>
    </row>
    <row r="994" spans="1:57" ht="15.75" customHeight="1">
      <c r="A994" s="95"/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7"/>
      <c r="AV994" s="97"/>
      <c r="AW994" s="97"/>
      <c r="AX994" s="97"/>
      <c r="AY994" s="97"/>
      <c r="AZ994" s="97"/>
      <c r="BA994" s="97"/>
      <c r="BB994" s="97"/>
      <c r="BC994" s="97"/>
      <c r="BD994" s="97"/>
      <c r="BE994" s="99"/>
    </row>
    <row r="995" spans="1:57" ht="15.75" customHeight="1">
      <c r="A995" s="95"/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7"/>
      <c r="AV995" s="97"/>
      <c r="AW995" s="97"/>
      <c r="AX995" s="97"/>
      <c r="AY995" s="97"/>
      <c r="AZ995" s="97"/>
      <c r="BA995" s="97"/>
      <c r="BB995" s="97"/>
      <c r="BC995" s="97"/>
      <c r="BD995" s="97"/>
      <c r="BE995" s="99"/>
    </row>
    <row r="996" spans="1:57" ht="15.75" customHeight="1">
      <c r="A996" s="95"/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7"/>
      <c r="AV996" s="97"/>
      <c r="AW996" s="97"/>
      <c r="AX996" s="97"/>
      <c r="AY996" s="97"/>
      <c r="AZ996" s="97"/>
      <c r="BA996" s="97"/>
      <c r="BB996" s="97"/>
      <c r="BC996" s="97"/>
      <c r="BD996" s="97"/>
      <c r="BE996" s="99"/>
    </row>
    <row r="997" spans="1:57" ht="15.75" customHeight="1">
      <c r="A997" s="95"/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7"/>
      <c r="AV997" s="97"/>
      <c r="AW997" s="97"/>
      <c r="AX997" s="97"/>
      <c r="AY997" s="97"/>
      <c r="AZ997" s="97"/>
      <c r="BA997" s="97"/>
      <c r="BB997" s="97"/>
      <c r="BC997" s="97"/>
      <c r="BD997" s="97"/>
      <c r="BE997" s="99"/>
    </row>
    <row r="998" spans="1:57" ht="15.75" customHeight="1">
      <c r="A998" s="95"/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7"/>
      <c r="AV998" s="97"/>
      <c r="AW998" s="97"/>
      <c r="AX998" s="97"/>
      <c r="AY998" s="97"/>
      <c r="AZ998" s="97"/>
      <c r="BA998" s="97"/>
      <c r="BB998" s="97"/>
      <c r="BC998" s="97"/>
      <c r="BD998" s="97"/>
      <c r="BE998" s="99"/>
    </row>
    <row r="999" spans="1:57" ht="15.75" customHeight="1">
      <c r="A999" s="95"/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7"/>
      <c r="AV999" s="97"/>
      <c r="AW999" s="97"/>
      <c r="AX999" s="97"/>
      <c r="AY999" s="97"/>
      <c r="AZ999" s="97"/>
      <c r="BA999" s="97"/>
      <c r="BB999" s="97"/>
      <c r="BC999" s="97"/>
      <c r="BD999" s="97"/>
      <c r="BE999" s="99"/>
    </row>
    <row r="1000" spans="1:57" ht="15.75" customHeight="1">
      <c r="A1000" s="239"/>
      <c r="B1000" s="240"/>
      <c r="C1000" s="240"/>
      <c r="D1000" s="240"/>
      <c r="E1000" s="240"/>
      <c r="F1000" s="240"/>
      <c r="G1000" s="240"/>
      <c r="H1000" s="240"/>
      <c r="I1000" s="240"/>
      <c r="J1000" s="240"/>
      <c r="K1000" s="240"/>
      <c r="L1000" s="240"/>
      <c r="M1000" s="240"/>
      <c r="N1000" s="240"/>
      <c r="O1000" s="240"/>
      <c r="P1000" s="240"/>
      <c r="Q1000" s="240"/>
      <c r="R1000" s="240"/>
      <c r="S1000" s="240"/>
      <c r="T1000" s="240"/>
      <c r="U1000" s="240"/>
      <c r="V1000" s="240"/>
      <c r="W1000" s="240"/>
      <c r="X1000" s="240"/>
      <c r="Y1000" s="240"/>
      <c r="Z1000" s="240"/>
      <c r="AA1000" s="240"/>
      <c r="AB1000" s="240"/>
      <c r="AC1000" s="240"/>
      <c r="AD1000" s="240"/>
      <c r="AE1000" s="240"/>
      <c r="AF1000" s="240"/>
      <c r="AG1000" s="240"/>
      <c r="AH1000" s="240"/>
      <c r="AI1000" s="240"/>
      <c r="AJ1000" s="240"/>
      <c r="AK1000" s="240"/>
      <c r="AL1000" s="240"/>
      <c r="AM1000" s="240"/>
      <c r="AN1000" s="240"/>
      <c r="AO1000" s="240"/>
      <c r="AP1000" s="240"/>
      <c r="AQ1000" s="240"/>
      <c r="AR1000" s="240"/>
      <c r="AS1000" s="240"/>
      <c r="AT1000" s="240"/>
      <c r="AU1000" s="240"/>
      <c r="AV1000" s="240"/>
      <c r="AW1000" s="240"/>
      <c r="AX1000" s="240"/>
      <c r="AY1000" s="240"/>
      <c r="AZ1000" s="240"/>
      <c r="BA1000" s="240"/>
      <c r="BB1000" s="240"/>
      <c r="BC1000" s="240"/>
      <c r="BD1000" s="240"/>
      <c r="BE1000" s="24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718C1-3A45-0C45-A5A3-DD36FABC3E4D}">
  <dimension ref="A1:Z13"/>
  <sheetViews>
    <sheetView workbookViewId="0">
      <selection activeCell="C1" sqref="C1:Z1"/>
    </sheetView>
  </sheetViews>
  <sheetFormatPr baseColWidth="10" defaultRowHeight="13"/>
  <cols>
    <col min="1" max="1" width="10.83203125" style="242"/>
    <col min="2" max="2" width="18.1640625" style="242" customWidth="1"/>
    <col min="3" max="16384" width="10.83203125" style="242"/>
  </cols>
  <sheetData>
    <row r="1" spans="1:26" s="247" customFormat="1" ht="37.5" customHeight="1">
      <c r="A1" s="251"/>
      <c r="B1" s="249" t="s">
        <v>397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</row>
    <row r="2" spans="1:26" s="247" customFormat="1" ht="18" customHeight="1" thickBot="1">
      <c r="A2" s="250" t="s">
        <v>396</v>
      </c>
      <c r="B2" s="249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ht="17" customHeight="1"/>
    <row r="4" spans="1:26" ht="17" customHeight="1">
      <c r="B4" s="245" t="s">
        <v>395</v>
      </c>
    </row>
    <row r="5" spans="1:26" ht="17" customHeight="1">
      <c r="B5" s="246" t="s">
        <v>394</v>
      </c>
    </row>
    <row r="6" spans="1:26" ht="17" customHeight="1">
      <c r="B6" s="246" t="s">
        <v>393</v>
      </c>
    </row>
    <row r="7" spans="1:26" ht="17" customHeight="1">
      <c r="B7" s="245" t="s">
        <v>392</v>
      </c>
    </row>
    <row r="8" spans="1:26" ht="17" customHeight="1">
      <c r="B8" s="245" t="s">
        <v>391</v>
      </c>
    </row>
    <row r="9" spans="1:26" ht="17" customHeight="1">
      <c r="B9" s="245" t="s">
        <v>390</v>
      </c>
    </row>
    <row r="10" spans="1:26" ht="17" customHeight="1">
      <c r="B10" s="245" t="s">
        <v>389</v>
      </c>
    </row>
    <row r="11" spans="1:26" ht="17" customHeight="1">
      <c r="B11" s="244"/>
    </row>
    <row r="12" spans="1:26" ht="17" customHeight="1">
      <c r="B12" s="243" t="s">
        <v>388</v>
      </c>
    </row>
    <row r="13" spans="1:26" ht="17" customHeight="1">
      <c r="B13" s="243" t="s">
        <v>387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Outputs</vt:lpstr>
      <vt:lpstr>Inputs</vt:lpstr>
      <vt:lpstr>Raw Data</vt:lpstr>
      <vt:lpstr>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Brett Nowak</cp:lastModifiedBy>
  <dcterms:created xsi:type="dcterms:W3CDTF">2018-08-23T10:14:37Z</dcterms:created>
  <dcterms:modified xsi:type="dcterms:W3CDTF">2018-08-23T10:15:18Z</dcterms:modified>
</cp:coreProperties>
</file>