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ettnowak/Dropbox (Liquid and Grit)/Liquid and Grit Team Folder/Reports/Casino Reports/04 2019 Casino/"/>
    </mc:Choice>
  </mc:AlternateContent>
  <xr:revisionPtr revIDLastSave="0" documentId="8_{999DC4B8-4598-CB49-87F4-AE1DCF31F38F}" xr6:coauthVersionLast="43" xr6:coauthVersionMax="43" xr10:uidLastSave="{00000000-0000-0000-0000-000000000000}"/>
  <bookViews>
    <workbookView xWindow="0" yWindow="0" windowWidth="28800" windowHeight="18000" activeTab="8" xr2:uid="{00000000-000D-0000-FFFF-FFFF00000000}"/>
  </bookViews>
  <sheets>
    <sheet name="Outputs" sheetId="1" r:id="rId1"/>
    <sheet name="Raw Data" sheetId="2" r:id="rId2"/>
    <sheet name="Inputs" sheetId="3" r:id="rId3"/>
    <sheet name="&gt;&gt;" sheetId="4" r:id="rId4"/>
    <sheet name="New User Balance" sheetId="5" r:id="rId5"/>
    <sheet name="Daily Free Value" sheetId="6" r:id="rId6"/>
    <sheet name="Default Bet Tuning" sheetId="7" r:id="rId7"/>
    <sheet name="Minimum Bet Tuning" sheetId="8" r:id="rId8"/>
    <sheet name="Currency Conversion" sheetId="9" r:id="rId9"/>
  </sheets>
  <definedNames>
    <definedName name="_xlnm._FilterDatabase" localSheetId="0" hidden="1">Outputs!$A$8:$N$69</definedName>
    <definedName name="_xlchart.v1.0" hidden="1">Outputs!$B$9:$B$69</definedName>
    <definedName name="_xlchart.v1.1" hidden="1">Outputs!$E$8</definedName>
    <definedName name="_xlchart.v1.2" hidden="1">Outputs!$E$9:$E$69</definedName>
    <definedName name="_xlchart.v1.3" hidden="1">Outputs!$B$9:$B$69</definedName>
    <definedName name="_xlchart.v1.4" hidden="1">Outputs!$H$8</definedName>
    <definedName name="_xlchart.v1.5" hidden="1">Outputs!$H$9:$H$69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D61" i="3" l="1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K61" i="3"/>
  <c r="AJ61" i="3"/>
  <c r="AI61" i="3"/>
  <c r="AH61" i="3"/>
  <c r="AD61" i="3"/>
  <c r="AC61" i="3"/>
  <c r="AB61" i="3"/>
  <c r="AA61" i="3"/>
  <c r="Z61" i="3"/>
  <c r="Y61" i="3"/>
  <c r="X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AM60" i="3"/>
  <c r="AK60" i="3"/>
  <c r="AJ60" i="3"/>
  <c r="AI60" i="3"/>
  <c r="AH60" i="3"/>
  <c r="AD60" i="3"/>
  <c r="AC60" i="3"/>
  <c r="AB60" i="3"/>
  <c r="AA60" i="3"/>
  <c r="Z60" i="3"/>
  <c r="Y60" i="3"/>
  <c r="X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C58" i="3"/>
  <c r="AZ58" i="3"/>
  <c r="AV58" i="3"/>
  <c r="AU58" i="3"/>
  <c r="AJ58" i="3"/>
  <c r="AI58" i="3"/>
  <c r="AG58" i="3"/>
  <c r="AE58" i="3"/>
  <c r="AD58" i="3"/>
  <c r="W58" i="3"/>
  <c r="S58" i="3"/>
  <c r="P58" i="3"/>
  <c r="L58" i="3"/>
  <c r="K58" i="3"/>
  <c r="AY57" i="3"/>
  <c r="AX57" i="3"/>
  <c r="AW57" i="3"/>
  <c r="AM57" i="3"/>
  <c r="AL57" i="3"/>
  <c r="AJ57" i="3"/>
  <c r="AI57" i="3"/>
  <c r="AH57" i="3"/>
  <c r="AA57" i="3"/>
  <c r="Z57" i="3"/>
  <c r="X57" i="3"/>
  <c r="W57" i="3"/>
  <c r="R57" i="3"/>
  <c r="Q57" i="3"/>
  <c r="P57" i="3"/>
  <c r="O57" i="3"/>
  <c r="N57" i="3"/>
  <c r="L57" i="3"/>
  <c r="K57" i="3"/>
  <c r="C57" i="3"/>
  <c r="BB55" i="3"/>
  <c r="BA55" i="3"/>
  <c r="AY55" i="3"/>
  <c r="AU55" i="3"/>
  <c r="AS55" i="3"/>
  <c r="AK55" i="3"/>
  <c r="AJ55" i="3"/>
  <c r="AI55" i="3"/>
  <c r="AH55" i="3"/>
  <c r="AD55" i="3"/>
  <c r="AC55" i="3"/>
  <c r="AB55" i="3"/>
  <c r="AA55" i="3"/>
  <c r="Z55" i="3"/>
  <c r="Y55" i="3"/>
  <c r="X55" i="3"/>
  <c r="V55" i="3"/>
  <c r="U55" i="3"/>
  <c r="T55" i="3"/>
  <c r="S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BB54" i="3"/>
  <c r="BA54" i="3"/>
  <c r="AY54" i="3"/>
  <c r="AU54" i="3"/>
  <c r="AS54" i="3"/>
  <c r="AK54" i="3"/>
  <c r="AJ54" i="3"/>
  <c r="AI54" i="3"/>
  <c r="AH54" i="3"/>
  <c r="AD54" i="3"/>
  <c r="AC54" i="3"/>
  <c r="AB54" i="3"/>
  <c r="AA54" i="3"/>
  <c r="Z54" i="3"/>
  <c r="Y54" i="3"/>
  <c r="X54" i="3"/>
  <c r="V54" i="3"/>
  <c r="U54" i="3"/>
  <c r="T54" i="3"/>
  <c r="S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BD52" i="3"/>
  <c r="BC52" i="3"/>
  <c r="AZ52" i="3"/>
  <c r="AV52" i="3"/>
  <c r="AU52" i="3"/>
  <c r="AT52" i="3"/>
  <c r="AS52" i="3"/>
  <c r="AQ52" i="3"/>
  <c r="AP52" i="3"/>
  <c r="AO52" i="3"/>
  <c r="AJ52" i="3"/>
  <c r="AI52" i="3"/>
  <c r="AF52" i="3"/>
  <c r="AE52" i="3"/>
  <c r="AC52" i="3"/>
  <c r="AB52" i="3"/>
  <c r="Y52" i="3"/>
  <c r="L52" i="3"/>
  <c r="K52" i="3"/>
  <c r="H52" i="3"/>
  <c r="D52" i="3"/>
  <c r="BC51" i="3"/>
  <c r="BA51" i="3"/>
  <c r="AZ51" i="3"/>
  <c r="AY51" i="3"/>
  <c r="AX51" i="3"/>
  <c r="AV51" i="3"/>
  <c r="AU51" i="3"/>
  <c r="AM51" i="3"/>
  <c r="AL51" i="3"/>
  <c r="AK51" i="3"/>
  <c r="AB51" i="3"/>
  <c r="AA51" i="3"/>
  <c r="Z51" i="3"/>
  <c r="Y51" i="3"/>
  <c r="X51" i="3"/>
  <c r="W51" i="3"/>
  <c r="P51" i="3"/>
  <c r="O51" i="3"/>
  <c r="N51" i="3"/>
  <c r="L51" i="3"/>
  <c r="K51" i="3"/>
  <c r="J51" i="3"/>
  <c r="G51" i="3"/>
  <c r="D51" i="3"/>
  <c r="C51" i="3"/>
  <c r="BD49" i="3"/>
  <c r="BC49" i="3"/>
  <c r="BC57" i="3" s="1"/>
  <c r="BB49" i="3"/>
  <c r="BB52" i="3" s="1"/>
  <c r="BA49" i="3"/>
  <c r="BA52" i="3" s="1"/>
  <c r="AZ49" i="3"/>
  <c r="AZ57" i="3" s="1"/>
  <c r="AY49" i="3"/>
  <c r="AY58" i="3" s="1"/>
  <c r="AX49" i="3"/>
  <c r="AX58" i="3" s="1"/>
  <c r="AW49" i="3"/>
  <c r="AV49" i="3"/>
  <c r="AV57" i="3" s="1"/>
  <c r="AU49" i="3"/>
  <c r="AU57" i="3" s="1"/>
  <c r="AT49" i="3"/>
  <c r="AT58" i="3" s="1"/>
  <c r="AS49" i="3"/>
  <c r="AR49" i="3"/>
  <c r="AR52" i="3" s="1"/>
  <c r="AQ49" i="3"/>
  <c r="AQ57" i="3" s="1"/>
  <c r="AP49" i="3"/>
  <c r="AP58" i="3" s="1"/>
  <c r="AO49" i="3"/>
  <c r="AO58" i="3" s="1"/>
  <c r="AN49" i="3"/>
  <c r="AN52" i="3" s="1"/>
  <c r="AM49" i="3"/>
  <c r="AM58" i="3" s="1"/>
  <c r="AL49" i="3"/>
  <c r="AL58" i="3" s="1"/>
  <c r="AK49" i="3"/>
  <c r="AJ49" i="3"/>
  <c r="AJ51" i="3" s="1"/>
  <c r="AI49" i="3"/>
  <c r="AI51" i="3" s="1"/>
  <c r="AH49" i="3"/>
  <c r="AH51" i="3" s="1"/>
  <c r="AG49" i="3"/>
  <c r="AG52" i="3" s="1"/>
  <c r="AF49" i="3"/>
  <c r="AE49" i="3"/>
  <c r="AE57" i="3" s="1"/>
  <c r="AD49" i="3"/>
  <c r="AD57" i="3" s="1"/>
  <c r="AC49" i="3"/>
  <c r="AC58" i="3" s="1"/>
  <c r="AB49" i="3"/>
  <c r="AB58" i="3" s="1"/>
  <c r="AA49" i="3"/>
  <c r="AA58" i="3" s="1"/>
  <c r="Z49" i="3"/>
  <c r="Z58" i="3" s="1"/>
  <c r="Y49" i="3"/>
  <c r="X49" i="3"/>
  <c r="X52" i="3" s="1"/>
  <c r="W49" i="3"/>
  <c r="W52" i="3" s="1"/>
  <c r="V49" i="3"/>
  <c r="V51" i="3" s="1"/>
  <c r="U49" i="3"/>
  <c r="U58" i="3" s="1"/>
  <c r="T49" i="3"/>
  <c r="S49" i="3"/>
  <c r="S57" i="3" s="1"/>
  <c r="R49" i="3"/>
  <c r="R51" i="3" s="1"/>
  <c r="Q49" i="3"/>
  <c r="Q51" i="3" s="1"/>
  <c r="P49" i="3"/>
  <c r="P52" i="3" s="1"/>
  <c r="O49" i="3"/>
  <c r="O58" i="3" s="1"/>
  <c r="N49" i="3"/>
  <c r="N58" i="3" s="1"/>
  <c r="M49" i="3"/>
  <c r="L49" i="3"/>
  <c r="K49" i="3"/>
  <c r="J49" i="3"/>
  <c r="J58" i="3" s="1"/>
  <c r="I49" i="3"/>
  <c r="H49" i="3"/>
  <c r="G49" i="3"/>
  <c r="G57" i="3" s="1"/>
  <c r="F49" i="3"/>
  <c r="F51" i="3" s="1"/>
  <c r="E49" i="3"/>
  <c r="E51" i="3" s="1"/>
  <c r="D49" i="3"/>
  <c r="D58" i="3" s="1"/>
  <c r="C49" i="3"/>
  <c r="C58" i="3" s="1"/>
  <c r="AJ44" i="3"/>
  <c r="AI44" i="3"/>
  <c r="S44" i="3"/>
  <c r="R44" i="3"/>
  <c r="F44" i="3"/>
  <c r="E44" i="3"/>
  <c r="AI43" i="3"/>
  <c r="AE43" i="3"/>
  <c r="AE44" i="3" s="1"/>
  <c r="AD43" i="3"/>
  <c r="AD44" i="3" s="1"/>
  <c r="R43" i="3"/>
  <c r="Q43" i="3"/>
  <c r="Q44" i="3" s="1"/>
  <c r="D43" i="3"/>
  <c r="D44" i="3" s="1"/>
  <c r="AA41" i="3"/>
  <c r="N41" i="3"/>
  <c r="L41" i="3"/>
  <c r="BB40" i="3"/>
  <c r="BB41" i="3" s="1"/>
  <c r="AQ40" i="3"/>
  <c r="AQ41" i="3" s="1"/>
  <c r="AK40" i="3"/>
  <c r="AK41" i="3" s="1"/>
  <c r="Y40" i="3"/>
  <c r="Y41" i="3" s="1"/>
  <c r="W40" i="3"/>
  <c r="W41" i="3" s="1"/>
  <c r="L40" i="3"/>
  <c r="K40" i="3"/>
  <c r="K41" i="3" s="1"/>
  <c r="J40" i="3"/>
  <c r="J41" i="3" s="1"/>
  <c r="L38" i="3"/>
  <c r="BB37" i="3"/>
  <c r="BB38" i="3" s="1"/>
  <c r="AP37" i="3"/>
  <c r="AP38" i="3" s="1"/>
  <c r="AC37" i="3"/>
  <c r="AC38" i="3" s="1"/>
  <c r="Z37" i="3"/>
  <c r="Z38" i="3" s="1"/>
  <c r="P37" i="3"/>
  <c r="P38" i="3" s="1"/>
  <c r="N37" i="3"/>
  <c r="N38" i="3" s="1"/>
  <c r="M37" i="3"/>
  <c r="M38" i="3" s="1"/>
  <c r="W34" i="3"/>
  <c r="W35" i="3" s="1"/>
  <c r="V34" i="3"/>
  <c r="V35" i="3" s="1"/>
  <c r="U34" i="3"/>
  <c r="BA32" i="3"/>
  <c r="AY32" i="3"/>
  <c r="AU32" i="3"/>
  <c r="AS32" i="3"/>
  <c r="AN32" i="3"/>
  <c r="AJ32" i="3"/>
  <c r="AI32" i="3"/>
  <c r="AH32" i="3"/>
  <c r="AC32" i="3"/>
  <c r="AB32" i="3"/>
  <c r="AA32" i="3"/>
  <c r="Z32" i="3"/>
  <c r="X32" i="3"/>
  <c r="V32" i="3"/>
  <c r="U32" i="3"/>
  <c r="T32" i="3"/>
  <c r="S32" i="3"/>
  <c r="Q32" i="3"/>
  <c r="P32" i="3"/>
  <c r="O32" i="3"/>
  <c r="N32" i="3"/>
  <c r="L32" i="3"/>
  <c r="K32" i="3"/>
  <c r="J32" i="3"/>
  <c r="I32" i="3"/>
  <c r="H32" i="3"/>
  <c r="G32" i="3"/>
  <c r="E32" i="3"/>
  <c r="D32" i="3"/>
  <c r="C32" i="3"/>
  <c r="BD31" i="3"/>
  <c r="BC31" i="3"/>
  <c r="BB31" i="3"/>
  <c r="BA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P43" i="3" s="1"/>
  <c r="P44" i="3" s="1"/>
  <c r="O23" i="3"/>
  <c r="N23" i="3"/>
  <c r="M23" i="3"/>
  <c r="L23" i="3"/>
  <c r="K23" i="3"/>
  <c r="J23" i="3"/>
  <c r="I23" i="3"/>
  <c r="H23" i="3"/>
  <c r="G23" i="3"/>
  <c r="G43" i="3" s="1"/>
  <c r="G44" i="3" s="1"/>
  <c r="F23" i="3"/>
  <c r="F43" i="3" s="1"/>
  <c r="E23" i="3"/>
  <c r="D23" i="3"/>
  <c r="C23" i="3"/>
  <c r="BD22" i="3"/>
  <c r="BD43" i="3" s="1"/>
  <c r="BD44" i="3" s="1"/>
  <c r="BC22" i="3"/>
  <c r="BC43" i="3" s="1"/>
  <c r="BC44" i="3" s="1"/>
  <c r="BB22" i="3"/>
  <c r="BB43" i="3" s="1"/>
  <c r="BB44" i="3" s="1"/>
  <c r="BA22" i="3"/>
  <c r="BA43" i="3" s="1"/>
  <c r="BA44" i="3" s="1"/>
  <c r="AZ22" i="3"/>
  <c r="AY22" i="3"/>
  <c r="AX22" i="3"/>
  <c r="AW22" i="3"/>
  <c r="AW43" i="3" s="1"/>
  <c r="AW44" i="3" s="1"/>
  <c r="AV22" i="3"/>
  <c r="AV43" i="3" s="1"/>
  <c r="AV44" i="3" s="1"/>
  <c r="AU22" i="3"/>
  <c r="AU43" i="3" s="1"/>
  <c r="AU44" i="3" s="1"/>
  <c r="AT22" i="3"/>
  <c r="AT43" i="3" s="1"/>
  <c r="AT44" i="3" s="1"/>
  <c r="AS22" i="3"/>
  <c r="AS43" i="3" s="1"/>
  <c r="AS44" i="3" s="1"/>
  <c r="AR22" i="3"/>
  <c r="AR43" i="3" s="1"/>
  <c r="AR44" i="3" s="1"/>
  <c r="AQ22" i="3"/>
  <c r="AQ43" i="3" s="1"/>
  <c r="AQ44" i="3" s="1"/>
  <c r="AP22" i="3"/>
  <c r="AP43" i="3" s="1"/>
  <c r="AP44" i="3" s="1"/>
  <c r="AO22" i="3"/>
  <c r="AO43" i="3" s="1"/>
  <c r="AO44" i="3" s="1"/>
  <c r="AN22" i="3"/>
  <c r="AM22" i="3"/>
  <c r="AL22" i="3"/>
  <c r="AK22" i="3"/>
  <c r="AK43" i="3" s="1"/>
  <c r="AK44" i="3" s="1"/>
  <c r="AJ22" i="3"/>
  <c r="AJ43" i="3" s="1"/>
  <c r="AI22" i="3"/>
  <c r="AH22" i="3"/>
  <c r="AH43" i="3" s="1"/>
  <c r="AH44" i="3" s="1"/>
  <c r="AG22" i="3"/>
  <c r="AG43" i="3" s="1"/>
  <c r="AG44" i="3" s="1"/>
  <c r="AF22" i="3"/>
  <c r="AF43" i="3" s="1"/>
  <c r="AF44" i="3" s="1"/>
  <c r="AE22" i="3"/>
  <c r="AD22" i="3"/>
  <c r="AC22" i="3"/>
  <c r="AC43" i="3" s="1"/>
  <c r="AC44" i="3" s="1"/>
  <c r="AB22" i="3"/>
  <c r="AA22" i="3"/>
  <c r="Z22" i="3"/>
  <c r="Y22" i="3"/>
  <c r="Y43" i="3" s="1"/>
  <c r="Y44" i="3" s="1"/>
  <c r="X22" i="3"/>
  <c r="X43" i="3" s="1"/>
  <c r="X44" i="3" s="1"/>
  <c r="W22" i="3"/>
  <c r="W43" i="3" s="1"/>
  <c r="W44" i="3" s="1"/>
  <c r="V22" i="3"/>
  <c r="V43" i="3" s="1"/>
  <c r="V44" i="3" s="1"/>
  <c r="U22" i="3"/>
  <c r="U43" i="3" s="1"/>
  <c r="U44" i="3" s="1"/>
  <c r="T22" i="3"/>
  <c r="T43" i="3" s="1"/>
  <c r="T44" i="3" s="1"/>
  <c r="S22" i="3"/>
  <c r="S43" i="3" s="1"/>
  <c r="R22" i="3"/>
  <c r="Q22" i="3"/>
  <c r="O22" i="3"/>
  <c r="N22" i="3"/>
  <c r="L22" i="3"/>
  <c r="L43" i="3" s="1"/>
  <c r="L44" i="3" s="1"/>
  <c r="K22" i="3"/>
  <c r="K43" i="3" s="1"/>
  <c r="K44" i="3" s="1"/>
  <c r="J22" i="3"/>
  <c r="J43" i="3" s="1"/>
  <c r="J44" i="3" s="1"/>
  <c r="I22" i="3"/>
  <c r="I43" i="3" s="1"/>
  <c r="I44" i="3" s="1"/>
  <c r="H22" i="3"/>
  <c r="H43" i="3" s="1"/>
  <c r="H44" i="3" s="1"/>
  <c r="G22" i="3"/>
  <c r="F22" i="3"/>
  <c r="E22" i="3"/>
  <c r="E43" i="3" s="1"/>
  <c r="D22" i="3"/>
  <c r="C22" i="3"/>
  <c r="P21" i="3"/>
  <c r="P22" i="3" s="1"/>
  <c r="M21" i="3"/>
  <c r="M22" i="3" s="1"/>
  <c r="M43" i="3" s="1"/>
  <c r="M44" i="3" s="1"/>
  <c r="BD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BD18" i="3"/>
  <c r="BD40" i="3" s="1"/>
  <c r="BD41" i="3" s="1"/>
  <c r="BB18" i="3"/>
  <c r="BA18" i="3"/>
  <c r="BA40" i="3" s="1"/>
  <c r="BA41" i="3" s="1"/>
  <c r="AZ18" i="3"/>
  <c r="AZ40" i="3" s="1"/>
  <c r="AZ41" i="3" s="1"/>
  <c r="AY18" i="3"/>
  <c r="AY40" i="3" s="1"/>
  <c r="AY41" i="3" s="1"/>
  <c r="AX18" i="3"/>
  <c r="AX40" i="3" s="1"/>
  <c r="AX41" i="3" s="1"/>
  <c r="AW18" i="3"/>
  <c r="AW40" i="3" s="1"/>
  <c r="AW41" i="3" s="1"/>
  <c r="AV18" i="3"/>
  <c r="AV40" i="3" s="1"/>
  <c r="AV41" i="3" s="1"/>
  <c r="AU18" i="3"/>
  <c r="AU40" i="3" s="1"/>
  <c r="AU41" i="3" s="1"/>
  <c r="AT18" i="3"/>
  <c r="AT40" i="3" s="1"/>
  <c r="AT41" i="3" s="1"/>
  <c r="AR18" i="3"/>
  <c r="AR40" i="3" s="1"/>
  <c r="AR41" i="3" s="1"/>
  <c r="AQ18" i="3"/>
  <c r="AP18" i="3"/>
  <c r="AP40" i="3" s="1"/>
  <c r="AP41" i="3" s="1"/>
  <c r="AO18" i="3"/>
  <c r="AO40" i="3" s="1"/>
  <c r="AO41" i="3" s="1"/>
  <c r="AN18" i="3"/>
  <c r="AN40" i="3" s="1"/>
  <c r="AN41" i="3" s="1"/>
  <c r="AM18" i="3"/>
  <c r="AM40" i="3" s="1"/>
  <c r="AM41" i="3" s="1"/>
  <c r="AL18" i="3"/>
  <c r="AL40" i="3" s="1"/>
  <c r="AL41" i="3" s="1"/>
  <c r="AK18" i="3"/>
  <c r="AJ18" i="3"/>
  <c r="AJ40" i="3" s="1"/>
  <c r="AJ41" i="3" s="1"/>
  <c r="AI18" i="3"/>
  <c r="AI40" i="3" s="1"/>
  <c r="AI41" i="3" s="1"/>
  <c r="AH18" i="3"/>
  <c r="AH40" i="3" s="1"/>
  <c r="AH41" i="3" s="1"/>
  <c r="AG18" i="3"/>
  <c r="AG40" i="3" s="1"/>
  <c r="AG41" i="3" s="1"/>
  <c r="AF18" i="3"/>
  <c r="AF40" i="3" s="1"/>
  <c r="AF41" i="3" s="1"/>
  <c r="AD18" i="3"/>
  <c r="AD40" i="3" s="1"/>
  <c r="AD41" i="3" s="1"/>
  <c r="AC18" i="3"/>
  <c r="AC40" i="3" s="1"/>
  <c r="AC41" i="3" s="1"/>
  <c r="AB18" i="3"/>
  <c r="AB40" i="3" s="1"/>
  <c r="AB41" i="3" s="1"/>
  <c r="AA18" i="3"/>
  <c r="AA40" i="3" s="1"/>
  <c r="Z18" i="3"/>
  <c r="Z40" i="3" s="1"/>
  <c r="Z41" i="3" s="1"/>
  <c r="X18" i="3"/>
  <c r="X40" i="3" s="1"/>
  <c r="X41" i="3" s="1"/>
  <c r="W18" i="3"/>
  <c r="V18" i="3"/>
  <c r="V40" i="3" s="1"/>
  <c r="V41" i="3" s="1"/>
  <c r="U18" i="3"/>
  <c r="T18" i="3"/>
  <c r="T40" i="3" s="1"/>
  <c r="T41" i="3" s="1"/>
  <c r="S18" i="3"/>
  <c r="S40" i="3" s="1"/>
  <c r="S41" i="3" s="1"/>
  <c r="R18" i="3"/>
  <c r="Q18" i="3"/>
  <c r="Q40" i="3" s="1"/>
  <c r="Q41" i="3" s="1"/>
  <c r="P18" i="3"/>
  <c r="P40" i="3" s="1"/>
  <c r="P41" i="3" s="1"/>
  <c r="O18" i="3"/>
  <c r="O40" i="3" s="1"/>
  <c r="O41" i="3" s="1"/>
  <c r="N18" i="3"/>
  <c r="N40" i="3" s="1"/>
  <c r="L18" i="3"/>
  <c r="K18" i="3"/>
  <c r="J18" i="3"/>
  <c r="I18" i="3"/>
  <c r="I40" i="3" s="1"/>
  <c r="I41" i="3" s="1"/>
  <c r="G18" i="3"/>
  <c r="G40" i="3" s="1"/>
  <c r="G41" i="3" s="1"/>
  <c r="F18" i="3"/>
  <c r="E18" i="3"/>
  <c r="E40" i="3" s="1"/>
  <c r="E41" i="3" s="1"/>
  <c r="D18" i="3"/>
  <c r="C18" i="3"/>
  <c r="BC17" i="3"/>
  <c r="BC18" i="3" s="1"/>
  <c r="AU17" i="3"/>
  <c r="AS17" i="3"/>
  <c r="AS18" i="3" s="1"/>
  <c r="AJ17" i="3"/>
  <c r="AE17" i="3"/>
  <c r="AE18" i="3" s="1"/>
  <c r="AE40" i="3" s="1"/>
  <c r="AE41" i="3" s="1"/>
  <c r="Y17" i="3"/>
  <c r="Y18" i="3" s="1"/>
  <c r="V17" i="3"/>
  <c r="R17" i="3"/>
  <c r="P17" i="3"/>
  <c r="M17" i="3"/>
  <c r="M18" i="3" s="1"/>
  <c r="M40" i="3" s="1"/>
  <c r="M41" i="3" s="1"/>
  <c r="H17" i="3"/>
  <c r="H18" i="3" s="1"/>
  <c r="H40" i="3" s="1"/>
  <c r="H41" i="3" s="1"/>
  <c r="BC15" i="3"/>
  <c r="BB15" i="3"/>
  <c r="BA15" i="3"/>
  <c r="BA37" i="3" s="1"/>
  <c r="BA38" i="3" s="1"/>
  <c r="AZ15" i="3"/>
  <c r="AY15" i="3"/>
  <c r="AX15" i="3"/>
  <c r="AW15" i="3"/>
  <c r="AV15" i="3"/>
  <c r="AU15" i="3"/>
  <c r="AT15" i="3"/>
  <c r="AS15" i="3"/>
  <c r="AQ15" i="3"/>
  <c r="AP15" i="3"/>
  <c r="AN15" i="3"/>
  <c r="AL15" i="3"/>
  <c r="AK15" i="3"/>
  <c r="AJ15" i="3"/>
  <c r="AI15" i="3"/>
  <c r="AH15" i="3"/>
  <c r="AG15" i="3"/>
  <c r="AF15" i="3"/>
  <c r="AF37" i="3" s="1"/>
  <c r="AF38" i="3" s="1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S37" i="3" s="1"/>
  <c r="S38" i="3" s="1"/>
  <c r="R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B14" i="3"/>
  <c r="BA14" i="3"/>
  <c r="AZ14" i="3"/>
  <c r="AZ37" i="3" s="1"/>
  <c r="AZ38" i="3" s="1"/>
  <c r="AY14" i="3"/>
  <c r="AY37" i="3" s="1"/>
  <c r="AY38" i="3" s="1"/>
  <c r="AX14" i="3"/>
  <c r="AX37" i="3" s="1"/>
  <c r="AX38" i="3" s="1"/>
  <c r="AW14" i="3"/>
  <c r="AW37" i="3" s="1"/>
  <c r="AW38" i="3" s="1"/>
  <c r="AV14" i="3"/>
  <c r="AV37" i="3" s="1"/>
  <c r="AV38" i="3" s="1"/>
  <c r="AU14" i="3"/>
  <c r="AU37" i="3" s="1"/>
  <c r="AU38" i="3" s="1"/>
  <c r="AT14" i="3"/>
  <c r="AT37" i="3" s="1"/>
  <c r="AT38" i="3" s="1"/>
  <c r="AQ14" i="3"/>
  <c r="AQ37" i="3" s="1"/>
  <c r="AQ38" i="3" s="1"/>
  <c r="AP14" i="3"/>
  <c r="AO14" i="3"/>
  <c r="AN14" i="3"/>
  <c r="AN37" i="3" s="1"/>
  <c r="AN38" i="3" s="1"/>
  <c r="AM14" i="3"/>
  <c r="AL14" i="3"/>
  <c r="AL37" i="3" s="1"/>
  <c r="AL38" i="3" s="1"/>
  <c r="AK14" i="3"/>
  <c r="AK37" i="3" s="1"/>
  <c r="AK38" i="3" s="1"/>
  <c r="AI14" i="3"/>
  <c r="AI37" i="3" s="1"/>
  <c r="AI38" i="3" s="1"/>
  <c r="AH14" i="3"/>
  <c r="AH37" i="3" s="1"/>
  <c r="AH38" i="3" s="1"/>
  <c r="AF14" i="3"/>
  <c r="AE14" i="3"/>
  <c r="AE37" i="3" s="1"/>
  <c r="AE38" i="3" s="1"/>
  <c r="AB14" i="3"/>
  <c r="AB37" i="3" s="1"/>
  <c r="AB38" i="3" s="1"/>
  <c r="AA14" i="3"/>
  <c r="AA37" i="3" s="1"/>
  <c r="AA38" i="3" s="1"/>
  <c r="Z14" i="3"/>
  <c r="Y14" i="3"/>
  <c r="Y37" i="3" s="1"/>
  <c r="Y38" i="3" s="1"/>
  <c r="X14" i="3"/>
  <c r="X37" i="3" s="1"/>
  <c r="X38" i="3" s="1"/>
  <c r="W14" i="3"/>
  <c r="W37" i="3" s="1"/>
  <c r="W38" i="3" s="1"/>
  <c r="V14" i="3"/>
  <c r="V37" i="3" s="1"/>
  <c r="V38" i="3" s="1"/>
  <c r="U14" i="3"/>
  <c r="U37" i="3" s="1"/>
  <c r="U38" i="3" s="1"/>
  <c r="T14" i="3"/>
  <c r="T37" i="3" s="1"/>
  <c r="T38" i="3" s="1"/>
  <c r="S14" i="3"/>
  <c r="R14" i="3"/>
  <c r="R37" i="3" s="1"/>
  <c r="R38" i="3" s="1"/>
  <c r="Q14" i="3"/>
  <c r="P14" i="3"/>
  <c r="O14" i="3"/>
  <c r="O37" i="3" s="1"/>
  <c r="O38" i="3" s="1"/>
  <c r="N14" i="3"/>
  <c r="M14" i="3"/>
  <c r="K14" i="3"/>
  <c r="K37" i="3" s="1"/>
  <c r="K38" i="3" s="1"/>
  <c r="J14" i="3"/>
  <c r="I14" i="3"/>
  <c r="I37" i="3" s="1"/>
  <c r="I38" i="3" s="1"/>
  <c r="F14" i="3"/>
  <c r="F37" i="3" s="1"/>
  <c r="F38" i="3" s="1"/>
  <c r="E14" i="3"/>
  <c r="E37" i="3" s="1"/>
  <c r="E38" i="3" s="1"/>
  <c r="D14" i="3"/>
  <c r="D37" i="3" s="1"/>
  <c r="D38" i="3" s="1"/>
  <c r="C14" i="3"/>
  <c r="C37" i="3" s="1"/>
  <c r="C38" i="3" s="1"/>
  <c r="BD13" i="3"/>
  <c r="BD14" i="3" s="1"/>
  <c r="BC13" i="3"/>
  <c r="BC14" i="3" s="1"/>
  <c r="BC37" i="3" s="1"/>
  <c r="BC38" i="3" s="1"/>
  <c r="BA13" i="3"/>
  <c r="AU13" i="3"/>
  <c r="AT13" i="3"/>
  <c r="AS13" i="3"/>
  <c r="AS14" i="3" s="1"/>
  <c r="AS37" i="3" s="1"/>
  <c r="AS38" i="3" s="1"/>
  <c r="AR13" i="3"/>
  <c r="AR14" i="3" s="1"/>
  <c r="AM13" i="3"/>
  <c r="AJ13" i="3"/>
  <c r="AJ14" i="3" s="1"/>
  <c r="AJ37" i="3" s="1"/>
  <c r="AJ38" i="3" s="1"/>
  <c r="AI13" i="3"/>
  <c r="AG13" i="3"/>
  <c r="AG14" i="3" s="1"/>
  <c r="AG37" i="3" s="1"/>
  <c r="AG38" i="3" s="1"/>
  <c r="AD13" i="3"/>
  <c r="AD14" i="3" s="1"/>
  <c r="AD37" i="3" s="1"/>
  <c r="AD38" i="3" s="1"/>
  <c r="AC13" i="3"/>
  <c r="AC14" i="3" s="1"/>
  <c r="Z13" i="3"/>
  <c r="L13" i="3"/>
  <c r="L14" i="3" s="1"/>
  <c r="L37" i="3" s="1"/>
  <c r="H13" i="3"/>
  <c r="H14" i="3" s="1"/>
  <c r="G13" i="3"/>
  <c r="G14" i="3" s="1"/>
  <c r="G37" i="3" s="1"/>
  <c r="G38" i="3" s="1"/>
  <c r="BD11" i="3"/>
  <c r="BC11" i="3"/>
  <c r="BB11" i="3"/>
  <c r="BA11" i="3"/>
  <c r="AY11" i="3"/>
  <c r="AX11" i="3"/>
  <c r="AW11" i="3"/>
  <c r="AV11" i="3"/>
  <c r="AU11" i="3"/>
  <c r="AT11" i="3"/>
  <c r="AS11" i="3"/>
  <c r="AR11" i="3"/>
  <c r="AQ11" i="3"/>
  <c r="AO11" i="3"/>
  <c r="AK11" i="3"/>
  <c r="AJ11" i="3"/>
  <c r="AI11" i="3"/>
  <c r="AH11" i="3"/>
  <c r="AH34" i="3" s="1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I11" i="3"/>
  <c r="H11" i="3"/>
  <c r="G11" i="3"/>
  <c r="F11" i="3"/>
  <c r="E11" i="3"/>
  <c r="D11" i="3"/>
  <c r="C11" i="3"/>
  <c r="BC10" i="3"/>
  <c r="BC34" i="3" s="1"/>
  <c r="BB10" i="3"/>
  <c r="BB34" i="3" s="1"/>
  <c r="BB46" i="3" s="1"/>
  <c r="BA10" i="3"/>
  <c r="BA34" i="3" s="1"/>
  <c r="BA35" i="3" s="1"/>
  <c r="AZ10" i="3"/>
  <c r="AY10" i="3"/>
  <c r="AX10" i="3"/>
  <c r="AW10" i="3"/>
  <c r="AV10" i="3"/>
  <c r="AV34" i="3" s="1"/>
  <c r="AU10" i="3"/>
  <c r="AU34" i="3" s="1"/>
  <c r="AS10" i="3"/>
  <c r="AS34" i="3" s="1"/>
  <c r="AR10" i="3"/>
  <c r="AR34" i="3" s="1"/>
  <c r="AQ10" i="3"/>
  <c r="AQ34" i="3" s="1"/>
  <c r="AQ46" i="3" s="1"/>
  <c r="AP10" i="3"/>
  <c r="AN10" i="3"/>
  <c r="AM10" i="3"/>
  <c r="AL10" i="3"/>
  <c r="AK10" i="3"/>
  <c r="AI10" i="3"/>
  <c r="AI34" i="3" s="1"/>
  <c r="AH10" i="3"/>
  <c r="AF10" i="3"/>
  <c r="AF34" i="3" s="1"/>
  <c r="AE10" i="3"/>
  <c r="AE34" i="3" s="1"/>
  <c r="AD10" i="3"/>
  <c r="AD34" i="3" s="1"/>
  <c r="AC10" i="3"/>
  <c r="AC34" i="3" s="1"/>
  <c r="AB10" i="3"/>
  <c r="AB34" i="3" s="1"/>
  <c r="AA10" i="3"/>
  <c r="AA34" i="3" s="1"/>
  <c r="Z10" i="3"/>
  <c r="Z34" i="3" s="1"/>
  <c r="Y10" i="3"/>
  <c r="X10" i="3"/>
  <c r="X34" i="3" s="1"/>
  <c r="X35" i="3" s="1"/>
  <c r="W10" i="3"/>
  <c r="V10" i="3"/>
  <c r="U10" i="3"/>
  <c r="T10" i="3"/>
  <c r="T34" i="3" s="1"/>
  <c r="S10" i="3"/>
  <c r="S34" i="3" s="1"/>
  <c r="R10" i="3"/>
  <c r="R34" i="3" s="1"/>
  <c r="Q10" i="3"/>
  <c r="Q34" i="3" s="1"/>
  <c r="Q35" i="3" s="1"/>
  <c r="P10" i="3"/>
  <c r="P34" i="3" s="1"/>
  <c r="P35" i="3" s="1"/>
  <c r="O10" i="3"/>
  <c r="O34" i="3" s="1"/>
  <c r="O35" i="3" s="1"/>
  <c r="N10" i="3"/>
  <c r="N34" i="3" s="1"/>
  <c r="M10" i="3"/>
  <c r="L10" i="3"/>
  <c r="K10" i="3"/>
  <c r="K34" i="3" s="1"/>
  <c r="J10" i="3"/>
  <c r="I10" i="3"/>
  <c r="I34" i="3" s="1"/>
  <c r="G10" i="3"/>
  <c r="G34" i="3" s="1"/>
  <c r="F10" i="3"/>
  <c r="F34" i="3" s="1"/>
  <c r="E10" i="3"/>
  <c r="E34" i="3" s="1"/>
  <c r="D10" i="3"/>
  <c r="D34" i="3" s="1"/>
  <c r="C10" i="3"/>
  <c r="C34" i="3" s="1"/>
  <c r="BD9" i="3"/>
  <c r="BD10" i="3" s="1"/>
  <c r="BD34" i="3" s="1"/>
  <c r="BC9" i="3"/>
  <c r="BB9" i="3"/>
  <c r="AT9" i="3"/>
  <c r="AT10" i="3" s="1"/>
  <c r="AT34" i="3" s="1"/>
  <c r="AS9" i="3"/>
  <c r="AR9" i="3"/>
  <c r="AO9" i="3"/>
  <c r="AO10" i="3" s="1"/>
  <c r="AO34" i="3" s="1"/>
  <c r="AN9" i="3"/>
  <c r="AM9" i="3"/>
  <c r="AJ9" i="3"/>
  <c r="AJ10" i="3" s="1"/>
  <c r="AJ34" i="3" s="1"/>
  <c r="AJ35" i="3" s="1"/>
  <c r="AG9" i="3"/>
  <c r="AG10" i="3" s="1"/>
  <c r="AG34" i="3" s="1"/>
  <c r="H9" i="3"/>
  <c r="H10" i="3" s="1"/>
  <c r="H34" i="3" s="1"/>
  <c r="AN7" i="3"/>
  <c r="AM7" i="3"/>
  <c r="AM61" i="3" s="1"/>
  <c r="AL7" i="3"/>
  <c r="AG7" i="3"/>
  <c r="AG60" i="3" s="1"/>
  <c r="AF7" i="3"/>
  <c r="AE7" i="3"/>
  <c r="W7" i="3"/>
  <c r="C7" i="3"/>
  <c r="AZ6" i="3"/>
  <c r="AX6" i="3"/>
  <c r="AW6" i="3"/>
  <c r="AR6" i="3"/>
  <c r="AN6" i="3"/>
  <c r="AN55" i="3" s="1"/>
  <c r="AG6" i="3"/>
  <c r="AF6" i="3"/>
  <c r="C6" i="3"/>
  <c r="C55" i="3" s="1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AM60" i="2"/>
  <c r="P60" i="2"/>
  <c r="AM59" i="2"/>
  <c r="P59" i="2"/>
  <c r="AM58" i="2"/>
  <c r="AM61" i="2" s="1"/>
  <c r="P58" i="2"/>
  <c r="P83" i="2" s="1"/>
  <c r="P16" i="2" s="1"/>
  <c r="Q15" i="3" s="1"/>
  <c r="BC54" i="2"/>
  <c r="AN54" i="2"/>
  <c r="AK54" i="2"/>
  <c r="AK9" i="2" s="1"/>
  <c r="AN53" i="2"/>
  <c r="AK53" i="2"/>
  <c r="BC49" i="2"/>
  <c r="AQ49" i="2"/>
  <c r="AN49" i="2"/>
  <c r="AO6" i="3" s="1"/>
  <c r="AL49" i="2"/>
  <c r="AL6" i="2" s="1"/>
  <c r="AK49" i="2"/>
  <c r="AD49" i="2"/>
  <c r="AE6" i="3" s="1"/>
  <c r="B49" i="2"/>
  <c r="BC44" i="2"/>
  <c r="BC14" i="2" s="1"/>
  <c r="BB44" i="2"/>
  <c r="AY44" i="2"/>
  <c r="AW44" i="2"/>
  <c r="AV44" i="2"/>
  <c r="AU44" i="2"/>
  <c r="AV6" i="3" s="1"/>
  <c r="AS44" i="2"/>
  <c r="AT6" i="3" s="1"/>
  <c r="AQ44" i="2"/>
  <c r="AQ17" i="2" s="1"/>
  <c r="AP44" i="2"/>
  <c r="AQ6" i="3" s="1"/>
  <c r="AQ55" i="3" s="1"/>
  <c r="G11" i="1" s="1"/>
  <c r="AO44" i="2"/>
  <c r="AP6" i="3" s="1"/>
  <c r="AN44" i="2"/>
  <c r="AN33" i="2" s="1"/>
  <c r="AN34" i="2" s="1"/>
  <c r="AM44" i="2"/>
  <c r="AL44" i="2"/>
  <c r="AL17" i="2" s="1"/>
  <c r="AK44" i="2"/>
  <c r="AF44" i="2"/>
  <c r="AE44" i="2"/>
  <c r="AD44" i="2"/>
  <c r="V44" i="2"/>
  <c r="W6" i="3" s="1"/>
  <c r="R44" i="2"/>
  <c r="D44" i="2"/>
  <c r="C44" i="2"/>
  <c r="B44" i="2"/>
  <c r="B24" i="2" s="1"/>
  <c r="V39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C34" i="2"/>
  <c r="B34" i="2"/>
  <c r="T33" i="2"/>
  <c r="T34" i="2" s="1"/>
  <c r="D33" i="2"/>
  <c r="D34" i="2" s="1"/>
  <c r="BB24" i="2"/>
  <c r="BB23" i="2"/>
  <c r="B22" i="2"/>
  <c r="BB21" i="2"/>
  <c r="B21" i="2"/>
  <c r="BB20" i="2"/>
  <c r="B20" i="2"/>
  <c r="BC17" i="2"/>
  <c r="AQ16" i="2"/>
  <c r="AQ15" i="2"/>
  <c r="AR15" i="3" s="1"/>
  <c r="AN15" i="2"/>
  <c r="AL15" i="2"/>
  <c r="AQ14" i="2"/>
  <c r="AQ13" i="2"/>
  <c r="AY10" i="2"/>
  <c r="AM10" i="2"/>
  <c r="AL10" i="2"/>
  <c r="AK10" i="2"/>
  <c r="I10" i="2"/>
  <c r="AQ9" i="2"/>
  <c r="AM9" i="2"/>
  <c r="I9" i="2"/>
  <c r="AM8" i="2"/>
  <c r="AK8" i="2"/>
  <c r="I8" i="2"/>
  <c r="AY7" i="2"/>
  <c r="AZ11" i="3" s="1"/>
  <c r="AM7" i="2"/>
  <c r="AK7" i="2"/>
  <c r="I7" i="2"/>
  <c r="J11" i="3" s="1"/>
  <c r="J34" i="3" s="1"/>
  <c r="AM6" i="2"/>
  <c r="N62" i="1"/>
  <c r="M62" i="1"/>
  <c r="L62" i="1"/>
  <c r="K62" i="1"/>
  <c r="J62" i="1"/>
  <c r="I62" i="1"/>
  <c r="H62" i="1"/>
  <c r="G62" i="1"/>
  <c r="F62" i="1"/>
  <c r="D62" i="1"/>
  <c r="N61" i="1"/>
  <c r="M61" i="1"/>
  <c r="L61" i="1"/>
  <c r="K61" i="1"/>
  <c r="H61" i="1"/>
  <c r="G61" i="1"/>
  <c r="D61" i="1"/>
  <c r="N60" i="1"/>
  <c r="M60" i="1"/>
  <c r="K60" i="1"/>
  <c r="J60" i="1"/>
  <c r="I60" i="1"/>
  <c r="H60" i="1"/>
  <c r="N59" i="1"/>
  <c r="M59" i="1"/>
  <c r="J59" i="1"/>
  <c r="I59" i="1"/>
  <c r="H59" i="1"/>
  <c r="G59" i="1"/>
  <c r="F59" i="1"/>
  <c r="D59" i="1"/>
  <c r="N58" i="1"/>
  <c r="M58" i="1"/>
  <c r="J58" i="1"/>
  <c r="I58" i="1"/>
  <c r="H58" i="1"/>
  <c r="G58" i="1"/>
  <c r="F58" i="1"/>
  <c r="D58" i="1"/>
  <c r="N57" i="1"/>
  <c r="M57" i="1"/>
  <c r="L57" i="1"/>
  <c r="K57" i="1"/>
  <c r="J57" i="1"/>
  <c r="I57" i="1"/>
  <c r="H57" i="1"/>
  <c r="N56" i="1"/>
  <c r="M56" i="1"/>
  <c r="L56" i="1"/>
  <c r="K56" i="1"/>
  <c r="J56" i="1"/>
  <c r="I56" i="1"/>
  <c r="H56" i="1"/>
  <c r="G56" i="1"/>
  <c r="F56" i="1"/>
  <c r="D56" i="1"/>
  <c r="N55" i="1"/>
  <c r="M55" i="1"/>
  <c r="L55" i="1"/>
  <c r="K55" i="1"/>
  <c r="J55" i="1"/>
  <c r="I55" i="1"/>
  <c r="H55" i="1"/>
  <c r="G55" i="1"/>
  <c r="F55" i="1"/>
  <c r="D55" i="1"/>
  <c r="N54" i="1"/>
  <c r="M54" i="1"/>
  <c r="L54" i="1"/>
  <c r="J54" i="1"/>
  <c r="I54" i="1"/>
  <c r="H54" i="1"/>
  <c r="N53" i="1"/>
  <c r="M53" i="1"/>
  <c r="L53" i="1"/>
  <c r="K53" i="1"/>
  <c r="J53" i="1"/>
  <c r="I53" i="1"/>
  <c r="H53" i="1"/>
  <c r="G53" i="1"/>
  <c r="F53" i="1"/>
  <c r="D53" i="1"/>
  <c r="N52" i="1"/>
  <c r="M52" i="1"/>
  <c r="J52" i="1"/>
  <c r="I52" i="1"/>
  <c r="H52" i="1"/>
  <c r="G52" i="1"/>
  <c r="F52" i="1"/>
  <c r="N51" i="1"/>
  <c r="M51" i="1"/>
  <c r="L51" i="1"/>
  <c r="K51" i="1"/>
  <c r="J51" i="1"/>
  <c r="I51" i="1"/>
  <c r="H51" i="1"/>
  <c r="G51" i="1"/>
  <c r="F51" i="1"/>
  <c r="D51" i="1"/>
  <c r="N50" i="1"/>
  <c r="M50" i="1"/>
  <c r="L50" i="1"/>
  <c r="K50" i="1"/>
  <c r="J50" i="1"/>
  <c r="I50" i="1"/>
  <c r="H50" i="1"/>
  <c r="G50" i="1"/>
  <c r="F50" i="1"/>
  <c r="D50" i="1"/>
  <c r="N49" i="1"/>
  <c r="M49" i="1"/>
  <c r="J49" i="1"/>
  <c r="I49" i="1"/>
  <c r="H49" i="1"/>
  <c r="N48" i="1"/>
  <c r="M48" i="1"/>
  <c r="J48" i="1"/>
  <c r="I48" i="1"/>
  <c r="H48" i="1"/>
  <c r="G48" i="1"/>
  <c r="F48" i="1"/>
  <c r="D48" i="1"/>
  <c r="N47" i="1"/>
  <c r="M47" i="1"/>
  <c r="K47" i="1"/>
  <c r="J47" i="1"/>
  <c r="I47" i="1"/>
  <c r="H47" i="1"/>
  <c r="N46" i="1"/>
  <c r="M46" i="1"/>
  <c r="J46" i="1"/>
  <c r="I46" i="1"/>
  <c r="H46" i="1"/>
  <c r="G46" i="1"/>
  <c r="F46" i="1"/>
  <c r="N45" i="1"/>
  <c r="M45" i="1"/>
  <c r="L45" i="1"/>
  <c r="K45" i="1"/>
  <c r="J45" i="1"/>
  <c r="I45" i="1"/>
  <c r="H45" i="1"/>
  <c r="G45" i="1"/>
  <c r="F45" i="1"/>
  <c r="D45" i="1"/>
  <c r="N44" i="1"/>
  <c r="M44" i="1"/>
  <c r="K44" i="1"/>
  <c r="J44" i="1"/>
  <c r="I44" i="1"/>
  <c r="H44" i="1"/>
  <c r="G44" i="1"/>
  <c r="F44" i="1"/>
  <c r="D44" i="1"/>
  <c r="N43" i="1"/>
  <c r="M43" i="1"/>
  <c r="K43" i="1"/>
  <c r="J43" i="1"/>
  <c r="I43" i="1"/>
  <c r="H43" i="1"/>
  <c r="G43" i="1"/>
  <c r="F43" i="1"/>
  <c r="D43" i="1"/>
  <c r="N42" i="1"/>
  <c r="M42" i="1"/>
  <c r="L42" i="1"/>
  <c r="I42" i="1"/>
  <c r="H42" i="1"/>
  <c r="N41" i="1"/>
  <c r="M41" i="1"/>
  <c r="J41" i="1"/>
  <c r="I41" i="1"/>
  <c r="H41" i="1"/>
  <c r="G41" i="1"/>
  <c r="F41" i="1"/>
  <c r="N40" i="1"/>
  <c r="M40" i="1"/>
  <c r="L40" i="1"/>
  <c r="K40" i="1"/>
  <c r="J40" i="1"/>
  <c r="I40" i="1"/>
  <c r="H40" i="1"/>
  <c r="G40" i="1"/>
  <c r="F40" i="1"/>
  <c r="D40" i="1"/>
  <c r="N39" i="1"/>
  <c r="M39" i="1"/>
  <c r="J39" i="1"/>
  <c r="I39" i="1"/>
  <c r="H39" i="1"/>
  <c r="G39" i="1"/>
  <c r="F39" i="1"/>
  <c r="D39" i="1"/>
  <c r="N38" i="1"/>
  <c r="M38" i="1"/>
  <c r="L38" i="1"/>
  <c r="K38" i="1"/>
  <c r="J38" i="1"/>
  <c r="I38" i="1"/>
  <c r="H38" i="1"/>
  <c r="G38" i="1"/>
  <c r="F38" i="1"/>
  <c r="D38" i="1"/>
  <c r="N37" i="1"/>
  <c r="M37" i="1"/>
  <c r="J37" i="1"/>
  <c r="I37" i="1"/>
  <c r="H37" i="1"/>
  <c r="G37" i="1"/>
  <c r="F37" i="1"/>
  <c r="D37" i="1"/>
  <c r="N36" i="1"/>
  <c r="M36" i="1"/>
  <c r="J36" i="1"/>
  <c r="I36" i="1"/>
  <c r="H36" i="1"/>
  <c r="G36" i="1"/>
  <c r="F36" i="1"/>
  <c r="D36" i="1"/>
  <c r="N35" i="1"/>
  <c r="M35" i="1"/>
  <c r="L35" i="1"/>
  <c r="J35" i="1"/>
  <c r="I35" i="1"/>
  <c r="H35" i="1"/>
  <c r="G35" i="1"/>
  <c r="F35" i="1"/>
  <c r="D35" i="1"/>
  <c r="N34" i="1"/>
  <c r="M34" i="1"/>
  <c r="L34" i="1"/>
  <c r="J34" i="1"/>
  <c r="I34" i="1"/>
  <c r="H34" i="1"/>
  <c r="N33" i="1"/>
  <c r="M33" i="1"/>
  <c r="L33" i="1"/>
  <c r="J33" i="1"/>
  <c r="I33" i="1"/>
  <c r="H33" i="1"/>
  <c r="G33" i="1"/>
  <c r="F33" i="1"/>
  <c r="D33" i="1"/>
  <c r="N32" i="1"/>
  <c r="M32" i="1"/>
  <c r="L32" i="1"/>
  <c r="K32" i="1"/>
  <c r="J32" i="1"/>
  <c r="I32" i="1"/>
  <c r="H32" i="1"/>
  <c r="G32" i="1"/>
  <c r="F32" i="1"/>
  <c r="N31" i="1"/>
  <c r="M31" i="1"/>
  <c r="J31" i="1"/>
  <c r="I31" i="1"/>
  <c r="H31" i="1"/>
  <c r="G31" i="1"/>
  <c r="F31" i="1"/>
  <c r="N30" i="1"/>
  <c r="M30" i="1"/>
  <c r="L30" i="1"/>
  <c r="J30" i="1"/>
  <c r="I30" i="1"/>
  <c r="H30" i="1"/>
  <c r="G30" i="1"/>
  <c r="F30" i="1"/>
  <c r="D30" i="1"/>
  <c r="N29" i="1"/>
  <c r="M29" i="1"/>
  <c r="L29" i="1"/>
  <c r="K29" i="1"/>
  <c r="J29" i="1"/>
  <c r="I29" i="1"/>
  <c r="H29" i="1"/>
  <c r="G29" i="1"/>
  <c r="F29" i="1"/>
  <c r="D29" i="1"/>
  <c r="N28" i="1"/>
  <c r="M28" i="1"/>
  <c r="L28" i="1"/>
  <c r="K28" i="1"/>
  <c r="J28" i="1"/>
  <c r="I28" i="1"/>
  <c r="H28" i="1"/>
  <c r="N27" i="1"/>
  <c r="M27" i="1"/>
  <c r="L27" i="1"/>
  <c r="J27" i="1"/>
  <c r="I27" i="1"/>
  <c r="H27" i="1"/>
  <c r="N26" i="1"/>
  <c r="M26" i="1"/>
  <c r="L26" i="1"/>
  <c r="K26" i="1"/>
  <c r="H26" i="1"/>
  <c r="N25" i="1"/>
  <c r="M25" i="1"/>
  <c r="L25" i="1"/>
  <c r="K25" i="1"/>
  <c r="J25" i="1"/>
  <c r="I25" i="1"/>
  <c r="H25" i="1"/>
  <c r="G25" i="1"/>
  <c r="F25" i="1"/>
  <c r="D25" i="1"/>
  <c r="N24" i="1"/>
  <c r="M24" i="1"/>
  <c r="L24" i="1"/>
  <c r="K24" i="1"/>
  <c r="J24" i="1"/>
  <c r="I24" i="1"/>
  <c r="H24" i="1"/>
  <c r="N23" i="1"/>
  <c r="M23" i="1"/>
  <c r="K23" i="1"/>
  <c r="J23" i="1"/>
  <c r="I23" i="1"/>
  <c r="H23" i="1"/>
  <c r="G23" i="1"/>
  <c r="F23" i="1"/>
  <c r="D23" i="1"/>
  <c r="N22" i="1"/>
  <c r="M22" i="1"/>
  <c r="L22" i="1"/>
  <c r="J22" i="1"/>
  <c r="I22" i="1"/>
  <c r="H22" i="1"/>
  <c r="G22" i="1"/>
  <c r="F22" i="1"/>
  <c r="D22" i="1"/>
  <c r="N21" i="1"/>
  <c r="M21" i="1"/>
  <c r="L21" i="1"/>
  <c r="J21" i="1"/>
  <c r="I21" i="1"/>
  <c r="H21" i="1"/>
  <c r="G21" i="1"/>
  <c r="F21" i="1"/>
  <c r="D21" i="1"/>
  <c r="N20" i="1"/>
  <c r="M20" i="1"/>
  <c r="J20" i="1"/>
  <c r="I20" i="1"/>
  <c r="H20" i="1"/>
  <c r="G20" i="1"/>
  <c r="F20" i="1"/>
  <c r="D20" i="1"/>
  <c r="N19" i="1"/>
  <c r="M19" i="1"/>
  <c r="L19" i="1"/>
  <c r="K19" i="1"/>
  <c r="J19" i="1"/>
  <c r="I19" i="1"/>
  <c r="H19" i="1"/>
  <c r="G19" i="1"/>
  <c r="F19" i="1"/>
  <c r="D19" i="1"/>
  <c r="N18" i="1"/>
  <c r="M18" i="1"/>
  <c r="L18" i="1"/>
  <c r="K18" i="1"/>
  <c r="H18" i="1"/>
  <c r="N17" i="1"/>
  <c r="M17" i="1"/>
  <c r="H17" i="1"/>
  <c r="G17" i="1"/>
  <c r="D17" i="1"/>
  <c r="N16" i="1"/>
  <c r="M16" i="1"/>
  <c r="J16" i="1"/>
  <c r="I16" i="1"/>
  <c r="H16" i="1"/>
  <c r="N15" i="1"/>
  <c r="M15" i="1"/>
  <c r="H15" i="1"/>
  <c r="N14" i="1"/>
  <c r="M14" i="1"/>
  <c r="L14" i="1"/>
  <c r="K14" i="1"/>
  <c r="H14" i="1"/>
  <c r="N13" i="1"/>
  <c r="M13" i="1"/>
  <c r="K13" i="1"/>
  <c r="J13" i="1"/>
  <c r="I13" i="1"/>
  <c r="H13" i="1"/>
  <c r="G13" i="1"/>
  <c r="F13" i="1"/>
  <c r="D13" i="1"/>
  <c r="N12" i="1"/>
  <c r="M12" i="1"/>
  <c r="L12" i="1"/>
  <c r="K12" i="1"/>
  <c r="J12" i="1"/>
  <c r="I12" i="1"/>
  <c r="H12" i="1"/>
  <c r="N11" i="1"/>
  <c r="M11" i="1"/>
  <c r="K11" i="1"/>
  <c r="J11" i="1"/>
  <c r="I11" i="1"/>
  <c r="H11" i="1"/>
  <c r="N10" i="1"/>
  <c r="M10" i="1"/>
  <c r="L10" i="1"/>
  <c r="K10" i="1"/>
  <c r="J10" i="1"/>
  <c r="I10" i="1"/>
  <c r="H10" i="1"/>
  <c r="N9" i="1"/>
  <c r="M9" i="1"/>
  <c r="J9" i="1"/>
  <c r="I9" i="1"/>
  <c r="H9" i="1"/>
  <c r="G9" i="1"/>
  <c r="F9" i="1"/>
  <c r="J8" i="1"/>
  <c r="I8" i="1"/>
  <c r="BD35" i="3" l="1"/>
  <c r="H35" i="3"/>
  <c r="AG35" i="3"/>
  <c r="AG46" i="3"/>
  <c r="BB63" i="3"/>
  <c r="BB47" i="3"/>
  <c r="AS35" i="3"/>
  <c r="AS46" i="3"/>
  <c r="AL11" i="3"/>
  <c r="AL34" i="3" s="1"/>
  <c r="AU46" i="3"/>
  <c r="AU35" i="3"/>
  <c r="AO55" i="3"/>
  <c r="G27" i="1" s="1"/>
  <c r="AO54" i="3"/>
  <c r="F27" i="1" s="1"/>
  <c r="AO32" i="3"/>
  <c r="D27" i="1" s="1"/>
  <c r="J35" i="3"/>
  <c r="I35" i="3"/>
  <c r="I46" i="3"/>
  <c r="AE54" i="3"/>
  <c r="F18" i="1" s="1"/>
  <c r="AE55" i="3"/>
  <c r="G18" i="1" s="1"/>
  <c r="AE32" i="3"/>
  <c r="D18" i="1" s="1"/>
  <c r="AH46" i="3"/>
  <c r="AH35" i="3"/>
  <c r="AI46" i="3"/>
  <c r="AI35" i="3"/>
  <c r="AP32" i="3"/>
  <c r="D34" i="1" s="1"/>
  <c r="AP55" i="3"/>
  <c r="G34" i="1" s="1"/>
  <c r="AP54" i="3"/>
  <c r="F34" i="1" s="1"/>
  <c r="K35" i="3"/>
  <c r="K46" i="3"/>
  <c r="AT46" i="3"/>
  <c r="AT35" i="3"/>
  <c r="AR54" i="3"/>
  <c r="F16" i="1" s="1"/>
  <c r="AR32" i="3"/>
  <c r="D16" i="1" s="1"/>
  <c r="AR55" i="3"/>
  <c r="G16" i="1" s="1"/>
  <c r="AN61" i="3"/>
  <c r="J17" i="1" s="1"/>
  <c r="AN60" i="3"/>
  <c r="I17" i="1" s="1"/>
  <c r="N35" i="3"/>
  <c r="Z35" i="3"/>
  <c r="U35" i="3"/>
  <c r="AW55" i="3"/>
  <c r="G60" i="1" s="1"/>
  <c r="AW32" i="3"/>
  <c r="D60" i="1" s="1"/>
  <c r="AW54" i="3"/>
  <c r="F60" i="1" s="1"/>
  <c r="AA35" i="3"/>
  <c r="AX55" i="3"/>
  <c r="G57" i="1" s="1"/>
  <c r="AX32" i="3"/>
  <c r="D57" i="1" s="1"/>
  <c r="AX54" i="3"/>
  <c r="F57" i="1" s="1"/>
  <c r="P46" i="3"/>
  <c r="V46" i="3"/>
  <c r="BC15" i="2"/>
  <c r="BC19" i="3"/>
  <c r="BC40" i="3" s="1"/>
  <c r="AZ54" i="3"/>
  <c r="F24" i="1" s="1"/>
  <c r="AZ55" i="3"/>
  <c r="G24" i="1" s="1"/>
  <c r="E46" i="3"/>
  <c r="AC46" i="3"/>
  <c r="AQ63" i="3"/>
  <c r="AQ47" i="3"/>
  <c r="D40" i="3"/>
  <c r="D41" i="3" s="1"/>
  <c r="AB35" i="3"/>
  <c r="W46" i="3"/>
  <c r="C54" i="3"/>
  <c r="F61" i="1" s="1"/>
  <c r="AL13" i="2"/>
  <c r="AQ54" i="3"/>
  <c r="F11" i="1" s="1"/>
  <c r="AQ32" i="3"/>
  <c r="D11" i="1" s="1"/>
  <c r="BD6" i="3"/>
  <c r="F46" i="3"/>
  <c r="F35" i="3"/>
  <c r="R35" i="3"/>
  <c r="AD46" i="3"/>
  <c r="AR35" i="3"/>
  <c r="AC35" i="3"/>
  <c r="X46" i="3"/>
  <c r="AL8" i="2"/>
  <c r="AM11" i="3" s="1"/>
  <c r="AM34" i="3" s="1"/>
  <c r="AN13" i="2"/>
  <c r="AL16" i="2"/>
  <c r="C61" i="3"/>
  <c r="J61" i="1" s="1"/>
  <c r="C60" i="3"/>
  <c r="I61" i="1" s="1"/>
  <c r="G46" i="3"/>
  <c r="G35" i="3"/>
  <c r="S46" i="3"/>
  <c r="S35" i="3"/>
  <c r="AE46" i="3"/>
  <c r="AE35" i="3"/>
  <c r="AR37" i="3"/>
  <c r="AR38" i="3" s="1"/>
  <c r="J37" i="3"/>
  <c r="J38" i="3" s="1"/>
  <c r="F40" i="3"/>
  <c r="F41" i="3" s="1"/>
  <c r="AD35" i="3"/>
  <c r="AJ46" i="3"/>
  <c r="AN16" i="2"/>
  <c r="AT32" i="3"/>
  <c r="D54" i="1" s="1"/>
  <c r="AT55" i="3"/>
  <c r="G54" i="1" s="1"/>
  <c r="AT54" i="3"/>
  <c r="F54" i="1" s="1"/>
  <c r="AF54" i="3"/>
  <c r="F15" i="1" s="1"/>
  <c r="AF55" i="3"/>
  <c r="G15" i="1" s="1"/>
  <c r="AF32" i="3"/>
  <c r="D15" i="1" s="1"/>
  <c r="W61" i="3"/>
  <c r="J14" i="1" s="1"/>
  <c r="W60" i="3"/>
  <c r="I14" i="1" s="1"/>
  <c r="T46" i="3"/>
  <c r="T35" i="3"/>
  <c r="AF46" i="3"/>
  <c r="AF35" i="3"/>
  <c r="U40" i="3"/>
  <c r="U41" i="3" s="1"/>
  <c r="Z43" i="3"/>
  <c r="Z44" i="3" s="1"/>
  <c r="AL43" i="3"/>
  <c r="AL44" i="3" s="1"/>
  <c r="AX43" i="3"/>
  <c r="AX44" i="3" s="1"/>
  <c r="AO35" i="3"/>
  <c r="BC13" i="2"/>
  <c r="W54" i="3"/>
  <c r="F14" i="1" s="1"/>
  <c r="W55" i="3"/>
  <c r="G14" i="1" s="1"/>
  <c r="W32" i="3"/>
  <c r="D14" i="1" s="1"/>
  <c r="AV32" i="3"/>
  <c r="D28" i="1" s="1"/>
  <c r="AV55" i="3"/>
  <c r="G28" i="1" s="1"/>
  <c r="AV54" i="3"/>
  <c r="F28" i="1" s="1"/>
  <c r="AG54" i="3"/>
  <c r="F42" i="1" s="1"/>
  <c r="AG55" i="3"/>
  <c r="G42" i="1" s="1"/>
  <c r="AG32" i="3"/>
  <c r="D42" i="1" s="1"/>
  <c r="AE60" i="3"/>
  <c r="I18" i="1" s="1"/>
  <c r="AE61" i="3"/>
  <c r="J18" i="1" s="1"/>
  <c r="AV46" i="3"/>
  <c r="AV35" i="3"/>
  <c r="N43" i="3"/>
  <c r="N44" i="3" s="1"/>
  <c r="AA43" i="3"/>
  <c r="AA44" i="3" s="1"/>
  <c r="AM43" i="3"/>
  <c r="AM44" i="3" s="1"/>
  <c r="AY43" i="3"/>
  <c r="AY44" i="3" s="1"/>
  <c r="AZ32" i="3"/>
  <c r="D24" i="1" s="1"/>
  <c r="AG61" i="3"/>
  <c r="J42" i="1" s="1"/>
  <c r="AL14" i="2"/>
  <c r="BC16" i="2"/>
  <c r="AM6" i="3"/>
  <c r="AW34" i="3"/>
  <c r="H37" i="3"/>
  <c r="H38" i="3" s="1"/>
  <c r="C43" i="3"/>
  <c r="C44" i="3" s="1"/>
  <c r="O43" i="3"/>
  <c r="O44" i="3" s="1"/>
  <c r="AB43" i="3"/>
  <c r="AB44" i="3" s="1"/>
  <c r="AN43" i="3"/>
  <c r="AN44" i="3" s="1"/>
  <c r="AZ43" i="3"/>
  <c r="AZ44" i="3" s="1"/>
  <c r="AQ35" i="3"/>
  <c r="M58" i="3"/>
  <c r="L31" i="1" s="1"/>
  <c r="M32" i="3"/>
  <c r="D31" i="1" s="1"/>
  <c r="M57" i="3"/>
  <c r="K31" i="1" s="1"/>
  <c r="M51" i="3"/>
  <c r="Y58" i="3"/>
  <c r="L41" i="1" s="1"/>
  <c r="Y32" i="3"/>
  <c r="D41" i="1" s="1"/>
  <c r="Y57" i="3"/>
  <c r="K41" i="1" s="1"/>
  <c r="AK58" i="3"/>
  <c r="L52" i="1" s="1"/>
  <c r="AK52" i="3"/>
  <c r="AK32" i="3"/>
  <c r="D52" i="1" s="1"/>
  <c r="AK57" i="3"/>
  <c r="K52" i="1" s="1"/>
  <c r="AW58" i="3"/>
  <c r="L60" i="1" s="1"/>
  <c r="AW51" i="3"/>
  <c r="AW52" i="3"/>
  <c r="AN11" i="3"/>
  <c r="AN34" i="3" s="1"/>
  <c r="AN14" i="2"/>
  <c r="B23" i="2"/>
  <c r="C19" i="3" s="1"/>
  <c r="C40" i="3" s="1"/>
  <c r="AX34" i="3"/>
  <c r="C35" i="3"/>
  <c r="BB35" i="3"/>
  <c r="BA46" i="3"/>
  <c r="M52" i="3"/>
  <c r="AN54" i="3"/>
  <c r="F17" i="1" s="1"/>
  <c r="AO6" i="2"/>
  <c r="AP11" i="3" s="1"/>
  <c r="AP34" i="3" s="1"/>
  <c r="AN17" i="2"/>
  <c r="L34" i="3"/>
  <c r="AK34" i="3"/>
  <c r="AY34" i="3"/>
  <c r="D35" i="3"/>
  <c r="BC35" i="3"/>
  <c r="AL6" i="3"/>
  <c r="BC6" i="3"/>
  <c r="BB57" i="2"/>
  <c r="M34" i="3"/>
  <c r="Y34" i="3"/>
  <c r="AZ34" i="3"/>
  <c r="Q37" i="3"/>
  <c r="Q38" i="3" s="1"/>
  <c r="AS40" i="3"/>
  <c r="AS41" i="3" s="1"/>
  <c r="E35" i="3"/>
  <c r="F32" i="3"/>
  <c r="D46" i="1" s="1"/>
  <c r="AD32" i="3"/>
  <c r="D32" i="1" s="1"/>
  <c r="BB32" i="3"/>
  <c r="D9" i="1" s="1"/>
  <c r="AN51" i="3"/>
  <c r="BB51" i="3"/>
  <c r="AD52" i="3"/>
  <c r="D57" i="3"/>
  <c r="K22" i="1" s="1"/>
  <c r="V57" i="3"/>
  <c r="K48" i="1" s="1"/>
  <c r="Q58" i="3"/>
  <c r="L43" i="1" s="1"/>
  <c r="AH58" i="3"/>
  <c r="L23" i="1" s="1"/>
  <c r="BA58" i="3"/>
  <c r="L39" i="1" s="1"/>
  <c r="AO51" i="3"/>
  <c r="Q52" i="3"/>
  <c r="E57" i="3"/>
  <c r="K20" i="1" s="1"/>
  <c r="BA57" i="3"/>
  <c r="K39" i="1" s="1"/>
  <c r="R58" i="3"/>
  <c r="L47" i="1" s="1"/>
  <c r="BB58" i="3"/>
  <c r="L9" i="1" s="1"/>
  <c r="AP51" i="3"/>
  <c r="R52" i="3"/>
  <c r="F57" i="3"/>
  <c r="K46" i="1" s="1"/>
  <c r="BB57" i="3"/>
  <c r="K9" i="1" s="1"/>
  <c r="AC51" i="3"/>
  <c r="AQ51" i="3"/>
  <c r="E52" i="3"/>
  <c r="S52" i="3"/>
  <c r="J57" i="3"/>
  <c r="K35" i="1" s="1"/>
  <c r="AN57" i="3"/>
  <c r="K17" i="1" s="1"/>
  <c r="AN58" i="3"/>
  <c r="L17" i="1" s="1"/>
  <c r="H58" i="3"/>
  <c r="L58" i="1" s="1"/>
  <c r="H57" i="3"/>
  <c r="K58" i="1" s="1"/>
  <c r="H51" i="3"/>
  <c r="T58" i="3"/>
  <c r="L37" i="1" s="1"/>
  <c r="T57" i="3"/>
  <c r="K37" i="1" s="1"/>
  <c r="T51" i="3"/>
  <c r="AF58" i="3"/>
  <c r="L15" i="1" s="1"/>
  <c r="AF57" i="3"/>
  <c r="K15" i="1" s="1"/>
  <c r="AF51" i="3"/>
  <c r="AR58" i="3"/>
  <c r="L16" i="1" s="1"/>
  <c r="AR57" i="3"/>
  <c r="K16" i="1" s="1"/>
  <c r="AR51" i="3"/>
  <c r="BD58" i="3"/>
  <c r="L49" i="1" s="1"/>
  <c r="BD57" i="3"/>
  <c r="K49" i="1" s="1"/>
  <c r="BD51" i="3"/>
  <c r="AD51" i="3"/>
  <c r="AT51" i="3"/>
  <c r="F52" i="3"/>
  <c r="T52" i="3"/>
  <c r="AH52" i="3"/>
  <c r="AO57" i="3"/>
  <c r="K27" i="1" s="1"/>
  <c r="E58" i="3"/>
  <c r="L20" i="1" s="1"/>
  <c r="V58" i="3"/>
  <c r="L48" i="1" s="1"/>
  <c r="AF61" i="3"/>
  <c r="J15" i="1" s="1"/>
  <c r="AF60" i="3"/>
  <c r="I15" i="1" s="1"/>
  <c r="I57" i="3"/>
  <c r="K36" i="1" s="1"/>
  <c r="I51" i="3"/>
  <c r="U57" i="3"/>
  <c r="K30" i="1" s="1"/>
  <c r="U51" i="3"/>
  <c r="AG57" i="3"/>
  <c r="K42" i="1" s="1"/>
  <c r="AG51" i="3"/>
  <c r="AS57" i="3"/>
  <c r="K59" i="1" s="1"/>
  <c r="AS51" i="3"/>
  <c r="AE51" i="3"/>
  <c r="G52" i="3"/>
  <c r="U52" i="3"/>
  <c r="AP57" i="3"/>
  <c r="K34" i="1" s="1"/>
  <c r="F58" i="3"/>
  <c r="L46" i="1" s="1"/>
  <c r="V52" i="3"/>
  <c r="AB57" i="3"/>
  <c r="K33" i="1" s="1"/>
  <c r="AT57" i="3"/>
  <c r="K54" i="1" s="1"/>
  <c r="G58" i="3"/>
  <c r="L13" i="1" s="1"/>
  <c r="X58" i="3"/>
  <c r="L44" i="1" s="1"/>
  <c r="AQ58" i="3"/>
  <c r="L11" i="1" s="1"/>
  <c r="AL60" i="3"/>
  <c r="I26" i="1" s="1"/>
  <c r="AL61" i="3"/>
  <c r="J26" i="1" s="1"/>
  <c r="S51" i="3"/>
  <c r="I52" i="3"/>
  <c r="AC57" i="3"/>
  <c r="K21" i="1" s="1"/>
  <c r="I58" i="3"/>
  <c r="L36" i="1" s="1"/>
  <c r="AS58" i="3"/>
  <c r="L59" i="1" s="1"/>
  <c r="J52" i="3"/>
  <c r="N52" i="3"/>
  <c r="Z52" i="3"/>
  <c r="AL52" i="3"/>
  <c r="AX52" i="3"/>
  <c r="C52" i="3"/>
  <c r="O52" i="3"/>
  <c r="AA52" i="3"/>
  <c r="AM52" i="3"/>
  <c r="AY52" i="3"/>
  <c r="AM35" i="3" l="1"/>
  <c r="C41" i="3"/>
  <c r="C46" i="3"/>
  <c r="AL46" i="3"/>
  <c r="AL35" i="3"/>
  <c r="AP46" i="3"/>
  <c r="AP35" i="3"/>
  <c r="BC41" i="3"/>
  <c r="BC46" i="3"/>
  <c r="AN35" i="3"/>
  <c r="AN46" i="3"/>
  <c r="AW46" i="3"/>
  <c r="AW35" i="3"/>
  <c r="AJ63" i="3"/>
  <c r="AJ47" i="3"/>
  <c r="AE63" i="3"/>
  <c r="AE47" i="3"/>
  <c r="F47" i="3"/>
  <c r="F63" i="3"/>
  <c r="AZ35" i="3"/>
  <c r="AZ46" i="3"/>
  <c r="E47" i="3"/>
  <c r="E63" i="3"/>
  <c r="M35" i="3"/>
  <c r="M46" i="3"/>
  <c r="AM55" i="3"/>
  <c r="G10" i="1" s="1"/>
  <c r="AM54" i="3"/>
  <c r="F10" i="1" s="1"/>
  <c r="AM32" i="3"/>
  <c r="D10" i="1" s="1"/>
  <c r="AV47" i="3"/>
  <c r="AV63" i="3"/>
  <c r="BD15" i="3"/>
  <c r="BD37" i="3" s="1"/>
  <c r="T63" i="3"/>
  <c r="T47" i="3"/>
  <c r="BD54" i="3"/>
  <c r="F49" i="1" s="1"/>
  <c r="BD32" i="3"/>
  <c r="D49" i="1" s="1"/>
  <c r="BD55" i="3"/>
  <c r="G49" i="1" s="1"/>
  <c r="BB68" i="3"/>
  <c r="E9" i="1"/>
  <c r="H46" i="3"/>
  <c r="K47" i="3"/>
  <c r="K63" i="3"/>
  <c r="L35" i="3"/>
  <c r="L46" i="3"/>
  <c r="Q24" i="2"/>
  <c r="Q23" i="2"/>
  <c r="Q22" i="2"/>
  <c r="Q21" i="2"/>
  <c r="Q20" i="2"/>
  <c r="BC54" i="3"/>
  <c r="F12" i="1" s="1"/>
  <c r="BC32" i="3"/>
  <c r="D12" i="1" s="1"/>
  <c r="BC55" i="3"/>
  <c r="G12" i="1" s="1"/>
  <c r="S63" i="3"/>
  <c r="S47" i="3"/>
  <c r="AK35" i="3"/>
  <c r="AK46" i="3"/>
  <c r="AX46" i="3"/>
  <c r="AX35" i="3"/>
  <c r="AF63" i="3"/>
  <c r="AF47" i="3"/>
  <c r="AL55" i="3"/>
  <c r="G26" i="1" s="1"/>
  <c r="AL32" i="3"/>
  <c r="D26" i="1" s="1"/>
  <c r="AL54" i="3"/>
  <c r="F26" i="1" s="1"/>
  <c r="V63" i="3"/>
  <c r="V47" i="3"/>
  <c r="AB46" i="3"/>
  <c r="Z46" i="3"/>
  <c r="AI63" i="3"/>
  <c r="AI47" i="3"/>
  <c r="G63" i="3"/>
  <c r="G47" i="3"/>
  <c r="AM15" i="3"/>
  <c r="AM37" i="3" s="1"/>
  <c r="AM38" i="3" s="1"/>
  <c r="P63" i="3"/>
  <c r="P47" i="3"/>
  <c r="U46" i="3"/>
  <c r="I63" i="3"/>
  <c r="I47" i="3"/>
  <c r="AS63" i="3"/>
  <c r="AS47" i="3"/>
  <c r="Y35" i="3"/>
  <c r="Y46" i="3"/>
  <c r="BA47" i="3"/>
  <c r="BA63" i="3"/>
  <c r="AQ68" i="3"/>
  <c r="E11" i="1"/>
  <c r="D46" i="3"/>
  <c r="N46" i="3"/>
  <c r="AT47" i="3"/>
  <c r="AT63" i="3"/>
  <c r="AY46" i="3"/>
  <c r="AY35" i="3"/>
  <c r="X47" i="3"/>
  <c r="X63" i="3"/>
  <c r="W63" i="3"/>
  <c r="W47" i="3"/>
  <c r="J46" i="3"/>
  <c r="AR46" i="3"/>
  <c r="AC63" i="3"/>
  <c r="AC47" i="3"/>
  <c r="AA46" i="3"/>
  <c r="AG63" i="3"/>
  <c r="AG47" i="3"/>
  <c r="AO15" i="3"/>
  <c r="AO37" i="3" s="1"/>
  <c r="AD63" i="3"/>
  <c r="AD47" i="3"/>
  <c r="Q46" i="3"/>
  <c r="O46" i="3"/>
  <c r="AH63" i="3"/>
  <c r="AH47" i="3"/>
  <c r="AU47" i="3"/>
  <c r="AU63" i="3"/>
  <c r="P68" i="3" l="1"/>
  <c r="E51" i="1"/>
  <c r="H63" i="3"/>
  <c r="H47" i="3"/>
  <c r="F68" i="3"/>
  <c r="E46" i="1"/>
  <c r="AS68" i="3"/>
  <c r="E59" i="1"/>
  <c r="D63" i="3"/>
  <c r="D47" i="3"/>
  <c r="N63" i="3"/>
  <c r="N47" i="3"/>
  <c r="AE68" i="3"/>
  <c r="E18" i="1"/>
  <c r="AJ68" i="3"/>
  <c r="E29" i="1"/>
  <c r="AP63" i="3"/>
  <c r="AP47" i="3"/>
  <c r="AA63" i="3"/>
  <c r="AA47" i="3"/>
  <c r="BB67" i="3"/>
  <c r="BB66" i="3"/>
  <c r="R6" i="3"/>
  <c r="R19" i="3"/>
  <c r="R40" i="3" s="1"/>
  <c r="Q63" i="3"/>
  <c r="Q47" i="3"/>
  <c r="AO38" i="3"/>
  <c r="AO46" i="3"/>
  <c r="AR63" i="3"/>
  <c r="AR47" i="3"/>
  <c r="AQ67" i="3"/>
  <c r="AQ66" i="3"/>
  <c r="L63" i="3"/>
  <c r="L47" i="3"/>
  <c r="AI68" i="3"/>
  <c r="E45" i="1"/>
  <c r="X68" i="3"/>
  <c r="E44" i="1"/>
  <c r="T68" i="3"/>
  <c r="E37" i="1"/>
  <c r="AL63" i="3"/>
  <c r="AL47" i="3"/>
  <c r="BA68" i="3"/>
  <c r="E39" i="1"/>
  <c r="O63" i="3"/>
  <c r="O47" i="3"/>
  <c r="Y47" i="3"/>
  <c r="Y63" i="3"/>
  <c r="AK63" i="3"/>
  <c r="AK47" i="3"/>
  <c r="BC63" i="3"/>
  <c r="BC47" i="3"/>
  <c r="AC68" i="3"/>
  <c r="E21" i="1"/>
  <c r="G68" i="3"/>
  <c r="E13" i="1"/>
  <c r="AQ65" i="3"/>
  <c r="I68" i="3"/>
  <c r="E36" i="1"/>
  <c r="S68" i="3"/>
  <c r="E25" i="1"/>
  <c r="BB65" i="3"/>
  <c r="Z63" i="3"/>
  <c r="Z47" i="3"/>
  <c r="AF68" i="3"/>
  <c r="E15" i="1"/>
  <c r="E20" i="1"/>
  <c r="E68" i="3"/>
  <c r="C63" i="3"/>
  <c r="C47" i="3"/>
  <c r="U63" i="3"/>
  <c r="U47" i="3"/>
  <c r="M63" i="3"/>
  <c r="M47" i="3"/>
  <c r="AU68" i="3"/>
  <c r="E50" i="1"/>
  <c r="J47" i="3"/>
  <c r="J63" i="3"/>
  <c r="AY47" i="3"/>
  <c r="AY63" i="3"/>
  <c r="AB63" i="3"/>
  <c r="AB47" i="3"/>
  <c r="BD38" i="3"/>
  <c r="BD46" i="3"/>
  <c r="W68" i="3"/>
  <c r="E14" i="1"/>
  <c r="AT68" i="3"/>
  <c r="E54" i="1"/>
  <c r="AX63" i="3"/>
  <c r="AX47" i="3"/>
  <c r="AN63" i="3"/>
  <c r="AN47" i="3"/>
  <c r="AD68" i="3"/>
  <c r="E32" i="1"/>
  <c r="AG68" i="3"/>
  <c r="E42" i="1"/>
  <c r="AH68" i="3"/>
  <c r="E23" i="1"/>
  <c r="V68" i="3"/>
  <c r="E48" i="1"/>
  <c r="K68" i="3"/>
  <c r="E53" i="1"/>
  <c r="AZ47" i="3"/>
  <c r="AZ63" i="3"/>
  <c r="AW47" i="3"/>
  <c r="AW63" i="3"/>
  <c r="AV68" i="3"/>
  <c r="E28" i="1"/>
  <c r="AM46" i="3"/>
  <c r="AR68" i="3" l="1"/>
  <c r="E16" i="1"/>
  <c r="AA68" i="3"/>
  <c r="E55" i="1"/>
  <c r="D68" i="3"/>
  <c r="E22" i="1"/>
  <c r="AH66" i="3"/>
  <c r="AH67" i="3"/>
  <c r="AH65" i="3"/>
  <c r="AV66" i="3"/>
  <c r="AV67" i="3"/>
  <c r="AV65" i="3"/>
  <c r="BD63" i="3"/>
  <c r="BD47" i="3"/>
  <c r="T67" i="3"/>
  <c r="T66" i="3"/>
  <c r="T65" i="3"/>
  <c r="AO63" i="3"/>
  <c r="AO47" i="3"/>
  <c r="AP68" i="3"/>
  <c r="E34" i="1"/>
  <c r="BC68" i="3"/>
  <c r="E12" i="1"/>
  <c r="AS66" i="3"/>
  <c r="AS67" i="3"/>
  <c r="AS65" i="3"/>
  <c r="AL68" i="3"/>
  <c r="E26" i="1"/>
  <c r="S67" i="3"/>
  <c r="S66" i="3"/>
  <c r="S65" i="3"/>
  <c r="I67" i="3"/>
  <c r="I66" i="3"/>
  <c r="I65" i="3"/>
  <c r="X67" i="3"/>
  <c r="X65" i="3"/>
  <c r="X66" i="3"/>
  <c r="AZ68" i="3"/>
  <c r="E24" i="1"/>
  <c r="E66" i="3"/>
  <c r="E67" i="3"/>
  <c r="E65" i="3"/>
  <c r="Q68" i="3"/>
  <c r="E43" i="1"/>
  <c r="AJ67" i="3"/>
  <c r="AJ65" i="3"/>
  <c r="AJ66" i="3"/>
  <c r="F67" i="3"/>
  <c r="F66" i="3"/>
  <c r="F65" i="3"/>
  <c r="AX68" i="3"/>
  <c r="E57" i="1"/>
  <c r="Y68" i="3"/>
  <c r="E41" i="1"/>
  <c r="H68" i="3"/>
  <c r="E58" i="1"/>
  <c r="M68" i="3"/>
  <c r="E31" i="1"/>
  <c r="O68" i="3"/>
  <c r="E40" i="1"/>
  <c r="AI66" i="3"/>
  <c r="AI67" i="3"/>
  <c r="AI65" i="3"/>
  <c r="R41" i="3"/>
  <c r="R46" i="3"/>
  <c r="AE66" i="3"/>
  <c r="AE67" i="3"/>
  <c r="AE65" i="3"/>
  <c r="AF66" i="3"/>
  <c r="AF67" i="3"/>
  <c r="AF65" i="3"/>
  <c r="G67" i="3"/>
  <c r="G66" i="3"/>
  <c r="G65" i="3"/>
  <c r="L68" i="3"/>
  <c r="E19" i="1"/>
  <c r="R54" i="3"/>
  <c r="F47" i="1" s="1"/>
  <c r="R55" i="3"/>
  <c r="G47" i="1" s="1"/>
  <c r="R32" i="3"/>
  <c r="D47" i="1" s="1"/>
  <c r="N68" i="3"/>
  <c r="E38" i="1"/>
  <c r="AD67" i="3"/>
  <c r="AD66" i="3"/>
  <c r="AD65" i="3"/>
  <c r="C68" i="3"/>
  <c r="E61" i="1"/>
  <c r="AN68" i="3"/>
  <c r="E17" i="1"/>
  <c r="AY68" i="3"/>
  <c r="E62" i="1"/>
  <c r="K67" i="3"/>
  <c r="K66" i="3"/>
  <c r="K65" i="3"/>
  <c r="Z68" i="3"/>
  <c r="E56" i="1"/>
  <c r="P67" i="3"/>
  <c r="P66" i="3"/>
  <c r="P65" i="3"/>
  <c r="W67" i="3"/>
  <c r="W65" i="3"/>
  <c r="W66" i="3"/>
  <c r="AG67" i="3"/>
  <c r="AG66" i="3"/>
  <c r="AG65" i="3"/>
  <c r="U68" i="3"/>
  <c r="E30" i="1"/>
  <c r="AK68" i="3"/>
  <c r="E52" i="1"/>
  <c r="AW68" i="3"/>
  <c r="E60" i="1"/>
  <c r="AB68" i="3"/>
  <c r="E33" i="1"/>
  <c r="J68" i="3"/>
  <c r="E35" i="1"/>
  <c r="AM47" i="3"/>
  <c r="AM63" i="3"/>
  <c r="V66" i="3"/>
  <c r="V65" i="3"/>
  <c r="V67" i="3"/>
  <c r="AT66" i="3"/>
  <c r="AT67" i="3"/>
  <c r="AT65" i="3"/>
  <c r="AU66" i="3"/>
  <c r="AU67" i="3"/>
  <c r="AU65" i="3"/>
  <c r="AC66" i="3"/>
  <c r="AC67" i="3"/>
  <c r="AC65" i="3"/>
  <c r="BA67" i="3"/>
  <c r="BA66" i="3"/>
  <c r="BA65" i="3"/>
  <c r="AP67" i="3" l="1"/>
  <c r="AP66" i="3"/>
  <c r="AP65" i="3"/>
  <c r="H67" i="3"/>
  <c r="H66" i="3"/>
  <c r="H65" i="3"/>
  <c r="Q65" i="3"/>
  <c r="Q67" i="3"/>
  <c r="Q66" i="3"/>
  <c r="E27" i="1"/>
  <c r="AO68" i="3"/>
  <c r="AY66" i="3"/>
  <c r="AY67" i="3"/>
  <c r="AY65" i="3"/>
  <c r="R63" i="3"/>
  <c r="R47" i="3"/>
  <c r="Y67" i="3"/>
  <c r="Y66" i="3"/>
  <c r="Y65" i="3"/>
  <c r="D66" i="3"/>
  <c r="D67" i="3"/>
  <c r="D65" i="3"/>
  <c r="U66" i="3"/>
  <c r="U67" i="3"/>
  <c r="U65" i="3"/>
  <c r="BC66" i="3"/>
  <c r="BC67" i="3"/>
  <c r="BC65" i="3"/>
  <c r="AM68" i="3"/>
  <c r="E10" i="1"/>
  <c r="AN66" i="3"/>
  <c r="AN67" i="3"/>
  <c r="AN65" i="3"/>
  <c r="Z66" i="3"/>
  <c r="Z65" i="3"/>
  <c r="Z67" i="3"/>
  <c r="O65" i="3"/>
  <c r="O66" i="3"/>
  <c r="O67" i="3"/>
  <c r="AW67" i="3"/>
  <c r="AW66" i="3"/>
  <c r="AW65" i="3"/>
  <c r="L67" i="3"/>
  <c r="L66" i="3"/>
  <c r="L65" i="3"/>
  <c r="AX66" i="3"/>
  <c r="AX67" i="3"/>
  <c r="AX65" i="3"/>
  <c r="AL66" i="3"/>
  <c r="AL67" i="3"/>
  <c r="AL65" i="3"/>
  <c r="AA66" i="3"/>
  <c r="AA65" i="3"/>
  <c r="AA67" i="3"/>
  <c r="AK67" i="3"/>
  <c r="AK66" i="3"/>
  <c r="AK65" i="3"/>
  <c r="AZ66" i="3"/>
  <c r="AZ67" i="3"/>
  <c r="AZ65" i="3"/>
  <c r="BD68" i="3"/>
  <c r="E49" i="1"/>
  <c r="M67" i="3"/>
  <c r="M66" i="3"/>
  <c r="M65" i="3"/>
  <c r="N66" i="3"/>
  <c r="N65" i="3"/>
  <c r="N67" i="3"/>
  <c r="J67" i="3"/>
  <c r="J65" i="3"/>
  <c r="J66" i="3"/>
  <c r="AB66" i="3"/>
  <c r="AB67" i="3"/>
  <c r="AB65" i="3"/>
  <c r="C66" i="3"/>
  <c r="C67" i="3"/>
  <c r="C65" i="3"/>
  <c r="AR67" i="3"/>
  <c r="AR66" i="3"/>
  <c r="AR65" i="3"/>
  <c r="AO67" i="3" l="1"/>
  <c r="AO65" i="3"/>
  <c r="AO66" i="3"/>
  <c r="AM67" i="3"/>
  <c r="AM66" i="3"/>
  <c r="AM65" i="3"/>
  <c r="R68" i="3"/>
  <c r="E47" i="1"/>
  <c r="BD67" i="3"/>
  <c r="BD65" i="3"/>
  <c r="BD66" i="3"/>
  <c r="R67" i="3" l="1"/>
  <c r="R66" i="3"/>
  <c r="R65" i="3"/>
</calcChain>
</file>

<file path=xl/sharedStrings.xml><?xml version="1.0" encoding="utf-8"?>
<sst xmlns="http://schemas.openxmlformats.org/spreadsheetml/2006/main" count="1721" uniqueCount="377">
  <si>
    <t>Data collection</t>
  </si>
  <si>
    <t>The data below is the data used to determine the output of each feature. Notes included</t>
  </si>
  <si>
    <t>Input numbers that come from the data tab</t>
  </si>
  <si>
    <t>LIQUID AND GRIT'S ECONOMY SPREADSHEET</t>
  </si>
  <si>
    <t>Feature</t>
  </si>
  <si>
    <t>Huuuge Casino</t>
  </si>
  <si>
    <t>DoubleDown</t>
  </si>
  <si>
    <t>Big Fish Casino</t>
  </si>
  <si>
    <t>GSN Casino</t>
  </si>
  <si>
    <t>Heart of Vegas</t>
  </si>
  <si>
    <t>House of Fun</t>
  </si>
  <si>
    <t>Jackpot Party</t>
  </si>
  <si>
    <t>DoubleU Casino</t>
  </si>
  <si>
    <t>Wizard of Oz</t>
  </si>
  <si>
    <t>Hit It Rich</t>
  </si>
  <si>
    <t>Slotomania</t>
  </si>
  <si>
    <t>Gold Fish HD</t>
  </si>
  <si>
    <t>Quick Hit Slots</t>
  </si>
  <si>
    <t>Caesars Slots</t>
  </si>
  <si>
    <t>Wonka Slots</t>
  </si>
  <si>
    <t>my KONAMI</t>
  </si>
  <si>
    <t>Black Diamond Slots</t>
  </si>
  <si>
    <t>Ellen’s Road to Riches</t>
  </si>
  <si>
    <t>Jackpot Magic Slots</t>
  </si>
  <si>
    <t>myVEGAS</t>
  </si>
  <si>
    <t>Scatter Slots</t>
  </si>
  <si>
    <t>Viva Slots Las Vegas</t>
  </si>
  <si>
    <t>Infinity Slots</t>
  </si>
  <si>
    <t>POP! Slots</t>
  </si>
  <si>
    <t>High 5 Casino</t>
  </si>
  <si>
    <t>Hot Shot Casino</t>
  </si>
  <si>
    <t>Jackpotjoy Slots</t>
  </si>
  <si>
    <t>Pharaoh's Way</t>
  </si>
  <si>
    <t>Slot Bonanza HD</t>
  </si>
  <si>
    <t>Slots Era</t>
  </si>
  <si>
    <t>Xtreme Slots</t>
  </si>
  <si>
    <t>Old Vegas</t>
  </si>
  <si>
    <t>88 Fortune Slots</t>
  </si>
  <si>
    <t>Cashman Casino</t>
  </si>
  <si>
    <t>Spin to Win Slots</t>
  </si>
  <si>
    <t>Bingo Bash</t>
  </si>
  <si>
    <t>Bingo Blitz</t>
  </si>
  <si>
    <t>Bingo Party</t>
  </si>
  <si>
    <t>Monopoly Bingo</t>
  </si>
  <si>
    <t>Bingo Showdown</t>
  </si>
  <si>
    <t>Bingo Pop</t>
  </si>
  <si>
    <t>Bingo Drive</t>
  </si>
  <si>
    <t>WSOP</t>
  </si>
  <si>
    <t>Zynga - Texas Holdem</t>
  </si>
  <si>
    <t>Poker Heat</t>
  </si>
  <si>
    <t>Scatter HoldEm Poker</t>
  </si>
  <si>
    <t>Fresh Deck</t>
  </si>
  <si>
    <t>Pokerist</t>
  </si>
  <si>
    <t>Texas Holdem</t>
  </si>
  <si>
    <t>Slots on Tour</t>
  </si>
  <si>
    <t>Monopoly Slots</t>
  </si>
  <si>
    <t>Lightning Link Casino</t>
  </si>
  <si>
    <t>Bingoscapes</t>
  </si>
  <si>
    <t>Coin Master</t>
  </si>
  <si>
    <t>Primary bonus amount</t>
  </si>
  <si>
    <t>Daily Spin</t>
  </si>
  <si>
    <t>This spreadsheet includes the economy analysis for many of the top apps</t>
  </si>
  <si>
    <t>Inbox Free Coins</t>
  </si>
  <si>
    <t>Daily Stamp</t>
  </si>
  <si>
    <t>Daily Streak Amount</t>
  </si>
  <si>
    <t>Daily Streak Award</t>
  </si>
  <si>
    <t>Lotto Bonus</t>
  </si>
  <si>
    <t>Daily Catch w/FB</t>
  </si>
  <si>
    <t>Daily Lotto</t>
  </si>
  <si>
    <t>Coin Store</t>
  </si>
  <si>
    <t>Daily Bonus Streak</t>
  </si>
  <si>
    <t>Super Bonus</t>
  </si>
  <si>
    <t>Lobby Coin Bonus</t>
  </si>
  <si>
    <t>Read Bonus</t>
  </si>
  <si>
    <t>Daily Bonus</t>
  </si>
  <si>
    <t>Daily Spin Bonus</t>
  </si>
  <si>
    <t>Lucky Spin</t>
  </si>
  <si>
    <t>Coin Store Bonus</t>
  </si>
  <si>
    <t>Bonus Wheel</t>
  </si>
  <si>
    <t>Daily Bonus Spin</t>
  </si>
  <si>
    <t>Daily w/return bonus</t>
  </si>
  <si>
    <t>Daily Jackpot Wheel</t>
  </si>
  <si>
    <t>Daily Reward</t>
  </si>
  <si>
    <t>Category</t>
  </si>
  <si>
    <t>Daily Rewards (NU only)</t>
  </si>
  <si>
    <t>Lucky Bonus</t>
  </si>
  <si>
    <t>Daily Reveiw</t>
  </si>
  <si>
    <t>Hold &amp; Spin Bonus</t>
  </si>
  <si>
    <t>Daily Gifts</t>
  </si>
  <si>
    <t>Number</t>
  </si>
  <si>
    <t>Notes</t>
  </si>
  <si>
    <t>Hours players can play and collect per day</t>
  </si>
  <si>
    <t>Adjust this number based on the engagement of the player group</t>
  </si>
  <si>
    <t>42000 Coins, 20 Shields</t>
  </si>
  <si>
    <t>Starting Balance (Explained)</t>
  </si>
  <si>
    <t>Vlookup number</t>
  </si>
  <si>
    <t>100,000 Coins, 1 Bronze Ticket</t>
  </si>
  <si>
    <t>1000000 Chips</t>
  </si>
  <si>
    <t>496000 Coins, 15 Shields</t>
  </si>
  <si>
    <t>100000 Chips</t>
  </si>
  <si>
    <t>12500 Coins</t>
  </si>
  <si>
    <t>2000000 Coins</t>
  </si>
  <si>
    <t>1000 Coins</t>
  </si>
  <si>
    <t>6000000 Coins</t>
  </si>
  <si>
    <t>1000000 Coins</t>
  </si>
  <si>
    <t>20000000 Coins</t>
  </si>
  <si>
    <t>1520000 Coins</t>
  </si>
  <si>
    <t>10000 Coins</t>
  </si>
  <si>
    <t>7000000 Coins</t>
  </si>
  <si>
    <t>3000000 Coins</t>
  </si>
  <si>
    <t>40000 Coins</t>
  </si>
  <si>
    <t>1800000 Coins</t>
  </si>
  <si>
    <t>100000 Chips, 6 Tickets</t>
  </si>
  <si>
    <t>5000000 Coins</t>
  </si>
  <si>
    <t>50000 Chips, 100 Loyalty Points</t>
  </si>
  <si>
    <t>12,000,000 Coins, 50 Gems</t>
  </si>
  <si>
    <t>73500 Coins, 20 Shields</t>
  </si>
  <si>
    <t>ID</t>
  </si>
  <si>
    <t>2000 Coins</t>
  </si>
  <si>
    <t>30000 Chips, 100 Loyalty Points</t>
  </si>
  <si>
    <t>1400000 Coins</t>
  </si>
  <si>
    <t>323250 Coins</t>
  </si>
  <si>
    <t>150 Coins, 10 Gems, 1,000 Black Diamonds</t>
  </si>
  <si>
    <t>10,000 Coins, 3 Diamonds</t>
  </si>
  <si>
    <t>15000 Coins</t>
  </si>
  <si>
    <t>200000 Coins</t>
  </si>
  <si>
    <t>2,500 Coins, 24 Bingo Chips, 25 Boosts</t>
  </si>
  <si>
    <t>5,000 coins, 50 Bingo Chips, 30 Power Ups</t>
  </si>
  <si>
    <t>Game</t>
  </si>
  <si>
    <t>85800 Coins, 25 Sheilds</t>
  </si>
  <si>
    <t>500 BingoTickets, 30Boosts</t>
  </si>
  <si>
    <t>2,000 Money, 20 Gems, 30 Dice</t>
  </si>
  <si>
    <t>12 Tickets, 16 Boosts</t>
  </si>
  <si>
    <t>68 Cherries, 17,500 Coins</t>
  </si>
  <si>
    <t>50 credits, 5000 coins, and 23 power ups</t>
  </si>
  <si>
    <t>250,000 Chips</t>
  </si>
  <si>
    <t>80,000 Chips, 5 gold coins</t>
  </si>
  <si>
    <t>15,000 Chips</t>
  </si>
  <si>
    <t>1,000,000 Coins, 20 Gems</t>
  </si>
  <si>
    <t>95,000 Chips</t>
  </si>
  <si>
    <t>5,000 Chips, 10 Gold Coins</t>
  </si>
  <si>
    <t>800 Chips</t>
  </si>
  <si>
    <t>4,000,000 Coins, 200 Gems</t>
  </si>
  <si>
    <t>Type</t>
  </si>
  <si>
    <t>New User Balance</t>
  </si>
  <si>
    <t>Daily Free Value</t>
  </si>
  <si>
    <t>Default Tuning</t>
  </si>
  <si>
    <t>Minimum Tuning</t>
  </si>
  <si>
    <t>Currency Conversion</t>
  </si>
  <si>
    <t xml:space="preserve">400,000 Coins, 10 Bucks </t>
  </si>
  <si>
    <t>105600 Coins, 30 Sheilds</t>
  </si>
  <si>
    <t>10,000,000 Chips</t>
  </si>
  <si>
    <t>500 Bucks, 50 Power ups</t>
  </si>
  <si>
    <t>75,000 coins, 8 spins</t>
  </si>
  <si>
    <t>New User Value</t>
  </si>
  <si>
    <t>$1 Props (Default Bet)</t>
  </si>
  <si>
    <t>$1 Props (Min Bet)</t>
  </si>
  <si>
    <t>Default Bet</t>
  </si>
  <si>
    <t>Minimum Bet</t>
  </si>
  <si>
    <t>Slots</t>
  </si>
  <si>
    <t>Secondary coin bonus</t>
  </si>
  <si>
    <t>Coin Shop</t>
  </si>
  <si>
    <t>N/A</t>
  </si>
  <si>
    <t>Gold Vault - L15/T1</t>
  </si>
  <si>
    <t>Instant Deal</t>
  </si>
  <si>
    <t>Coin Bonus</t>
  </si>
  <si>
    <t>Wheel of Fun</t>
  </si>
  <si>
    <t>Bonus</t>
  </si>
  <si>
    <t>Mystery Box</t>
  </si>
  <si>
    <t>Monthly Magic Bonus</t>
  </si>
  <si>
    <t>Bonus Spin w/o Streak</t>
  </si>
  <si>
    <t>Store Bonus</t>
  </si>
  <si>
    <t>Mega Bonus</t>
  </si>
  <si>
    <t>Bonus Spin</t>
  </si>
  <si>
    <t>Legacy Bonus</t>
  </si>
  <si>
    <t>Monthly Morsels</t>
  </si>
  <si>
    <t>Daily Inbox Gift</t>
  </si>
  <si>
    <t>Daily Streak Bonus</t>
  </si>
  <si>
    <t>XP Boost</t>
  </si>
  <si>
    <t>Mitzy Gift</t>
  </si>
  <si>
    <t>Hourly Bonus</t>
  </si>
  <si>
    <t>Mega Bonus - Skill Game</t>
  </si>
  <si>
    <t>Collect Bonus</t>
  </si>
  <si>
    <t>Bonus Coins</t>
  </si>
  <si>
    <t>CoinBonus</t>
  </si>
  <si>
    <t>Inbox Retention Gifts</t>
  </si>
  <si>
    <t>Xtreme Bonus</t>
  </si>
  <si>
    <t>Turbo Reward</t>
  </si>
  <si>
    <t>Daily Bonus Wheel</t>
  </si>
  <si>
    <t>Daily Collect</t>
  </si>
  <si>
    <t>Sctatcher - level 10</t>
  </si>
  <si>
    <t>Return Bonus</t>
  </si>
  <si>
    <t>Welcome Back</t>
  </si>
  <si>
    <t>Mega Bonus Wheel</t>
  </si>
  <si>
    <t>Free Daily Spin</t>
  </si>
  <si>
    <t>Hourly Spin &amp; Win</t>
  </si>
  <si>
    <t>Income</t>
  </si>
  <si>
    <t>Free Bonus</t>
  </si>
  <si>
    <t>Spins</t>
  </si>
  <si>
    <t>-</t>
  </si>
  <si>
    <t>Bingo</t>
  </si>
  <si>
    <t>New User Currency Balance</t>
  </si>
  <si>
    <t>Primary bonuses awarded / day</t>
  </si>
  <si>
    <t>Tertiary coin bonus</t>
  </si>
  <si>
    <t>Lottery</t>
  </si>
  <si>
    <t>Sliver Vault</t>
  </si>
  <si>
    <t>Lucky Wheel</t>
  </si>
  <si>
    <t>Bonus w/o Streak</t>
  </si>
  <si>
    <t>Bonus Tickets</t>
  </si>
  <si>
    <t>Bonus Gems</t>
  </si>
  <si>
    <t>Silver Vault</t>
  </si>
  <si>
    <t>Chip Bonus</t>
  </si>
  <si>
    <t>Bonanza Wheel</t>
  </si>
  <si>
    <t>Instant Reward</t>
  </si>
  <si>
    <t>Lobby Coins</t>
  </si>
  <si>
    <t>Lobby Bonus</t>
  </si>
  <si>
    <t>Special Bonus</t>
  </si>
  <si>
    <t>Lobby Chips</t>
  </si>
  <si>
    <t>Daily Gifts (add'l)</t>
  </si>
  <si>
    <t>Amount collected time set time period</t>
  </si>
  <si>
    <t>Other bonus</t>
  </si>
  <si>
    <t>Bronze Vault</t>
  </si>
  <si>
    <t>CLUB - ELDER</t>
  </si>
  <si>
    <t>Watch for Coins</t>
  </si>
  <si>
    <t>$ value of free coins</t>
  </si>
  <si>
    <t>Average primary bonus awarded / day</t>
  </si>
  <si>
    <t>Players receive 30 diamonds @L10 and added to new user value ~10min to level up to L10</t>
  </si>
  <si>
    <t>watch to earn now speeds up the bronze vault x1 - Increase to return bonus was 1k each consecutive day max 25K</t>
  </si>
  <si>
    <t>Higher Lucky Wheel amounts</t>
  </si>
  <si>
    <t>Monthly Magic unlocks L15</t>
  </si>
  <si>
    <t>daily bonus multiplier now upto x5 for 5days in a row</t>
  </si>
  <si>
    <t>Legacy Bonus timer resets at 5pm PST server clock</t>
  </si>
  <si>
    <t>Monthly Morsels unlocks L20</t>
  </si>
  <si>
    <t>Ticket value based on weighted average</t>
  </si>
  <si>
    <t>collect lobby bonus 6x to activate party XP - in place of a mega bonus retention feature - additional rewards are not at level 1 or VIP level 1</t>
  </si>
  <si>
    <t>watch to earn now for speed up of the bronze vault - value of coins set at average of 5 BV awards</t>
  </si>
  <si>
    <t>4/8 Collect bonus coins 100 on ipad, 120 on iphone - both level 1</t>
  </si>
  <si>
    <t>Watch to Earn lobby icon- increasing rewards for watching videos consecutive videos by 100 - starts @10K</t>
  </si>
  <si>
    <t>Jackpot added to the dailly bonus - noted 7/31 - daily streak added as return bonus to daily bonus - VIP daily bonus multiplier added</t>
  </si>
  <si>
    <t>total bet = sweepstakes entry *accumulates on fs - daily reward bonus increases by 10K daily, daily wheel bonus multiplier = xdays streak</t>
  </si>
  <si>
    <t>Primary bingo play currency (dice) is bought with gems -33 dice for 120 gems -&gt; 120 gems for 4.99 - new users awarded 30 dice as daily bonus then all daily collections are 20 for D1-D5 - W2E = 5 gems</t>
  </si>
  <si>
    <t>Boosts may be purchsed each game for coins</t>
  </si>
  <si>
    <t>Lucky Streak' return bonus included it in the bonus - other bonus is not for currency rather a XP 200% boost</t>
  </si>
  <si>
    <t>Bonuses based on league advancment and current league -data collected with min advancement in leagues or standings (mega bonus requries play and may affect level) - Lobby special bonus changed from 4hr to hrs</t>
  </si>
  <si>
    <t>VIP daily reward is 6,000,000 + 10 Gems this is used for the VIP Day = Coins - some reason VIP was awarded for new player (no game play) just one day (collected as day 2 bonus)</t>
  </si>
  <si>
    <t>second currency can be purchased or earn through achievements to be used to purchase some avatars and extra spins of the stepper mini game for more chips</t>
  </si>
  <si>
    <t>add secondary currency to feature matrix</t>
  </si>
  <si>
    <t>1 Sliver chest awarded as part of daily bonus. Used average of rewards (7 chest collections) 530,286 coins and 35 gems for conversion</t>
  </si>
  <si>
    <t>Income collected @L3 - no $value of bucks - D1 daily bonus bonus assumption no notification</t>
  </si>
  <si>
    <t>Starting Balance</t>
  </si>
  <si>
    <t>Secondary bonus awarded / day</t>
  </si>
  <si>
    <t>Currency Conversions</t>
  </si>
  <si>
    <t>Other currencies</t>
  </si>
  <si>
    <t>Bronze Tickets</t>
  </si>
  <si>
    <t>Gold Bars</t>
  </si>
  <si>
    <t>Magic Spin Gem</t>
  </si>
  <si>
    <t>Gems</t>
  </si>
  <si>
    <t>Diamonds</t>
  </si>
  <si>
    <t>Coins</t>
  </si>
  <si>
    <t>Boosts</t>
  </si>
  <si>
    <t>Gold Coins</t>
  </si>
  <si>
    <t>Gold</t>
  </si>
  <si>
    <t>Bucks</t>
  </si>
  <si>
    <t>Power Ups</t>
  </si>
  <si>
    <t>Amount of currency</t>
  </si>
  <si>
    <t>Cost of currency</t>
  </si>
  <si>
    <t>Cost each</t>
  </si>
  <si>
    <t>Black Diamonds</t>
  </si>
  <si>
    <t>Money</t>
  </si>
  <si>
    <t>Mini Games</t>
  </si>
  <si>
    <t>Pull Tabs/Scratchers</t>
  </si>
  <si>
    <t>Scratchers</t>
  </si>
  <si>
    <t>Poker</t>
  </si>
  <si>
    <t>Streak mulitplier</t>
  </si>
  <si>
    <t>Wonka Bars</t>
  </si>
  <si>
    <t>D1 = 4K</t>
  </si>
  <si>
    <t>D1 = 1x</t>
  </si>
  <si>
    <t>Value</t>
  </si>
  <si>
    <t>Streak information</t>
  </si>
  <si>
    <t>Average secondary bonus awarded / day</t>
  </si>
  <si>
    <t>D1 = 1000</t>
  </si>
  <si>
    <t>D1 = 6000</t>
  </si>
  <si>
    <t>D2 = 8k</t>
  </si>
  <si>
    <t>D2 = 2x</t>
  </si>
  <si>
    <t xml:space="preserve">D1 = </t>
  </si>
  <si>
    <t>D1 = 1 Tap</t>
  </si>
  <si>
    <t>D1 = 40</t>
  </si>
  <si>
    <t>D1 = 5k</t>
  </si>
  <si>
    <t>D1 = 500000 Coins, 2 Spins</t>
  </si>
  <si>
    <t>D1 = 500</t>
  </si>
  <si>
    <t>D1 = 30000</t>
  </si>
  <si>
    <t>bingo credits</t>
  </si>
  <si>
    <t>Daily Streak</t>
  </si>
  <si>
    <t>D2 = 2000</t>
  </si>
  <si>
    <t>D5 = 10000</t>
  </si>
  <si>
    <t>D3 = 12k</t>
  </si>
  <si>
    <t>D3 = 3x</t>
  </si>
  <si>
    <t xml:space="preserve">D2 = </t>
  </si>
  <si>
    <t>D2 = 1.5x</t>
  </si>
  <si>
    <t>D2 = 2 Taps</t>
  </si>
  <si>
    <t>D2 = 80</t>
  </si>
  <si>
    <t>D2 = 5k</t>
  </si>
  <si>
    <t>D2 = 1000000 Coins, 4 Spins</t>
  </si>
  <si>
    <t>D2 = 1000</t>
  </si>
  <si>
    <t>D2 = 40000</t>
  </si>
  <si>
    <t>coins</t>
  </si>
  <si>
    <t>D3 = 3000</t>
  </si>
  <si>
    <t>D10 = 15000</t>
  </si>
  <si>
    <t>D4 = 16k</t>
  </si>
  <si>
    <t>D4 = 4x</t>
  </si>
  <si>
    <t xml:space="preserve">D3 = </t>
  </si>
  <si>
    <t>D3 = 2x</t>
  </si>
  <si>
    <t>D3 = 3 Taps</t>
  </si>
  <si>
    <t>D3 = 120</t>
  </si>
  <si>
    <t>D3 = 5k</t>
  </si>
  <si>
    <t>D3 = 2000000 Coins, 6 Spins</t>
  </si>
  <si>
    <t>D3 = 1500</t>
  </si>
  <si>
    <t>D3 = 50000</t>
  </si>
  <si>
    <t>power ups</t>
  </si>
  <si>
    <t>D4 = 4000</t>
  </si>
  <si>
    <t>D15 = 20000</t>
  </si>
  <si>
    <t>D5 = 20k</t>
  </si>
  <si>
    <t>D5 = 5x</t>
  </si>
  <si>
    <t xml:space="preserve">D4 = </t>
  </si>
  <si>
    <t>D4 = 4 Taps</t>
  </si>
  <si>
    <t>D4 = 160</t>
  </si>
  <si>
    <t>D4 = 5k</t>
  </si>
  <si>
    <t>D4 = 5000000 Coins, 8 Spins</t>
  </si>
  <si>
    <t>D4 = 2000</t>
  </si>
  <si>
    <t>D4 = 65000</t>
  </si>
  <si>
    <t>D5= 5000</t>
  </si>
  <si>
    <t>D25 = 30000</t>
  </si>
  <si>
    <t xml:space="preserve">D5 = </t>
  </si>
  <si>
    <t>D5 = 5 Taps</t>
  </si>
  <si>
    <t>D5 = 200</t>
  </si>
  <si>
    <t>D5 = 7500</t>
  </si>
  <si>
    <t>D5 = 10000000 Coins, 10 Spins</t>
  </si>
  <si>
    <t>D5 = 2500</t>
  </si>
  <si>
    <t>D5= 85000</t>
  </si>
  <si>
    <t>D5= 5x</t>
  </si>
  <si>
    <t>Tertiary bonus awarded / day</t>
  </si>
  <si>
    <t>Average tertiary bonus awarded / day</t>
  </si>
  <si>
    <t>Other bonus awarded / day</t>
  </si>
  <si>
    <t>Other</t>
  </si>
  <si>
    <t>Average other bonus awarded / day</t>
  </si>
  <si>
    <t>~$5 worth of primary currency (non-sale)</t>
  </si>
  <si>
    <t>Cost of currency (~$5)</t>
  </si>
  <si>
    <t>Default bet value (poker cash game buy-in)</t>
  </si>
  <si>
    <t>Choose Bet</t>
  </si>
  <si>
    <t>1 Spin</t>
  </si>
  <si>
    <t>Minimum bet value (poker cash game stakes)</t>
  </si>
  <si>
    <t>Results</t>
  </si>
  <si>
    <t>Value of new user coin balance</t>
  </si>
  <si>
    <t>Total primary bonus awarded daily</t>
  </si>
  <si>
    <t>Primary coin bonus daily coin value</t>
  </si>
  <si>
    <t>Total secondary bonus amount daily</t>
  </si>
  <si>
    <t>Secondary coin bonus daily coin value</t>
  </si>
  <si>
    <t>Total tertiary bonus amount daily</t>
  </si>
  <si>
    <t>Tertiary coin bonus daily coin value</t>
  </si>
  <si>
    <t>Total Other bonus amount daily</t>
  </si>
  <si>
    <t>Other coin bonus daily coin value</t>
  </si>
  <si>
    <t xml:space="preserve">Total daily coin balance </t>
  </si>
  <si>
    <t>Total daily coin balance value</t>
  </si>
  <si>
    <t>$1 worth of chips (at $5 package)</t>
  </si>
  <si>
    <t>Default bet value</t>
  </si>
  <si>
    <t>Minimum bet value</t>
  </si>
  <si>
    <t>Default tuning at 90% RTP</t>
  </si>
  <si>
    <t>Minimum bet tuning at 90% RTP</t>
  </si>
  <si>
    <t>Currency value in propositions (default bet)</t>
  </si>
  <si>
    <t>Currency value in propositions (minimum bet)</t>
  </si>
  <si>
    <t>Total Chips/Bet (Default bet)</t>
  </si>
  <si>
    <t>Total Chips/Bet (Minimum Bet)</t>
  </si>
  <si>
    <t>Faucet Props (Default bet)</t>
  </si>
  <si>
    <t>% of value in primary</t>
  </si>
  <si>
    <t>% of value in secondary</t>
  </si>
  <si>
    <t>% of value in other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</si>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</sst>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"/>
    <numFmt numFmtId="165" formatCode="&quot;$&quot;#,##0.00;"/>
    <numFmt numFmtId="166" formatCode="0.0"/>
    <numFmt numFmtId="167" formatCode="&quot;$&quot;#,##0.0000_);[Red]\(&quot;$&quot;#,##0.0000\)"/>
  </numFmts>
  <fonts count="28">
    <font>
      <sz val="12"/>
      <color rgb="FF000000"/>
      <name val="Calibri"/>
    </font>
    <font>
      <b/>
      <sz val="12"/>
      <color rgb="FF62C3FF"/>
      <name val="Montserrat"/>
    </font>
    <font>
      <b/>
      <i/>
      <sz val="12"/>
      <color rgb="FF2281E0"/>
      <name val="Montserrat"/>
    </font>
    <font>
      <sz val="24"/>
      <color rgb="FF20304F"/>
      <name val="Montserrat"/>
    </font>
    <font>
      <b/>
      <sz val="12"/>
      <color rgb="FF2281E0"/>
      <name val="Montserrat"/>
    </font>
    <font>
      <b/>
      <sz val="24"/>
      <color rgb="FFFFFFFF"/>
      <name val="Montserrat"/>
    </font>
    <font>
      <sz val="12"/>
      <name val="Montserrat"/>
    </font>
    <font>
      <sz val="12"/>
      <color rgb="FF20304F"/>
      <name val="Montserrat"/>
    </font>
    <font>
      <b/>
      <i/>
      <sz val="30"/>
      <color rgb="FF62C3FF"/>
      <name val="Montserrat"/>
    </font>
    <font>
      <b/>
      <i/>
      <sz val="24"/>
      <color rgb="FFFFFFFF"/>
      <name val="Montserrat"/>
    </font>
    <font>
      <sz val="24"/>
      <color rgb="FFFFFFFF"/>
      <name val="Montserrat"/>
    </font>
    <font>
      <b/>
      <sz val="12"/>
      <color rgb="FF20304F"/>
      <name val="Montserrat"/>
    </font>
    <font>
      <i/>
      <sz val="12"/>
      <color rgb="FF20304F"/>
      <name val="Montserrat"/>
    </font>
    <font>
      <sz val="12"/>
      <color rgb="FF20304F"/>
      <name val="Montserrat"/>
    </font>
    <font>
      <sz val="11"/>
      <color rgb="FF62C3FF"/>
      <name val="Montserrat"/>
    </font>
    <font>
      <b/>
      <sz val="11"/>
      <color rgb="FF62C3FF"/>
      <name val="Montserrat"/>
    </font>
    <font>
      <b/>
      <sz val="12"/>
      <color rgb="FFFFFFFF"/>
      <name val="Montserrat"/>
    </font>
    <font>
      <b/>
      <sz val="12"/>
      <color rgb="FFFFFFFF"/>
      <name val="Montserrat"/>
    </font>
    <font>
      <b/>
      <i/>
      <sz val="12"/>
      <color rgb="FFFFFFFF"/>
      <name val="Montserrat"/>
    </font>
    <font>
      <sz val="12"/>
      <color rgb="FF62C3FF"/>
      <name val="Montserrat"/>
    </font>
    <font>
      <sz val="11"/>
      <color rgb="FF20304F"/>
      <name val="Montserrat"/>
    </font>
    <font>
      <b/>
      <sz val="11"/>
      <color rgb="FF20304F"/>
      <name val="Montserrat"/>
    </font>
    <font>
      <sz val="12"/>
      <name val="Montserrat"/>
    </font>
    <font>
      <sz val="12"/>
      <color rgb="FFFFFFFF"/>
      <name val="Montserrat"/>
    </font>
    <font>
      <b/>
      <sz val="12"/>
      <name val="Montserrat"/>
    </font>
    <font>
      <b/>
      <i/>
      <sz val="12"/>
      <name val="Montserrat"/>
    </font>
    <font>
      <sz val="12"/>
      <color rgb="FF000000"/>
      <name val="Montserrat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2281E0"/>
        <bgColor rgb="FF2281E0"/>
      </patternFill>
    </fill>
    <fill>
      <patternFill patternType="solid">
        <fgColor rgb="FF62C3FF"/>
        <bgColor rgb="FF62C3FF"/>
      </patternFill>
    </fill>
    <fill>
      <patternFill patternType="solid">
        <fgColor rgb="FF20304F"/>
        <bgColor rgb="FF20304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43">
    <border>
      <left/>
      <right/>
      <top/>
      <bottom/>
      <diagonal/>
    </border>
    <border>
      <left/>
      <right/>
      <top/>
      <bottom style="dotted">
        <color rgb="FF20304F"/>
      </bottom>
      <diagonal/>
    </border>
    <border>
      <left/>
      <right/>
      <top/>
      <bottom/>
      <diagonal/>
    </border>
    <border>
      <left/>
      <right/>
      <top/>
      <bottom style="dotted">
        <color rgb="FF20304F"/>
      </bottom>
      <diagonal/>
    </border>
    <border>
      <left/>
      <right/>
      <top/>
      <bottom style="dotted">
        <color rgb="FF20304F"/>
      </bottom>
      <diagonal/>
    </border>
    <border>
      <left style="dotted">
        <color rgb="FF62C3FF"/>
      </left>
      <right/>
      <top style="dotted">
        <color rgb="FF62C3FF"/>
      </top>
      <bottom style="dotted">
        <color rgb="FF62C3FF"/>
      </bottom>
      <diagonal/>
    </border>
    <border>
      <left/>
      <right/>
      <top/>
      <bottom style="medium">
        <color rgb="FF9CC2E5"/>
      </bottom>
      <diagonal/>
    </border>
    <border>
      <left/>
      <right/>
      <top style="dotted">
        <color rgb="FF62C3FF"/>
      </top>
      <bottom style="dotted">
        <color rgb="FF62C3FF"/>
      </bottom>
      <diagonal/>
    </border>
    <border>
      <left/>
      <right style="dotted">
        <color rgb="FF62C3FF"/>
      </right>
      <top style="dotted">
        <color rgb="FF62C3FF"/>
      </top>
      <bottom style="dotted">
        <color rgb="FF62C3FF"/>
      </bottom>
      <diagonal/>
    </border>
    <border>
      <left/>
      <right style="dotted">
        <color rgb="FF62C3FF"/>
      </right>
      <top/>
      <bottom style="dotted">
        <color rgb="FF62C3FF"/>
      </bottom>
      <diagonal/>
    </border>
    <border>
      <left style="dotted">
        <color rgb="FF62C3FF"/>
      </left>
      <right style="dotted">
        <color rgb="FF62C3FF"/>
      </right>
      <top/>
      <bottom style="dotted">
        <color rgb="FF62C3FF"/>
      </bottom>
      <diagonal/>
    </border>
    <border>
      <left style="dotted">
        <color rgb="FF62C3FF"/>
      </left>
      <right style="dotted">
        <color rgb="FF62C3FF"/>
      </right>
      <top style="dotted">
        <color rgb="FF62C3FF"/>
      </top>
      <bottom style="dotted">
        <color rgb="FF62C3FF"/>
      </bottom>
      <diagonal/>
    </border>
    <border>
      <left style="thin">
        <color rgb="FF20304F"/>
      </left>
      <right/>
      <top style="thin">
        <color rgb="FF20304F"/>
      </top>
      <bottom style="dotted">
        <color rgb="FF20304F"/>
      </bottom>
      <diagonal/>
    </border>
    <border>
      <left/>
      <right/>
      <top style="thin">
        <color rgb="FF20304F"/>
      </top>
      <bottom style="dotted">
        <color rgb="FF20304F"/>
      </bottom>
      <diagonal/>
    </border>
    <border>
      <left/>
      <right style="thin">
        <color rgb="FF20304F"/>
      </right>
      <top style="thin">
        <color rgb="FF20304F"/>
      </top>
      <bottom style="dotted">
        <color rgb="FF20304F"/>
      </bottom>
      <diagonal/>
    </border>
    <border>
      <left style="thin">
        <color rgb="FF20304F"/>
      </left>
      <right/>
      <top/>
      <bottom style="thin">
        <color rgb="FF20304F"/>
      </bottom>
      <diagonal/>
    </border>
    <border>
      <left style="dotted">
        <color rgb="FF20304F"/>
      </left>
      <right style="dotted">
        <color rgb="FF20304F"/>
      </right>
      <top/>
      <bottom style="thin">
        <color rgb="FF20304F"/>
      </bottom>
      <diagonal/>
    </border>
    <border>
      <left/>
      <right/>
      <top/>
      <bottom style="thin">
        <color rgb="FF20304F"/>
      </bottom>
      <diagonal/>
    </border>
    <border>
      <left/>
      <right style="thin">
        <color rgb="FF20304F"/>
      </right>
      <top/>
      <bottom style="thin">
        <color rgb="FF20304F"/>
      </bottom>
      <diagonal/>
    </border>
    <border>
      <left style="thin">
        <color rgb="FF20304F"/>
      </left>
      <right style="double">
        <color rgb="FF20304F"/>
      </right>
      <top style="thin">
        <color rgb="FF20304F"/>
      </top>
      <bottom style="dotted">
        <color rgb="FF62C3FF"/>
      </bottom>
      <diagonal/>
    </border>
    <border>
      <left style="thin">
        <color rgb="FF7F7F7F"/>
      </left>
      <right style="dotted">
        <color rgb="FFFFFFFF"/>
      </right>
      <top style="thin">
        <color rgb="FF7F7F7F"/>
      </top>
      <bottom/>
      <diagonal/>
    </border>
    <border>
      <left style="dotted">
        <color rgb="FFFFFFFF"/>
      </left>
      <right style="dotted">
        <color rgb="FFFFFFFF"/>
      </right>
      <top style="thin">
        <color rgb="FF7F7F7F"/>
      </top>
      <bottom/>
      <diagonal/>
    </border>
    <border>
      <left style="dotted">
        <color rgb="FFFFFFFF"/>
      </left>
      <right style="thin">
        <color rgb="FF7F7F7F"/>
      </right>
      <top style="thin">
        <color rgb="FF7F7F7F"/>
      </top>
      <bottom/>
      <diagonal/>
    </border>
    <border>
      <left style="thin">
        <color rgb="FF20304F"/>
      </left>
      <right/>
      <top style="thin">
        <color rgb="FF20304F"/>
      </top>
      <bottom/>
      <diagonal/>
    </border>
    <border>
      <left/>
      <right/>
      <top style="thin">
        <color rgb="FF20304F"/>
      </top>
      <bottom/>
      <diagonal/>
    </border>
    <border>
      <left style="dotted">
        <color rgb="FF62C3FF"/>
      </left>
      <right/>
      <top/>
      <bottom style="dotted">
        <color rgb="FF62C3FF"/>
      </bottom>
      <diagonal/>
    </border>
    <border>
      <left style="thin">
        <color rgb="FF20304F"/>
      </left>
      <right style="double">
        <color rgb="FF20304F"/>
      </right>
      <top style="dotted">
        <color rgb="FF62C3FF"/>
      </top>
      <bottom style="dotted">
        <color rgb="FF62C3FF"/>
      </bottom>
      <diagonal/>
    </border>
    <border>
      <left/>
      <right style="thin">
        <color rgb="FF20304F"/>
      </right>
      <top style="thin">
        <color rgb="FF20304F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20304F"/>
      </right>
      <top style="thin">
        <color rgb="FF20304F"/>
      </top>
      <bottom style="dotted">
        <color rgb="FF62C3FF"/>
      </bottom>
      <diagonal/>
    </border>
    <border>
      <left/>
      <right style="dotted">
        <color rgb="FF62C3FF"/>
      </right>
      <top style="thin">
        <color rgb="FF20304F"/>
      </top>
      <bottom style="dotted">
        <color rgb="FF62C3FF"/>
      </bottom>
      <diagonal/>
    </border>
    <border>
      <left style="dotted">
        <color rgb="FF62C3FF"/>
      </left>
      <right style="dotted">
        <color rgb="FF2281E0"/>
      </right>
      <top style="thin">
        <color rgb="FF20304F"/>
      </top>
      <bottom style="dotted">
        <color rgb="FF2281E0"/>
      </bottom>
      <diagonal/>
    </border>
    <border>
      <left style="dotted">
        <color rgb="FF2281E0"/>
      </left>
      <right style="dotted">
        <color rgb="FF2281E0"/>
      </right>
      <top style="thin">
        <color rgb="FF20304F"/>
      </top>
      <bottom style="dotted">
        <color rgb="FF2281E0"/>
      </bottom>
      <diagonal/>
    </border>
    <border>
      <left style="dotted">
        <color rgb="FF2281E0"/>
      </left>
      <right style="thin">
        <color rgb="FF20304F"/>
      </right>
      <top style="thin">
        <color rgb="FF20304F"/>
      </top>
      <bottom style="dotted">
        <color rgb="FF2281E0"/>
      </bottom>
      <diagonal/>
    </border>
    <border>
      <left/>
      <right style="medium">
        <color rgb="FF20304F"/>
      </right>
      <top style="dotted">
        <color rgb="FF62C3FF"/>
      </top>
      <bottom style="dotted">
        <color rgb="FF62C3FF"/>
      </bottom>
      <diagonal/>
    </border>
    <border>
      <left style="dotted">
        <color rgb="FF62C3FF"/>
      </left>
      <right style="dotted">
        <color rgb="FF2281E0"/>
      </right>
      <top style="dotted">
        <color rgb="FF2281E0"/>
      </top>
      <bottom style="dotted">
        <color rgb="FF2281E0"/>
      </bottom>
      <diagonal/>
    </border>
    <border>
      <left style="dotted">
        <color rgb="FF2281E0"/>
      </left>
      <right style="dotted">
        <color rgb="FF2281E0"/>
      </right>
      <top style="dotted">
        <color rgb="FF2281E0"/>
      </top>
      <bottom style="dotted">
        <color rgb="FF2281E0"/>
      </bottom>
      <diagonal/>
    </border>
    <border>
      <left style="dotted">
        <color rgb="FF2281E0"/>
      </left>
      <right style="thin">
        <color rgb="FF20304F"/>
      </right>
      <top style="dotted">
        <color rgb="FF2281E0"/>
      </top>
      <bottom style="dotted">
        <color rgb="FF2281E0"/>
      </bottom>
      <diagonal/>
    </border>
    <border>
      <left style="dotted">
        <color rgb="FF62C3FF"/>
      </left>
      <right style="thin">
        <color rgb="FF7F7F7F"/>
      </right>
      <top style="dotted">
        <color rgb="FF62C3FF"/>
      </top>
      <bottom style="dotted">
        <color rgb="FF62C3FF"/>
      </bottom>
      <diagonal/>
    </border>
    <border>
      <left/>
      <right style="dotted">
        <color rgb="FF62C3FF"/>
      </right>
      <top style="dotted">
        <color rgb="FF62C3FF"/>
      </top>
      <bottom/>
      <diagonal/>
    </border>
    <border>
      <left style="dotted">
        <color rgb="FF62C3FF"/>
      </left>
      <right style="dotted">
        <color rgb="FF62C3FF"/>
      </right>
      <top style="dotted">
        <color rgb="FF62C3FF"/>
      </top>
      <bottom/>
      <diagonal/>
    </border>
    <border>
      <left style="dotted">
        <color rgb="FF62C3FF"/>
      </left>
      <right/>
      <top style="dotted">
        <color rgb="FF62C3FF"/>
      </top>
      <bottom/>
      <diagonal/>
    </border>
    <border>
      <left style="thin">
        <color rgb="FF20304F"/>
      </left>
      <right style="double">
        <color rgb="FF20304F"/>
      </right>
      <top style="dotted">
        <color rgb="FF62C3FF"/>
      </top>
      <bottom style="thin">
        <color rgb="FF20304F"/>
      </bottom>
      <diagonal/>
    </border>
  </borders>
  <cellStyleXfs count="1">
    <xf numFmtId="0" fontId="0" fillId="0" borderId="0"/>
  </cellStyleXfs>
  <cellXfs count="233">
    <xf numFmtId="0" fontId="0" fillId="0" borderId="0" xfId="0" applyFont="1" applyAlignment="1"/>
    <xf numFmtId="0" fontId="1" fillId="2" borderId="0" xfId="0" applyFont="1" applyFill="1" applyAlignment="1"/>
    <xf numFmtId="0" fontId="2" fillId="0" borderId="1" xfId="0" applyFont="1" applyBorder="1" applyAlignment="1"/>
    <xf numFmtId="0" fontId="3" fillId="0" borderId="0" xfId="0" applyFont="1" applyAlignment="1">
      <alignment vertical="center"/>
    </xf>
    <xf numFmtId="0" fontId="4" fillId="0" borderId="1" xfId="0" applyFont="1" applyBorder="1" applyAlignment="1"/>
    <xf numFmtId="0" fontId="5" fillId="2" borderId="2" xfId="0" applyFont="1" applyFill="1" applyBorder="1" applyAlignment="1">
      <alignment vertical="center"/>
    </xf>
    <xf numFmtId="0" fontId="4" fillId="0" borderId="3" xfId="0" applyFont="1" applyBorder="1" applyAlignment="1"/>
    <xf numFmtId="0" fontId="4" fillId="0" borderId="4" xfId="0" applyFont="1" applyBorder="1" applyAlignment="1"/>
    <xf numFmtId="0" fontId="6" fillId="3" borderId="5" xfId="0" applyFont="1" applyFill="1" applyBorder="1" applyAlignment="1">
      <alignment vertical="center"/>
    </xf>
    <xf numFmtId="0" fontId="7" fillId="0" borderId="0" xfId="0" applyFont="1" applyAlignment="1"/>
    <xf numFmtId="0" fontId="8" fillId="4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6" fillId="4" borderId="7" xfId="0" applyFont="1" applyFill="1" applyBorder="1" applyAlignment="1">
      <alignment vertical="center"/>
    </xf>
    <xf numFmtId="0" fontId="11" fillId="3" borderId="9" xfId="0" applyFont="1" applyFill="1" applyBorder="1" applyAlignment="1">
      <alignment horizontal="center"/>
    </xf>
    <xf numFmtId="0" fontId="12" fillId="0" borderId="1" xfId="0" applyFont="1" applyBorder="1" applyAlignment="1"/>
    <xf numFmtId="0" fontId="6" fillId="4" borderId="7" xfId="0" applyFont="1" applyFill="1" applyBorder="1" applyAlignment="1">
      <alignment vertical="center"/>
    </xf>
    <xf numFmtId="0" fontId="2" fillId="0" borderId="1" xfId="0" applyFont="1" applyBorder="1" applyAlignment="1"/>
    <xf numFmtId="0" fontId="6" fillId="4" borderId="8" xfId="0" applyFont="1" applyFill="1" applyBorder="1" applyAlignment="1">
      <alignment vertical="center"/>
    </xf>
    <xf numFmtId="0" fontId="6" fillId="0" borderId="1" xfId="0" applyFont="1" applyBorder="1"/>
    <xf numFmtId="0" fontId="6" fillId="0" borderId="4" xfId="0" applyFont="1" applyBorder="1"/>
    <xf numFmtId="0" fontId="7" fillId="3" borderId="10" xfId="0" applyFont="1" applyFill="1" applyBorder="1" applyAlignment="1">
      <alignment horizontal="center"/>
    </xf>
    <xf numFmtId="0" fontId="13" fillId="0" borderId="0" xfId="0" applyFont="1"/>
    <xf numFmtId="0" fontId="7" fillId="3" borderId="11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/>
    <xf numFmtId="0" fontId="7" fillId="3" borderId="10" xfId="0" applyFont="1" applyFill="1" applyBorder="1" applyAlignment="1">
      <alignment horizontal="center"/>
    </xf>
    <xf numFmtId="0" fontId="14" fillId="4" borderId="0" xfId="0" applyFont="1" applyFill="1" applyAlignment="1">
      <alignment vertical="center" wrapText="1"/>
    </xf>
    <xf numFmtId="0" fontId="11" fillId="3" borderId="12" xfId="0" applyFont="1" applyFill="1" applyBorder="1"/>
    <xf numFmtId="0" fontId="14" fillId="4" borderId="0" xfId="0" applyFont="1" applyFill="1" applyAlignment="1">
      <alignment vertical="center" wrapText="1"/>
    </xf>
    <xf numFmtId="0" fontId="11" fillId="3" borderId="13" xfId="0" applyFont="1" applyFill="1" applyBorder="1"/>
    <xf numFmtId="0" fontId="15" fillId="4" borderId="6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center" vertical="center" wrapText="1"/>
    </xf>
    <xf numFmtId="0" fontId="12" fillId="3" borderId="13" xfId="0" applyFont="1" applyFill="1" applyBorder="1"/>
    <xf numFmtId="0" fontId="15" fillId="4" borderId="6" xfId="0" applyFont="1" applyFill="1" applyBorder="1" applyAlignment="1">
      <alignment horizontal="center" vertical="center" wrapText="1"/>
    </xf>
    <xf numFmtId="0" fontId="12" fillId="3" borderId="14" xfId="0" applyFont="1" applyFill="1" applyBorder="1"/>
    <xf numFmtId="0" fontId="12" fillId="0" borderId="0" xfId="0" applyFont="1"/>
    <xf numFmtId="0" fontId="7" fillId="0" borderId="8" xfId="0" applyFont="1" applyBorder="1" applyAlignment="1">
      <alignment horizontal="center"/>
    </xf>
    <xf numFmtId="0" fontId="7" fillId="0" borderId="15" xfId="0" applyFont="1" applyBorder="1" applyAlignment="1">
      <alignment wrapText="1"/>
    </xf>
    <xf numFmtId="3" fontId="7" fillId="5" borderId="11" xfId="0" applyNumberFormat="1" applyFont="1" applyFill="1" applyBorder="1" applyAlignment="1">
      <alignment horizontal="center"/>
    </xf>
    <xf numFmtId="0" fontId="16" fillId="4" borderId="16" xfId="0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/>
    </xf>
    <xf numFmtId="0" fontId="12" fillId="0" borderId="17" xfId="0" applyFont="1" applyBorder="1"/>
    <xf numFmtId="3" fontId="7" fillId="5" borderId="11" xfId="0" applyNumberFormat="1" applyFont="1" applyFill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/>
    <xf numFmtId="0" fontId="7" fillId="0" borderId="0" xfId="0" applyFont="1" applyAlignment="1">
      <alignment horizontal="center"/>
    </xf>
    <xf numFmtId="0" fontId="15" fillId="4" borderId="6" xfId="0" applyFont="1" applyFill="1" applyBorder="1" applyAlignment="1">
      <alignment horizontal="center" vertical="center" wrapText="1"/>
    </xf>
    <xf numFmtId="0" fontId="17" fillId="5" borderId="0" xfId="0" applyFont="1" applyFill="1"/>
    <xf numFmtId="0" fontId="12" fillId="3" borderId="19" xfId="0" applyFont="1" applyFill="1" applyBorder="1"/>
    <xf numFmtId="0" fontId="18" fillId="3" borderId="20" xfId="0" applyFont="1" applyFill="1" applyBorder="1"/>
    <xf numFmtId="3" fontId="12" fillId="0" borderId="9" xfId="0" applyNumberFormat="1" applyFont="1" applyBorder="1" applyAlignment="1">
      <alignment horizontal="center" wrapText="1"/>
    </xf>
    <xf numFmtId="0" fontId="18" fillId="3" borderId="21" xfId="0" applyFont="1" applyFill="1" applyBorder="1" applyAlignment="1">
      <alignment horizontal="center"/>
    </xf>
    <xf numFmtId="3" fontId="12" fillId="0" borderId="10" xfId="0" applyNumberFormat="1" applyFont="1" applyBorder="1" applyAlignment="1">
      <alignment horizontal="center" wrapText="1"/>
    </xf>
    <xf numFmtId="0" fontId="18" fillId="3" borderId="21" xfId="0" applyFont="1" applyFill="1" applyBorder="1"/>
    <xf numFmtId="3" fontId="12" fillId="5" borderId="10" xfId="0" applyNumberFormat="1" applyFont="1" applyFill="1" applyBorder="1" applyAlignment="1">
      <alignment horizontal="center" wrapText="1"/>
    </xf>
    <xf numFmtId="0" fontId="18" fillId="3" borderId="21" xfId="0" applyFont="1" applyFill="1" applyBorder="1" applyAlignment="1">
      <alignment horizontal="right"/>
    </xf>
    <xf numFmtId="0" fontId="18" fillId="3" borderId="22" xfId="0" applyFont="1" applyFill="1" applyBorder="1" applyAlignment="1">
      <alignment horizontal="right"/>
    </xf>
    <xf numFmtId="3" fontId="12" fillId="0" borderId="10" xfId="0" applyNumberFormat="1" applyFont="1" applyBorder="1" applyAlignment="1">
      <alignment horizontal="center" wrapText="1"/>
    </xf>
    <xf numFmtId="0" fontId="15" fillId="4" borderId="23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wrapText="1"/>
    </xf>
    <xf numFmtId="0" fontId="15" fillId="4" borderId="24" xfId="0" applyFont="1" applyFill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wrapText="1"/>
    </xf>
    <xf numFmtId="0" fontId="15" fillId="4" borderId="24" xfId="0" applyFont="1" applyFill="1" applyBorder="1" applyAlignment="1">
      <alignment horizontal="center" vertical="center" wrapText="1"/>
    </xf>
    <xf numFmtId="3" fontId="12" fillId="0" borderId="25" xfId="0" applyNumberFormat="1" applyFont="1" applyBorder="1" applyAlignment="1">
      <alignment horizontal="center" wrapText="1"/>
    </xf>
    <xf numFmtId="0" fontId="11" fillId="0" borderId="26" xfId="0" applyFont="1" applyBorder="1" applyAlignment="1"/>
    <xf numFmtId="0" fontId="15" fillId="4" borderId="27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wrapText="1"/>
    </xf>
    <xf numFmtId="0" fontId="20" fillId="0" borderId="28" xfId="0" applyFont="1" applyBorder="1" applyAlignment="1">
      <alignment horizontal="center"/>
    </xf>
    <xf numFmtId="3" fontId="7" fillId="5" borderId="8" xfId="0" applyNumberFormat="1" applyFont="1" applyFill="1" applyBorder="1" applyAlignment="1">
      <alignment horizontal="center"/>
    </xf>
    <xf numFmtId="0" fontId="21" fillId="0" borderId="29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164" fontId="7" fillId="0" borderId="31" xfId="0" applyNumberFormat="1" applyFont="1" applyBorder="1" applyAlignment="1">
      <alignment horizontal="center"/>
    </xf>
    <xf numFmtId="0" fontId="7" fillId="0" borderId="11" xfId="0" applyFont="1" applyBorder="1" applyAlignment="1"/>
    <xf numFmtId="0" fontId="11" fillId="3" borderId="8" xfId="0" applyFont="1" applyFill="1" applyBorder="1" applyAlignment="1">
      <alignment horizontal="center"/>
    </xf>
    <xf numFmtId="165" fontId="7" fillId="0" borderId="32" xfId="0" applyNumberFormat="1" applyFont="1" applyBorder="1" applyAlignment="1">
      <alignment horizontal="center"/>
    </xf>
    <xf numFmtId="0" fontId="7" fillId="3" borderId="11" xfId="0" applyFont="1" applyFill="1" applyBorder="1" applyAlignment="1"/>
    <xf numFmtId="0" fontId="7" fillId="3" borderId="1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0" fontId="21" fillId="0" borderId="34" xfId="0" applyFont="1" applyBorder="1"/>
    <xf numFmtId="3" fontId="7" fillId="0" borderId="5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7" fillId="5" borderId="5" xfId="0" applyNumberFormat="1" applyFont="1" applyFill="1" applyBorder="1" applyAlignment="1">
      <alignment horizontal="center"/>
    </xf>
    <xf numFmtId="164" fontId="7" fillId="0" borderId="35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165" fontId="7" fillId="0" borderId="36" xfId="0" applyNumberFormat="1" applyFont="1" applyBorder="1" applyAlignment="1">
      <alignment horizontal="center"/>
    </xf>
    <xf numFmtId="3" fontId="7" fillId="0" borderId="3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0" fontId="7" fillId="0" borderId="26" xfId="0" applyFont="1" applyBorder="1" applyAlignment="1"/>
    <xf numFmtId="0" fontId="7" fillId="0" borderId="8" xfId="0" applyFont="1" applyBorder="1" applyAlignment="1"/>
    <xf numFmtId="0" fontId="7" fillId="0" borderId="5" xfId="0" applyFont="1" applyBorder="1" applyAlignment="1"/>
    <xf numFmtId="1" fontId="11" fillId="3" borderId="26" xfId="0" applyNumberFormat="1" applyFont="1" applyFill="1" applyBorder="1" applyAlignment="1"/>
    <xf numFmtId="0" fontId="7" fillId="0" borderId="36" xfId="0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0" fontId="21" fillId="0" borderId="34" xfId="0" applyFont="1" applyBorder="1" applyAlignment="1"/>
    <xf numFmtId="0" fontId="22" fillId="0" borderId="8" xfId="0" applyFont="1" applyBorder="1" applyAlignment="1">
      <alignment horizontal="center"/>
    </xf>
    <xf numFmtId="3" fontId="7" fillId="0" borderId="37" xfId="0" applyNumberFormat="1" applyFont="1" applyBorder="1" applyAlignment="1">
      <alignment horizontal="center"/>
    </xf>
    <xf numFmtId="3" fontId="7" fillId="3" borderId="11" xfId="0" applyNumberFormat="1" applyFont="1" applyFill="1" applyBorder="1" applyAlignment="1">
      <alignment horizontal="center"/>
    </xf>
    <xf numFmtId="3" fontId="7" fillId="3" borderId="11" xfId="0" applyNumberFormat="1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8" fontId="23" fillId="2" borderId="11" xfId="0" applyNumberFormat="1" applyFont="1" applyFill="1" applyBorder="1" applyAlignment="1">
      <alignment horizontal="center"/>
    </xf>
    <xf numFmtId="1" fontId="7" fillId="0" borderId="36" xfId="0" applyNumberFormat="1" applyFont="1" applyBorder="1" applyAlignment="1">
      <alignment horizontal="center"/>
    </xf>
    <xf numFmtId="1" fontId="7" fillId="0" borderId="37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166" fontId="7" fillId="0" borderId="36" xfId="0" applyNumberFormat="1" applyFont="1" applyBorder="1" applyAlignment="1">
      <alignment horizontal="center"/>
    </xf>
    <xf numFmtId="166" fontId="7" fillId="0" borderId="37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3" fontId="7" fillId="0" borderId="11" xfId="0" applyNumberFormat="1" applyFont="1" applyBorder="1" applyAlignment="1">
      <alignment horizontal="center" wrapText="1"/>
    </xf>
    <xf numFmtId="3" fontId="7" fillId="0" borderId="11" xfId="0" applyNumberFormat="1" applyFont="1" applyBorder="1" applyAlignment="1"/>
    <xf numFmtId="3" fontId="7" fillId="5" borderId="11" xfId="0" applyNumberFormat="1" applyFont="1" applyFill="1" applyBorder="1" applyAlignment="1">
      <alignment horizontal="center" wrapText="1"/>
    </xf>
    <xf numFmtId="3" fontId="7" fillId="5" borderId="11" xfId="0" applyNumberFormat="1" applyFont="1" applyFill="1" applyBorder="1" applyAlignment="1"/>
    <xf numFmtId="0" fontId="12" fillId="0" borderId="11" xfId="0" applyFont="1" applyBorder="1" applyAlignment="1">
      <alignment horizontal="center" wrapText="1"/>
    </xf>
    <xf numFmtId="0" fontId="7" fillId="5" borderId="11" xfId="0" applyFont="1" applyFill="1" applyBorder="1" applyAlignment="1"/>
    <xf numFmtId="0" fontId="7" fillId="5" borderId="11" xfId="0" applyFont="1" applyFill="1" applyBorder="1" applyAlignment="1">
      <alignment horizontal="center" wrapText="1"/>
    </xf>
    <xf numFmtId="0" fontId="12" fillId="5" borderId="11" xfId="0" applyFont="1" applyFill="1" applyBorder="1" applyAlignment="1">
      <alignment horizontal="center" wrapText="1"/>
    </xf>
    <xf numFmtId="3" fontId="12" fillId="0" borderId="11" xfId="0" applyNumberFormat="1" applyFont="1" applyBorder="1" applyAlignment="1">
      <alignment horizontal="center" wrapText="1"/>
    </xf>
    <xf numFmtId="166" fontId="7" fillId="0" borderId="11" xfId="0" applyNumberFormat="1" applyFont="1" applyBorder="1" applyAlignment="1"/>
    <xf numFmtId="1" fontId="7" fillId="0" borderId="0" xfId="0" applyNumberFormat="1" applyFont="1" applyAlignment="1"/>
    <xf numFmtId="1" fontId="7" fillId="0" borderId="8" xfId="0" applyNumberFormat="1" applyFont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166" fontId="7" fillId="0" borderId="8" xfId="0" applyNumberFormat="1" applyFont="1" applyBorder="1" applyAlignment="1">
      <alignment horizontal="center"/>
    </xf>
    <xf numFmtId="8" fontId="7" fillId="0" borderId="11" xfId="0" applyNumberFormat="1" applyFont="1" applyBorder="1" applyAlignment="1">
      <alignment horizontal="center"/>
    </xf>
    <xf numFmtId="0" fontId="21" fillId="0" borderId="34" xfId="0" applyFont="1" applyBorder="1" applyAlignment="1">
      <alignment horizontal="left"/>
    </xf>
    <xf numFmtId="8" fontId="7" fillId="0" borderId="11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8" fontId="7" fillId="6" borderId="11" xfId="0" applyNumberFormat="1" applyFont="1" applyFill="1" applyBorder="1" applyAlignment="1">
      <alignment horizontal="center"/>
    </xf>
    <xf numFmtId="167" fontId="7" fillId="0" borderId="11" xfId="0" applyNumberFormat="1" applyFont="1" applyBorder="1" applyAlignment="1">
      <alignment horizontal="center"/>
    </xf>
    <xf numFmtId="0" fontId="7" fillId="0" borderId="11" xfId="0" applyFont="1" applyBorder="1" applyAlignment="1"/>
    <xf numFmtId="0" fontId="7" fillId="0" borderId="8" xfId="0" applyFont="1" applyBorder="1" applyAlignment="1"/>
    <xf numFmtId="0" fontId="7" fillId="0" borderId="11" xfId="0" applyFont="1" applyBorder="1" applyAlignment="1">
      <alignment wrapText="1"/>
    </xf>
    <xf numFmtId="0" fontId="7" fillId="0" borderId="11" xfId="0" applyFont="1" applyBorder="1" applyAlignment="1"/>
    <xf numFmtId="0" fontId="7" fillId="5" borderId="11" xfId="0" applyFont="1" applyFill="1" applyBorder="1" applyAlignment="1"/>
    <xf numFmtId="164" fontId="7" fillId="0" borderId="11" xfId="0" applyNumberFormat="1" applyFont="1" applyBorder="1" applyAlignment="1"/>
    <xf numFmtId="0" fontId="7" fillId="5" borderId="11" xfId="0" applyFont="1" applyFill="1" applyBorder="1" applyAlignment="1">
      <alignment horizontal="center"/>
    </xf>
    <xf numFmtId="0" fontId="7" fillId="0" borderId="11" xfId="0" applyFont="1" applyBorder="1" applyAlignment="1">
      <alignment horizontal="right"/>
    </xf>
    <xf numFmtId="9" fontId="7" fillId="5" borderId="11" xfId="0" applyNumberFormat="1" applyFont="1" applyFill="1" applyBorder="1" applyAlignment="1">
      <alignment horizontal="center"/>
    </xf>
    <xf numFmtId="0" fontId="13" fillId="0" borderId="11" xfId="0" applyFont="1" applyBorder="1"/>
    <xf numFmtId="1" fontId="7" fillId="0" borderId="11" xfId="0" applyNumberFormat="1" applyFont="1" applyBorder="1" applyAlignment="1"/>
    <xf numFmtId="0" fontId="7" fillId="0" borderId="0" xfId="0" applyFont="1" applyAlignment="1">
      <alignment horizontal="center"/>
    </xf>
    <xf numFmtId="0" fontId="7" fillId="0" borderId="26" xfId="0" applyFont="1" applyBorder="1" applyAlignment="1">
      <alignment horizontal="left"/>
    </xf>
    <xf numFmtId="0" fontId="7" fillId="3" borderId="26" xfId="0" applyFont="1" applyFill="1" applyBorder="1" applyAlignment="1"/>
    <xf numFmtId="3" fontId="7" fillId="5" borderId="8" xfId="0" applyNumberFormat="1" applyFont="1" applyFill="1" applyBorder="1" applyAlignment="1">
      <alignment horizontal="center"/>
    </xf>
    <xf numFmtId="164" fontId="7" fillId="5" borderId="8" xfId="0" applyNumberFormat="1" applyFont="1" applyFill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11" fillId="0" borderId="26" xfId="0" applyFont="1" applyBorder="1" applyAlignment="1"/>
    <xf numFmtId="0" fontId="14" fillId="4" borderId="0" xfId="0" applyFont="1" applyFill="1" applyAlignment="1">
      <alignment horizontal="right" vertical="center" wrapText="1"/>
    </xf>
    <xf numFmtId="0" fontId="15" fillId="4" borderId="26" xfId="0" applyFont="1" applyFill="1" applyBorder="1" applyAlignment="1">
      <alignment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1" fillId="0" borderId="26" xfId="0" applyFont="1" applyBorder="1" applyAlignment="1"/>
    <xf numFmtId="164" fontId="7" fillId="0" borderId="8" xfId="0" applyNumberFormat="1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2" fillId="0" borderId="0" xfId="0" applyFont="1"/>
    <xf numFmtId="0" fontId="7" fillId="0" borderId="11" xfId="0" applyFont="1" applyBorder="1" applyAlignment="1">
      <alignment horizontal="center"/>
    </xf>
    <xf numFmtId="4" fontId="22" fillId="0" borderId="11" xfId="0" applyNumberFormat="1" applyFont="1" applyBorder="1" applyAlignment="1">
      <alignment horizontal="center"/>
    </xf>
    <xf numFmtId="9" fontId="22" fillId="0" borderId="11" xfId="0" applyNumberFormat="1" applyFont="1" applyBorder="1" applyAlignment="1">
      <alignment horizontal="center"/>
    </xf>
    <xf numFmtId="9" fontId="22" fillId="0" borderId="5" xfId="0" applyNumberFormat="1" applyFont="1" applyBorder="1" applyAlignment="1">
      <alignment horizontal="center"/>
    </xf>
    <xf numFmtId="0" fontId="24" fillId="0" borderId="11" xfId="0" applyFont="1" applyBorder="1" applyAlignment="1"/>
    <xf numFmtId="0" fontId="22" fillId="0" borderId="11" xfId="0" applyFont="1" applyBorder="1" applyAlignment="1">
      <alignment horizontal="center"/>
    </xf>
    <xf numFmtId="165" fontId="22" fillId="0" borderId="11" xfId="0" applyNumberFormat="1" applyFont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0" fontId="22" fillId="0" borderId="11" xfId="0" applyFont="1" applyBorder="1" applyAlignment="1"/>
    <xf numFmtId="0" fontId="22" fillId="0" borderId="11" xfId="0" applyFont="1" applyBorder="1" applyAlignment="1">
      <alignment horizontal="right"/>
    </xf>
    <xf numFmtId="0" fontId="22" fillId="0" borderId="5" xfId="0" applyFont="1" applyBorder="1" applyAlignment="1"/>
    <xf numFmtId="0" fontId="24" fillId="0" borderId="8" xfId="0" applyFont="1" applyBorder="1" applyAlignment="1"/>
    <xf numFmtId="0" fontId="25" fillId="0" borderId="11" xfId="0" applyFont="1" applyBorder="1" applyAlignment="1"/>
    <xf numFmtId="0" fontId="25" fillId="0" borderId="11" xfId="0" applyFont="1" applyBorder="1" applyAlignment="1">
      <alignment horizontal="right"/>
    </xf>
    <xf numFmtId="0" fontId="25" fillId="0" borderId="38" xfId="0" applyFont="1" applyBorder="1" applyAlignment="1">
      <alignment horizontal="right"/>
    </xf>
    <xf numFmtId="0" fontId="11" fillId="0" borderId="0" xfId="0" applyFont="1"/>
    <xf numFmtId="0" fontId="24" fillId="0" borderId="0" xfId="0" applyFont="1"/>
    <xf numFmtId="0" fontId="24" fillId="0" borderId="8" xfId="0" applyFont="1" applyBorder="1" applyAlignment="1">
      <alignment horizontal="right"/>
    </xf>
    <xf numFmtId="0" fontId="24" fillId="0" borderId="39" xfId="0" applyFont="1" applyBorder="1" applyAlignment="1"/>
    <xf numFmtId="0" fontId="24" fillId="0" borderId="40" xfId="0" applyFont="1" applyBorder="1" applyAlignment="1"/>
    <xf numFmtId="0" fontId="22" fillId="0" borderId="40" xfId="0" applyFont="1" applyBorder="1" applyAlignment="1">
      <alignment horizontal="center"/>
    </xf>
    <xf numFmtId="165" fontId="22" fillId="0" borderId="40" xfId="0" applyNumberFormat="1" applyFont="1" applyBorder="1" applyAlignment="1">
      <alignment horizontal="center"/>
    </xf>
    <xf numFmtId="3" fontId="22" fillId="0" borderId="40" xfId="0" applyNumberFormat="1" applyFon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9" fontId="22" fillId="0" borderId="40" xfId="0" applyNumberFormat="1" applyFont="1" applyBorder="1" applyAlignment="1">
      <alignment horizontal="center"/>
    </xf>
    <xf numFmtId="9" fontId="22" fillId="0" borderId="41" xfId="0" applyNumberFormat="1" applyFont="1" applyBorder="1" applyAlignment="1">
      <alignment horizontal="center"/>
    </xf>
    <xf numFmtId="0" fontId="21" fillId="0" borderId="26" xfId="0" applyFont="1" applyBorder="1" applyAlignment="1"/>
    <xf numFmtId="0" fontId="26" fillId="0" borderId="0" xfId="0" applyFont="1" applyAlignment="1">
      <alignment horizontal="center"/>
    </xf>
    <xf numFmtId="166" fontId="21" fillId="0" borderId="26" xfId="0" applyNumberFormat="1" applyFont="1" applyBorder="1" applyAlignment="1"/>
    <xf numFmtId="164" fontId="7" fillId="0" borderId="11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9" fontId="7" fillId="0" borderId="8" xfId="0" applyNumberFormat="1" applyFont="1" applyBorder="1" applyAlignment="1">
      <alignment horizontal="center"/>
    </xf>
    <xf numFmtId="9" fontId="7" fillId="0" borderId="11" xfId="0" applyNumberFormat="1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21" fillId="0" borderId="42" xfId="0" applyFont="1" applyBorder="1" applyAlignment="1"/>
    <xf numFmtId="164" fontId="7" fillId="0" borderId="39" xfId="0" applyNumberFormat="1" applyFont="1" applyBorder="1" applyAlignment="1">
      <alignment horizontal="center"/>
    </xf>
    <xf numFmtId="164" fontId="7" fillId="0" borderId="40" xfId="0" applyNumberFormat="1" applyFont="1" applyBorder="1" applyAlignment="1">
      <alignment horizontal="center"/>
    </xf>
    <xf numFmtId="164" fontId="7" fillId="0" borderId="41" xfId="0" applyNumberFormat="1" applyFont="1" applyBorder="1" applyAlignment="1">
      <alignment horizontal="center"/>
    </xf>
    <xf numFmtId="0" fontId="7" fillId="0" borderId="0" xfId="0" applyFont="1" applyAlignment="1"/>
    <xf numFmtId="0" fontId="21" fillId="0" borderId="0" xfId="0" applyFont="1" applyAlignment="1"/>
    <xf numFmtId="164" fontId="7" fillId="0" borderId="0" xfId="0" applyNumberFormat="1" applyFont="1" applyAlignment="1"/>
    <xf numFmtId="164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164" fontId="7" fillId="0" borderId="0" xfId="0" applyNumberFormat="1" applyFont="1" applyAlignment="1"/>
    <xf numFmtId="0" fontId="27" fillId="0" borderId="0" xfId="0" applyFont="1"/>
    <xf numFmtId="3" fontId="27" fillId="0" borderId="0" xfId="0" applyNumberFormat="1" applyFont="1"/>
    <xf numFmtId="8" fontId="27" fillId="0" borderId="0" xfId="0" applyNumberFormat="1" applyFont="1"/>
    <xf numFmtId="0" fontId="7" fillId="0" borderId="39" xfId="0" applyFont="1" applyBorder="1" applyAlignment="1"/>
    <xf numFmtId="0" fontId="7" fillId="0" borderId="4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styles" Target="styles.xml"/><Relationship Id="rId5" Type="http://schemas.openxmlformats.org/officeDocument/2006/relationships/chartsheet" Target="chartsheets/sheet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r>
              <a:rPr lang="en-US"/>
              <a:t>New User Balance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567996797010543"/>
          <c:y val="9.5926210209485038E-2"/>
          <c:w val="0.86484347993086241"/>
          <c:h val="0.72866384009691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Outputs!$D$8</c:f>
              <c:strCache>
                <c:ptCount val="1"/>
                <c:pt idx="0">
                  <c:v>New User Balance</c:v>
                </c:pt>
              </c:strCache>
            </c:strRef>
          </c:tx>
          <c:spPr>
            <a:solidFill>
              <a:srgbClr val="63C2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Outputs!$B$9:$B$69</c:f>
              <c:strCache>
                <c:ptCount val="38"/>
                <c:pt idx="0">
                  <c:v>Lightning Link Casino</c:v>
                </c:pt>
                <c:pt idx="1">
                  <c:v>Heart of Vegas</c:v>
                </c:pt>
                <c:pt idx="2">
                  <c:v>Scatter Slots</c:v>
                </c:pt>
                <c:pt idx="3">
                  <c:v>Slots Era</c:v>
                </c:pt>
                <c:pt idx="4">
                  <c:v>Slot Bonanza HD</c:v>
                </c:pt>
                <c:pt idx="5">
                  <c:v>Hit It Rich</c:v>
                </c:pt>
                <c:pt idx="6">
                  <c:v>Big Fish Casino</c:v>
                </c:pt>
                <c:pt idx="7">
                  <c:v>Jackpotjoy Slots</c:v>
                </c:pt>
                <c:pt idx="8">
                  <c:v>DoubleDown</c:v>
                </c:pt>
                <c:pt idx="9">
                  <c:v>Old Vegas</c:v>
                </c:pt>
                <c:pt idx="10">
                  <c:v>Slots on Tour</c:v>
                </c:pt>
                <c:pt idx="11">
                  <c:v>Black Diamond Slots</c:v>
                </c:pt>
                <c:pt idx="12">
                  <c:v>Cashman Casino</c:v>
                </c:pt>
                <c:pt idx="13">
                  <c:v>Jackpot Magic Slots</c:v>
                </c:pt>
                <c:pt idx="14">
                  <c:v>Slotomania</c:v>
                </c:pt>
                <c:pt idx="15">
                  <c:v>Pharaoh's Way</c:v>
                </c:pt>
                <c:pt idx="16">
                  <c:v>Hot Shot Casino</c:v>
                </c:pt>
                <c:pt idx="17">
                  <c:v>DoubleU Casino</c:v>
                </c:pt>
                <c:pt idx="18">
                  <c:v>Jackpot Party</c:v>
                </c:pt>
                <c:pt idx="19">
                  <c:v>Ellen’s Road to Riches</c:v>
                </c:pt>
                <c:pt idx="20">
                  <c:v>Gold Fish HD</c:v>
                </c:pt>
                <c:pt idx="21">
                  <c:v>Monopoly Slots</c:v>
                </c:pt>
                <c:pt idx="22">
                  <c:v>Quick Hit Slots</c:v>
                </c:pt>
                <c:pt idx="23">
                  <c:v>Infinity Slots</c:v>
                </c:pt>
                <c:pt idx="24">
                  <c:v>Xtreme Slots</c:v>
                </c:pt>
                <c:pt idx="25">
                  <c:v>Wonka Slots</c:v>
                </c:pt>
                <c:pt idx="26">
                  <c:v>Viva Slots Las Vegas</c:v>
                </c:pt>
                <c:pt idx="27">
                  <c:v>88 Fortune Slots</c:v>
                </c:pt>
                <c:pt idx="28">
                  <c:v>GSN Casino</c:v>
                </c:pt>
                <c:pt idx="29">
                  <c:v>my KONAMI</c:v>
                </c:pt>
                <c:pt idx="30">
                  <c:v>myVEGAS</c:v>
                </c:pt>
                <c:pt idx="31">
                  <c:v>Caesars Slots</c:v>
                </c:pt>
                <c:pt idx="32">
                  <c:v>Spin to Win Slots</c:v>
                </c:pt>
                <c:pt idx="33">
                  <c:v>Wizard of Oz</c:v>
                </c:pt>
                <c:pt idx="34">
                  <c:v>High 5 Casino</c:v>
                </c:pt>
                <c:pt idx="35">
                  <c:v>POP! Slots</c:v>
                </c:pt>
                <c:pt idx="36">
                  <c:v>House of Fun</c:v>
                </c:pt>
                <c:pt idx="37">
                  <c:v>Huuuge Casino</c:v>
                </c:pt>
              </c:strCache>
            </c:strRef>
          </c:cat>
          <c:val>
            <c:numRef>
              <c:f>Outputs!$D$9:$D$69</c:f>
              <c:numCache>
                <c:formatCode>"$"#,##0.00</c:formatCode>
                <c:ptCount val="38"/>
                <c:pt idx="0">
                  <c:v>50</c:v>
                </c:pt>
                <c:pt idx="1">
                  <c:v>20</c:v>
                </c:pt>
                <c:pt idx="2">
                  <c:v>17.475000000000001</c:v>
                </c:pt>
                <c:pt idx="3">
                  <c:v>17.475000000000001</c:v>
                </c:pt>
                <c:pt idx="4">
                  <c:v>16.018999999999998</c:v>
                </c:pt>
                <c:pt idx="5">
                  <c:v>16</c:v>
                </c:pt>
                <c:pt idx="6">
                  <c:v>9.0909090909090917</c:v>
                </c:pt>
                <c:pt idx="7">
                  <c:v>8.9791666666666661</c:v>
                </c:pt>
                <c:pt idx="8">
                  <c:v>8</c:v>
                </c:pt>
                <c:pt idx="9">
                  <c:v>7.5</c:v>
                </c:pt>
                <c:pt idx="10">
                  <c:v>6.658666666666667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4.8309178743961354</c:v>
                </c:pt>
                <c:pt idx="16">
                  <c:v>4.375</c:v>
                </c:pt>
                <c:pt idx="17">
                  <c:v>3.3333333333333335</c:v>
                </c:pt>
                <c:pt idx="18">
                  <c:v>3</c:v>
                </c:pt>
                <c:pt idx="19">
                  <c:v>2.3737181921762249</c:v>
                </c:pt>
                <c:pt idx="20">
                  <c:v>2.3333333333333335</c:v>
                </c:pt>
                <c:pt idx="21">
                  <c:v>2.2222222222222223</c:v>
                </c:pt>
                <c:pt idx="22">
                  <c:v>1.875</c:v>
                </c:pt>
                <c:pt idx="23">
                  <c:v>1.6666666666666667</c:v>
                </c:pt>
                <c:pt idx="24">
                  <c:v>1.5496759259259258</c:v>
                </c:pt>
                <c:pt idx="25">
                  <c:v>1.5</c:v>
                </c:pt>
                <c:pt idx="26">
                  <c:v>1.3333333333333333</c:v>
                </c:pt>
                <c:pt idx="27">
                  <c:v>1.2698412698412698</c:v>
                </c:pt>
                <c:pt idx="28">
                  <c:v>1.0964912280701755</c:v>
                </c:pt>
                <c:pt idx="29">
                  <c:v>0</c:v>
                </c:pt>
                <c:pt idx="30">
                  <c:v>0.95238095238095233</c:v>
                </c:pt>
                <c:pt idx="31">
                  <c:v>0.64516129032258063</c:v>
                </c:pt>
                <c:pt idx="32">
                  <c:v>0.4</c:v>
                </c:pt>
                <c:pt idx="33">
                  <c:v>0.36363636363636365</c:v>
                </c:pt>
                <c:pt idx="34">
                  <c:v>0.34722222222222221</c:v>
                </c:pt>
                <c:pt idx="35">
                  <c:v>0.33333333333333331</c:v>
                </c:pt>
                <c:pt idx="36">
                  <c:v>0.25</c:v>
                </c:pt>
                <c:pt idx="37">
                  <c:v>2.6799859179721879E-2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39-B643-84E1-670A99D4E0B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1"/>
        <c:overlap val="-10"/>
        <c:axId val="189229231"/>
        <c:axId val="709034431"/>
      </c:barChart>
      <c:catAx>
        <c:axId val="18922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endParaRPr lang="en-US"/>
          </a:p>
        </c:txPr>
        <c:crossAx val="709034431"/>
        <c:crosses val="autoZero"/>
        <c:auto val="1"/>
        <c:lblAlgn val="ctr"/>
        <c:lblOffset val="100"/>
        <c:noMultiLvlLbl val="0"/>
      </c:catAx>
      <c:valAx>
        <c:axId val="709034431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endParaRPr lang="en-US"/>
          </a:p>
        </c:txPr>
        <c:crossAx val="189229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202E4D"/>
              </a:solidFill>
              <a:latin typeface="TT Norms" panose="02000503030000020003" pitchFamily="2" charset="77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202E4D"/>
          </a:solidFill>
          <a:latin typeface="TT Norms" panose="02000503030000020003" pitchFamily="2" charset="77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r>
              <a:rPr lang="en-US"/>
              <a:t>Daily Free Value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567996797010543"/>
          <c:y val="9.5926210209485038E-2"/>
          <c:w val="0.86484347993086241"/>
          <c:h val="0.72866384009691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Outputs!$E$8</c:f>
              <c:strCache>
                <c:ptCount val="1"/>
                <c:pt idx="0">
                  <c:v>Daily Free Value</c:v>
                </c:pt>
              </c:strCache>
            </c:strRef>
          </c:tx>
          <c:spPr>
            <a:solidFill>
              <a:srgbClr val="63C2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Outputs!$B$9:$B$69</c:f>
              <c:strCache>
                <c:ptCount val="38"/>
                <c:pt idx="0">
                  <c:v>Lightning Link Casino</c:v>
                </c:pt>
                <c:pt idx="1">
                  <c:v>Heart of Vegas</c:v>
                </c:pt>
                <c:pt idx="2">
                  <c:v>Scatter Slots</c:v>
                </c:pt>
                <c:pt idx="3">
                  <c:v>Slots Era</c:v>
                </c:pt>
                <c:pt idx="4">
                  <c:v>Slot Bonanza HD</c:v>
                </c:pt>
                <c:pt idx="5">
                  <c:v>Hit It Rich</c:v>
                </c:pt>
                <c:pt idx="6">
                  <c:v>Big Fish Casino</c:v>
                </c:pt>
                <c:pt idx="7">
                  <c:v>Jackpotjoy Slots</c:v>
                </c:pt>
                <c:pt idx="8">
                  <c:v>DoubleDown</c:v>
                </c:pt>
                <c:pt idx="9">
                  <c:v>Old Vegas</c:v>
                </c:pt>
                <c:pt idx="10">
                  <c:v>Slots on Tour</c:v>
                </c:pt>
                <c:pt idx="11">
                  <c:v>Black Diamond Slots</c:v>
                </c:pt>
                <c:pt idx="12">
                  <c:v>Cashman Casino</c:v>
                </c:pt>
                <c:pt idx="13">
                  <c:v>Jackpot Magic Slots</c:v>
                </c:pt>
                <c:pt idx="14">
                  <c:v>Slotomania</c:v>
                </c:pt>
                <c:pt idx="15">
                  <c:v>Pharaoh's Way</c:v>
                </c:pt>
                <c:pt idx="16">
                  <c:v>Hot Shot Casino</c:v>
                </c:pt>
                <c:pt idx="17">
                  <c:v>DoubleU Casino</c:v>
                </c:pt>
                <c:pt idx="18">
                  <c:v>Jackpot Party</c:v>
                </c:pt>
                <c:pt idx="19">
                  <c:v>Ellen’s Road to Riches</c:v>
                </c:pt>
                <c:pt idx="20">
                  <c:v>Gold Fish HD</c:v>
                </c:pt>
                <c:pt idx="21">
                  <c:v>Monopoly Slots</c:v>
                </c:pt>
                <c:pt idx="22">
                  <c:v>Quick Hit Slots</c:v>
                </c:pt>
                <c:pt idx="23">
                  <c:v>Infinity Slots</c:v>
                </c:pt>
                <c:pt idx="24">
                  <c:v>Xtreme Slots</c:v>
                </c:pt>
                <c:pt idx="25">
                  <c:v>Wonka Slots</c:v>
                </c:pt>
                <c:pt idx="26">
                  <c:v>Viva Slots Las Vegas</c:v>
                </c:pt>
                <c:pt idx="27">
                  <c:v>88 Fortune Slots</c:v>
                </c:pt>
                <c:pt idx="28">
                  <c:v>GSN Casino</c:v>
                </c:pt>
                <c:pt idx="29">
                  <c:v>my KONAMI</c:v>
                </c:pt>
                <c:pt idx="30">
                  <c:v>myVEGAS</c:v>
                </c:pt>
                <c:pt idx="31">
                  <c:v>Caesars Slots</c:v>
                </c:pt>
                <c:pt idx="32">
                  <c:v>Spin to Win Slots</c:v>
                </c:pt>
                <c:pt idx="33">
                  <c:v>Wizard of Oz</c:v>
                </c:pt>
                <c:pt idx="34">
                  <c:v>High 5 Casino</c:v>
                </c:pt>
                <c:pt idx="35">
                  <c:v>POP! Slots</c:v>
                </c:pt>
                <c:pt idx="36">
                  <c:v>House of Fun</c:v>
                </c:pt>
                <c:pt idx="37">
                  <c:v>Huuuge Casino</c:v>
                </c:pt>
              </c:strCache>
            </c:strRef>
          </c:cat>
          <c:val>
            <c:numRef>
              <c:f>Outputs!$E$9:$E$69</c:f>
              <c:numCache>
                <c:formatCode>"$"#,##0.00;</c:formatCode>
                <c:ptCount val="38"/>
                <c:pt idx="0">
                  <c:v>1.9416666666666667</c:v>
                </c:pt>
                <c:pt idx="1">
                  <c:v>0.91800000000000004</c:v>
                </c:pt>
                <c:pt idx="2">
                  <c:v>2.1966666666666668</c:v>
                </c:pt>
                <c:pt idx="3">
                  <c:v>3.1404166666666669</c:v>
                </c:pt>
                <c:pt idx="4">
                  <c:v>1.546</c:v>
                </c:pt>
                <c:pt idx="5">
                  <c:v>14.157894736842104</c:v>
                </c:pt>
                <c:pt idx="6">
                  <c:v>6.706818181818182</c:v>
                </c:pt>
                <c:pt idx="7">
                  <c:v>2.0466666666666664E-2</c:v>
                </c:pt>
                <c:pt idx="8">
                  <c:v>1.4239999999999999</c:v>
                </c:pt>
                <c:pt idx="9">
                  <c:v>1.95</c:v>
                </c:pt>
                <c:pt idx="10">
                  <c:v>0.97677146666666659</c:v>
                </c:pt>
                <c:pt idx="11">
                  <c:v>3.7128570000000001</c:v>
                </c:pt>
                <c:pt idx="12">
                  <c:v>2.6333333333333333</c:v>
                </c:pt>
                <c:pt idx="13">
                  <c:v>5.9421875000000002</c:v>
                </c:pt>
                <c:pt idx="14">
                  <c:v>1.2813333333333332</c:v>
                </c:pt>
                <c:pt idx="15">
                  <c:v>1.4486714975845412</c:v>
                </c:pt>
                <c:pt idx="16">
                  <c:v>0.92031249999999998</c:v>
                </c:pt>
                <c:pt idx="17">
                  <c:v>2.4613333333333332</c:v>
                </c:pt>
                <c:pt idx="18">
                  <c:v>0.62619999999999998</c:v>
                </c:pt>
                <c:pt idx="19">
                  <c:v>0.75958982149639198</c:v>
                </c:pt>
                <c:pt idx="20">
                  <c:v>0.8091666666666667</c:v>
                </c:pt>
                <c:pt idx="21">
                  <c:v>0.625</c:v>
                </c:pt>
                <c:pt idx="22">
                  <c:v>0.22391249999999999</c:v>
                </c:pt>
                <c:pt idx="23">
                  <c:v>2.3993055555555554</c:v>
                </c:pt>
                <c:pt idx="24">
                  <c:v>0.55864197530864201</c:v>
                </c:pt>
                <c:pt idx="25">
                  <c:v>5.8366666666666669</c:v>
                </c:pt>
                <c:pt idx="26">
                  <c:v>2.6666666666666665</c:v>
                </c:pt>
                <c:pt idx="27">
                  <c:v>0.56444444444444442</c:v>
                </c:pt>
                <c:pt idx="28">
                  <c:v>3.5078947368421054</c:v>
                </c:pt>
                <c:pt idx="29">
                  <c:v>0.20086916666666665</c:v>
                </c:pt>
                <c:pt idx="30">
                  <c:v>0.82380952380952377</c:v>
                </c:pt>
                <c:pt idx="31">
                  <c:v>0.61825268817204293</c:v>
                </c:pt>
                <c:pt idx="32">
                  <c:v>0.79600000000000004</c:v>
                </c:pt>
                <c:pt idx="33">
                  <c:v>0.12656363636363635</c:v>
                </c:pt>
                <c:pt idx="34">
                  <c:v>4.4965277777777778E-2</c:v>
                </c:pt>
                <c:pt idx="35">
                  <c:v>0.54166666666666663</c:v>
                </c:pt>
                <c:pt idx="36">
                  <c:v>0.2528333333333333</c:v>
                </c:pt>
                <c:pt idx="37">
                  <c:v>0.16890512233761662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39-B643-84E1-670A99D4E0B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1"/>
        <c:overlap val="-10"/>
        <c:axId val="189229231"/>
        <c:axId val="709034431"/>
      </c:barChart>
      <c:catAx>
        <c:axId val="18922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endParaRPr lang="en-US"/>
          </a:p>
        </c:txPr>
        <c:crossAx val="709034431"/>
        <c:crosses val="autoZero"/>
        <c:auto val="1"/>
        <c:lblAlgn val="ctr"/>
        <c:lblOffset val="100"/>
        <c:noMultiLvlLbl val="0"/>
      </c:catAx>
      <c:valAx>
        <c:axId val="709034431"/>
        <c:scaling>
          <c:orientation val="minMax"/>
        </c:scaling>
        <c:delete val="0"/>
        <c:axPos val="l"/>
        <c:numFmt formatCode="&quot;$&quot;#,##0.00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endParaRPr lang="en-US"/>
          </a:p>
        </c:txPr>
        <c:crossAx val="189229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202E4D"/>
              </a:solidFill>
              <a:latin typeface="TT Norms" panose="02000503030000020003" pitchFamily="2" charset="77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202E4D"/>
          </a:solidFill>
          <a:latin typeface="TT Norms" panose="02000503030000020003" pitchFamily="2" charset="77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r>
              <a:rPr lang="en-US"/>
              <a:t>New User Balance: Default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9071308763919305E-2"/>
          <c:y val="0.12878493348359604"/>
          <c:w val="0.89640730559567627"/>
          <c:h val="0.74232699764493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Outputs!$F$9</c:f>
              <c:strCache>
                <c:ptCount val="1"/>
                <c:pt idx="0">
                  <c:v>4,999</c:v>
                </c:pt>
              </c:strCache>
            </c:strRef>
          </c:tx>
          <c:spPr>
            <a:solidFill>
              <a:srgbClr val="63C2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Outputs!$B$10:$B$69</c:f>
              <c:strCache>
                <c:ptCount val="37"/>
                <c:pt idx="0">
                  <c:v>Heart of Vegas</c:v>
                </c:pt>
                <c:pt idx="1">
                  <c:v>Scatter Slots</c:v>
                </c:pt>
                <c:pt idx="2">
                  <c:v>Slots Era</c:v>
                </c:pt>
                <c:pt idx="3">
                  <c:v>Slot Bonanza HD</c:v>
                </c:pt>
                <c:pt idx="4">
                  <c:v>Hit It Rich</c:v>
                </c:pt>
                <c:pt idx="5">
                  <c:v>Big Fish Casino</c:v>
                </c:pt>
                <c:pt idx="6">
                  <c:v>Jackpotjoy Slots</c:v>
                </c:pt>
                <c:pt idx="7">
                  <c:v>DoubleDown</c:v>
                </c:pt>
                <c:pt idx="8">
                  <c:v>Old Vegas</c:v>
                </c:pt>
                <c:pt idx="9">
                  <c:v>Slots on Tour</c:v>
                </c:pt>
                <c:pt idx="10">
                  <c:v>Black Diamond Slots</c:v>
                </c:pt>
                <c:pt idx="11">
                  <c:v>Cashman Casino</c:v>
                </c:pt>
                <c:pt idx="12">
                  <c:v>Jackpot Magic Slots</c:v>
                </c:pt>
                <c:pt idx="13">
                  <c:v>Slotomania</c:v>
                </c:pt>
                <c:pt idx="14">
                  <c:v>Pharaoh's Way</c:v>
                </c:pt>
                <c:pt idx="15">
                  <c:v>Hot Shot Casino</c:v>
                </c:pt>
                <c:pt idx="16">
                  <c:v>DoubleU Casino</c:v>
                </c:pt>
                <c:pt idx="17">
                  <c:v>Jackpot Party</c:v>
                </c:pt>
                <c:pt idx="18">
                  <c:v>Ellen’s Road to Riches</c:v>
                </c:pt>
                <c:pt idx="19">
                  <c:v>Gold Fish HD</c:v>
                </c:pt>
                <c:pt idx="20">
                  <c:v>Monopoly Slots</c:v>
                </c:pt>
                <c:pt idx="21">
                  <c:v>Quick Hit Slots</c:v>
                </c:pt>
                <c:pt idx="22">
                  <c:v>Infinity Slots</c:v>
                </c:pt>
                <c:pt idx="23">
                  <c:v>Xtreme Slots</c:v>
                </c:pt>
                <c:pt idx="24">
                  <c:v>Wonka Slots</c:v>
                </c:pt>
                <c:pt idx="25">
                  <c:v>Viva Slots Las Vegas</c:v>
                </c:pt>
                <c:pt idx="26">
                  <c:v>88 Fortune Slots</c:v>
                </c:pt>
                <c:pt idx="27">
                  <c:v>GSN Casino</c:v>
                </c:pt>
                <c:pt idx="28">
                  <c:v>my KONAMI</c:v>
                </c:pt>
                <c:pt idx="29">
                  <c:v>myVEGAS</c:v>
                </c:pt>
                <c:pt idx="30">
                  <c:v>Caesars Slots</c:v>
                </c:pt>
                <c:pt idx="31">
                  <c:v>Spin to Win Slots</c:v>
                </c:pt>
                <c:pt idx="32">
                  <c:v>Wizard of Oz</c:v>
                </c:pt>
                <c:pt idx="33">
                  <c:v>High 5 Casino</c:v>
                </c:pt>
                <c:pt idx="34">
                  <c:v>POP! Slots</c:v>
                </c:pt>
                <c:pt idx="35">
                  <c:v>House of Fun</c:v>
                </c:pt>
                <c:pt idx="36">
                  <c:v>Huuuge Casino</c:v>
                </c:pt>
              </c:strCache>
            </c:strRef>
          </c:cat>
          <c:val>
            <c:numRef>
              <c:f>Outputs!$F$10:$F$69</c:f>
              <c:numCache>
                <c:formatCode>#,##0</c:formatCode>
                <c:ptCount val="37"/>
                <c:pt idx="0">
                  <c:v>0</c:v>
                </c:pt>
                <c:pt idx="1">
                  <c:v>10484.000000000002</c:v>
                </c:pt>
                <c:pt idx="2">
                  <c:v>10484.000000000002</c:v>
                </c:pt>
                <c:pt idx="3">
                  <c:v>32037.000000000007</c:v>
                </c:pt>
                <c:pt idx="4">
                  <c:v>443.44444444444451</c:v>
                </c:pt>
                <c:pt idx="5">
                  <c:v>1599.0000000000005</c:v>
                </c:pt>
                <c:pt idx="6">
                  <c:v>322.25000000000011</c:v>
                </c:pt>
                <c:pt idx="7">
                  <c:v>999.00000000000023</c:v>
                </c:pt>
                <c:pt idx="8">
                  <c:v>2999.0000000000005</c:v>
                </c:pt>
                <c:pt idx="9">
                  <c:v>1663.666666666667</c:v>
                </c:pt>
                <c:pt idx="10">
                  <c:v>2856.1428571428578</c:v>
                </c:pt>
                <c:pt idx="11">
                  <c:v>0</c:v>
                </c:pt>
                <c:pt idx="12">
                  <c:v>3999.0000000000009</c:v>
                </c:pt>
                <c:pt idx="13">
                  <c:v>1999.0000000000005</c:v>
                </c:pt>
                <c:pt idx="14">
                  <c:v>199999.00000000006</c:v>
                </c:pt>
                <c:pt idx="15">
                  <c:v>349.00000000000006</c:v>
                </c:pt>
                <c:pt idx="16">
                  <c:v>0</c:v>
                </c:pt>
                <c:pt idx="17">
                  <c:v>415.66666666666674</c:v>
                </c:pt>
                <c:pt idx="18">
                  <c:v>3124.0000000000009</c:v>
                </c:pt>
                <c:pt idx="19">
                  <c:v>2665.6666666666674</c:v>
                </c:pt>
                <c:pt idx="20">
                  <c:v>399.00000000000011</c:v>
                </c:pt>
                <c:pt idx="21">
                  <c:v>1249.0000000000002</c:v>
                </c:pt>
                <c:pt idx="22">
                  <c:v>499.00000000000011</c:v>
                </c:pt>
                <c:pt idx="23">
                  <c:v>1672.65</c:v>
                </c:pt>
                <c:pt idx="24">
                  <c:v>499.00000000000011</c:v>
                </c:pt>
                <c:pt idx="25">
                  <c:v>399.00000000000011</c:v>
                </c:pt>
                <c:pt idx="26">
                  <c:v>443.14834554741293</c:v>
                </c:pt>
                <c:pt idx="27">
                  <c:v>311.50000000000006</c:v>
                </c:pt>
                <c:pt idx="28">
                  <c:v>0</c:v>
                </c:pt>
                <c:pt idx="29">
                  <c:v>332.33333333333343</c:v>
                </c:pt>
                <c:pt idx="30">
                  <c:v>79999.000000000015</c:v>
                </c:pt>
                <c:pt idx="31">
                  <c:v>6665.6666666666679</c:v>
                </c:pt>
                <c:pt idx="32">
                  <c:v>3999.0000000000009</c:v>
                </c:pt>
                <c:pt idx="33">
                  <c:v>999.00000000000023</c:v>
                </c:pt>
                <c:pt idx="34">
                  <c:v>499.00000000000011</c:v>
                </c:pt>
                <c:pt idx="35">
                  <c:v>1110.1111111111113</c:v>
                </c:pt>
                <c:pt idx="36">
                  <c:v>51.956521739130444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39-B643-84E1-670A99D4E0B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4"/>
        <c:axId val="189229231"/>
        <c:axId val="709034431"/>
      </c:barChart>
      <c:catAx>
        <c:axId val="1892292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202E4D"/>
                    </a:solidFill>
                    <a:latin typeface="TT Norms" panose="02000503030000020003" pitchFamily="2" charset="77"/>
                    <a:ea typeface="+mn-ea"/>
                    <a:cs typeface="+mn-cs"/>
                  </a:defRPr>
                </a:pPr>
                <a:r>
                  <a:rPr lang="en-US"/>
                  <a:t>Title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endParaRPr lang="en-US"/>
          </a:p>
        </c:txPr>
        <c:crossAx val="709034431"/>
        <c:crosses val="autoZero"/>
        <c:auto val="1"/>
        <c:lblAlgn val="ctr"/>
        <c:lblOffset val="100"/>
        <c:noMultiLvlLbl val="0"/>
      </c:catAx>
      <c:valAx>
        <c:axId val="70903443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endParaRPr lang="en-US"/>
          </a:p>
        </c:txPr>
        <c:crossAx val="189229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202E4D"/>
              </a:solidFill>
              <a:latin typeface="TT Norms" panose="02000503030000020003" pitchFamily="2" charset="77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202E4D"/>
          </a:solidFill>
          <a:latin typeface="TT Norms" panose="02000503030000020003" pitchFamily="2" charset="77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r>
              <a:rPr lang="en-US"/>
              <a:t>New User Balance: Default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9071308763919305E-2"/>
          <c:y val="0.12878493348359604"/>
          <c:w val="0.89640730559567627"/>
          <c:h val="0.74232699764493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Outputs!$G$8</c:f>
              <c:strCache>
                <c:ptCount val="1"/>
                <c:pt idx="0">
                  <c:v>Minimum Tuning</c:v>
                </c:pt>
              </c:strCache>
            </c:strRef>
          </c:tx>
          <c:spPr>
            <a:solidFill>
              <a:srgbClr val="63C2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Outputs!$B$9:$B$69</c:f>
              <c:strCache>
                <c:ptCount val="38"/>
                <c:pt idx="0">
                  <c:v>Lightning Link Casino</c:v>
                </c:pt>
                <c:pt idx="1">
                  <c:v>Heart of Vegas</c:v>
                </c:pt>
                <c:pt idx="2">
                  <c:v>Scatter Slots</c:v>
                </c:pt>
                <c:pt idx="3">
                  <c:v>Slots Era</c:v>
                </c:pt>
                <c:pt idx="4">
                  <c:v>Slot Bonanza HD</c:v>
                </c:pt>
                <c:pt idx="5">
                  <c:v>Hit It Rich</c:v>
                </c:pt>
                <c:pt idx="6">
                  <c:v>Big Fish Casino</c:v>
                </c:pt>
                <c:pt idx="7">
                  <c:v>Jackpotjoy Slots</c:v>
                </c:pt>
                <c:pt idx="8">
                  <c:v>DoubleDown</c:v>
                </c:pt>
                <c:pt idx="9">
                  <c:v>Old Vegas</c:v>
                </c:pt>
                <c:pt idx="10">
                  <c:v>Slots on Tour</c:v>
                </c:pt>
                <c:pt idx="11">
                  <c:v>Black Diamond Slots</c:v>
                </c:pt>
                <c:pt idx="12">
                  <c:v>Cashman Casino</c:v>
                </c:pt>
                <c:pt idx="13">
                  <c:v>Jackpot Magic Slots</c:v>
                </c:pt>
                <c:pt idx="14">
                  <c:v>Slotomania</c:v>
                </c:pt>
                <c:pt idx="15">
                  <c:v>Pharaoh's Way</c:v>
                </c:pt>
                <c:pt idx="16">
                  <c:v>Hot Shot Casino</c:v>
                </c:pt>
                <c:pt idx="17">
                  <c:v>DoubleU Casino</c:v>
                </c:pt>
                <c:pt idx="18">
                  <c:v>Jackpot Party</c:v>
                </c:pt>
                <c:pt idx="19">
                  <c:v>Ellen’s Road to Riches</c:v>
                </c:pt>
                <c:pt idx="20">
                  <c:v>Gold Fish HD</c:v>
                </c:pt>
                <c:pt idx="21">
                  <c:v>Monopoly Slots</c:v>
                </c:pt>
                <c:pt idx="22">
                  <c:v>Quick Hit Slots</c:v>
                </c:pt>
                <c:pt idx="23">
                  <c:v>Infinity Slots</c:v>
                </c:pt>
                <c:pt idx="24">
                  <c:v>Xtreme Slots</c:v>
                </c:pt>
                <c:pt idx="25">
                  <c:v>Wonka Slots</c:v>
                </c:pt>
                <c:pt idx="26">
                  <c:v>Viva Slots Las Vegas</c:v>
                </c:pt>
                <c:pt idx="27">
                  <c:v>88 Fortune Slots</c:v>
                </c:pt>
                <c:pt idx="28">
                  <c:v>GSN Casino</c:v>
                </c:pt>
                <c:pt idx="29">
                  <c:v>my KONAMI</c:v>
                </c:pt>
                <c:pt idx="30">
                  <c:v>myVEGAS</c:v>
                </c:pt>
                <c:pt idx="31">
                  <c:v>Caesars Slots</c:v>
                </c:pt>
                <c:pt idx="32">
                  <c:v>Spin to Win Slots</c:v>
                </c:pt>
                <c:pt idx="33">
                  <c:v>Wizard of Oz</c:v>
                </c:pt>
                <c:pt idx="34">
                  <c:v>High 5 Casino</c:v>
                </c:pt>
                <c:pt idx="35">
                  <c:v>POP! Slots</c:v>
                </c:pt>
                <c:pt idx="36">
                  <c:v>House of Fun</c:v>
                </c:pt>
                <c:pt idx="37">
                  <c:v>Huuuge Casino</c:v>
                </c:pt>
              </c:strCache>
            </c:strRef>
          </c:cat>
          <c:val>
            <c:numRef>
              <c:f>Outputs!$G$9:$G$69</c:f>
              <c:numCache>
                <c:formatCode>#,##0</c:formatCode>
                <c:ptCount val="38"/>
                <c:pt idx="0">
                  <c:v>9999.0000000000018</c:v>
                </c:pt>
                <c:pt idx="1">
                  <c:v>3999.0000000000009</c:v>
                </c:pt>
                <c:pt idx="2">
                  <c:v>10484.000000000002</c:v>
                </c:pt>
                <c:pt idx="3">
                  <c:v>10484.000000000002</c:v>
                </c:pt>
                <c:pt idx="4">
                  <c:v>32037.000000000007</c:v>
                </c:pt>
                <c:pt idx="5">
                  <c:v>443.44444444444451</c:v>
                </c:pt>
                <c:pt idx="6">
                  <c:v>1599.0000000000005</c:v>
                </c:pt>
                <c:pt idx="7">
                  <c:v>1292999.0000000002</c:v>
                </c:pt>
                <c:pt idx="8">
                  <c:v>999.00000000000023</c:v>
                </c:pt>
                <c:pt idx="9">
                  <c:v>2999.0000000000005</c:v>
                </c:pt>
                <c:pt idx="10">
                  <c:v>1663.666666666667</c:v>
                </c:pt>
                <c:pt idx="11">
                  <c:v>2856.1428571428578</c:v>
                </c:pt>
                <c:pt idx="12">
                  <c:v>1999.0000000000005</c:v>
                </c:pt>
                <c:pt idx="13">
                  <c:v>3999.0000000000009</c:v>
                </c:pt>
                <c:pt idx="14">
                  <c:v>1999.0000000000005</c:v>
                </c:pt>
                <c:pt idx="15">
                  <c:v>399999.00000000012</c:v>
                </c:pt>
                <c:pt idx="16">
                  <c:v>3499.0000000000009</c:v>
                </c:pt>
                <c:pt idx="17">
                  <c:v>1665.666666666667</c:v>
                </c:pt>
                <c:pt idx="18">
                  <c:v>1249.0000000000002</c:v>
                </c:pt>
                <c:pt idx="19">
                  <c:v>3124.0000000000009</c:v>
                </c:pt>
                <c:pt idx="20">
                  <c:v>4999.0000000000009</c:v>
                </c:pt>
                <c:pt idx="21">
                  <c:v>3999.0000000000009</c:v>
                </c:pt>
                <c:pt idx="22">
                  <c:v>3702.7037037037048</c:v>
                </c:pt>
                <c:pt idx="23">
                  <c:v>499.00000000000011</c:v>
                </c:pt>
                <c:pt idx="24">
                  <c:v>1672.65</c:v>
                </c:pt>
                <c:pt idx="25">
                  <c:v>1499.0000000000002</c:v>
                </c:pt>
                <c:pt idx="26">
                  <c:v>399.00000000000011</c:v>
                </c:pt>
                <c:pt idx="27">
                  <c:v>1331.4450366422388</c:v>
                </c:pt>
                <c:pt idx="28">
                  <c:v>3124.0000000000009</c:v>
                </c:pt>
                <c:pt idx="29">
                  <c:v>0</c:v>
                </c:pt>
                <c:pt idx="30">
                  <c:v>332.33333333333343</c:v>
                </c:pt>
                <c:pt idx="31">
                  <c:v>79999.000000000015</c:v>
                </c:pt>
                <c:pt idx="32">
                  <c:v>66665.666666666686</c:v>
                </c:pt>
                <c:pt idx="33">
                  <c:v>19999.000000000004</c:v>
                </c:pt>
                <c:pt idx="34">
                  <c:v>2499.0000000000005</c:v>
                </c:pt>
                <c:pt idx="35">
                  <c:v>499.00000000000011</c:v>
                </c:pt>
                <c:pt idx="36">
                  <c:v>1110.1111111111113</c:v>
                </c:pt>
                <c:pt idx="37">
                  <c:v>5294.6521739130449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39-B643-84E1-670A99D4E0B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4"/>
        <c:axId val="189229231"/>
        <c:axId val="709034431"/>
      </c:barChart>
      <c:catAx>
        <c:axId val="1892292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202E4D"/>
                    </a:solidFill>
                    <a:latin typeface="TT Norms" panose="02000503030000020003" pitchFamily="2" charset="77"/>
                    <a:ea typeface="+mn-ea"/>
                    <a:cs typeface="+mn-cs"/>
                  </a:defRPr>
                </a:pPr>
                <a:r>
                  <a:rPr lang="en-US"/>
                  <a:t>Title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endParaRPr lang="en-US"/>
          </a:p>
        </c:txPr>
        <c:crossAx val="709034431"/>
        <c:crosses val="autoZero"/>
        <c:auto val="1"/>
        <c:lblAlgn val="ctr"/>
        <c:lblOffset val="100"/>
        <c:noMultiLvlLbl val="0"/>
      </c:catAx>
      <c:valAx>
        <c:axId val="70903443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endParaRPr lang="en-US"/>
          </a:p>
        </c:txPr>
        <c:crossAx val="189229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202E4D"/>
              </a:solidFill>
              <a:latin typeface="TT Norms" panose="02000503030000020003" pitchFamily="2" charset="77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202E4D"/>
          </a:solidFill>
          <a:latin typeface="TT Norms" panose="02000503030000020003" pitchFamily="2" charset="77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r>
              <a:rPr lang="en-US"/>
              <a:t>Currency Conversion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9071308763919305E-2"/>
          <c:y val="0.12878493348359604"/>
          <c:w val="0.89640730559567627"/>
          <c:h val="0.74232699764493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Outputs!$H$8</c:f>
              <c:strCache>
                <c:ptCount val="1"/>
                <c:pt idx="0">
                  <c:v>Currency Conversion</c:v>
                </c:pt>
              </c:strCache>
            </c:strRef>
          </c:tx>
          <c:spPr>
            <a:solidFill>
              <a:srgbClr val="63C2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Outputs!$B$9:$B$69</c:f>
              <c:strCache>
                <c:ptCount val="38"/>
                <c:pt idx="0">
                  <c:v>Lightning Link Casino</c:v>
                </c:pt>
                <c:pt idx="1">
                  <c:v>Heart of Vegas</c:v>
                </c:pt>
                <c:pt idx="2">
                  <c:v>Scatter Slots</c:v>
                </c:pt>
                <c:pt idx="3">
                  <c:v>Slots Era</c:v>
                </c:pt>
                <c:pt idx="4">
                  <c:v>Slot Bonanza HD</c:v>
                </c:pt>
                <c:pt idx="5">
                  <c:v>Hit It Rich</c:v>
                </c:pt>
                <c:pt idx="6">
                  <c:v>Big Fish Casino</c:v>
                </c:pt>
                <c:pt idx="7">
                  <c:v>Jackpotjoy Slots</c:v>
                </c:pt>
                <c:pt idx="8">
                  <c:v>DoubleDown</c:v>
                </c:pt>
                <c:pt idx="9">
                  <c:v>Old Vegas</c:v>
                </c:pt>
                <c:pt idx="10">
                  <c:v>Slots on Tour</c:v>
                </c:pt>
                <c:pt idx="11">
                  <c:v>Black Diamond Slots</c:v>
                </c:pt>
                <c:pt idx="12">
                  <c:v>Cashman Casino</c:v>
                </c:pt>
                <c:pt idx="13">
                  <c:v>Jackpot Magic Slots</c:v>
                </c:pt>
                <c:pt idx="14">
                  <c:v>Slotomania</c:v>
                </c:pt>
                <c:pt idx="15">
                  <c:v>Pharaoh's Way</c:v>
                </c:pt>
                <c:pt idx="16">
                  <c:v>Hot Shot Casino</c:v>
                </c:pt>
                <c:pt idx="17">
                  <c:v>DoubleU Casino</c:v>
                </c:pt>
                <c:pt idx="18">
                  <c:v>Jackpot Party</c:v>
                </c:pt>
                <c:pt idx="19">
                  <c:v>Ellen’s Road to Riches</c:v>
                </c:pt>
                <c:pt idx="20">
                  <c:v>Gold Fish HD</c:v>
                </c:pt>
                <c:pt idx="21">
                  <c:v>Monopoly Slots</c:v>
                </c:pt>
                <c:pt idx="22">
                  <c:v>Quick Hit Slots</c:v>
                </c:pt>
                <c:pt idx="23">
                  <c:v>Infinity Slots</c:v>
                </c:pt>
                <c:pt idx="24">
                  <c:v>Xtreme Slots</c:v>
                </c:pt>
                <c:pt idx="25">
                  <c:v>Wonka Slots</c:v>
                </c:pt>
                <c:pt idx="26">
                  <c:v>Viva Slots Las Vegas</c:v>
                </c:pt>
                <c:pt idx="27">
                  <c:v>88 Fortune Slots</c:v>
                </c:pt>
                <c:pt idx="28">
                  <c:v>GSN Casino</c:v>
                </c:pt>
                <c:pt idx="29">
                  <c:v>my KONAMI</c:v>
                </c:pt>
                <c:pt idx="30">
                  <c:v>myVEGAS</c:v>
                </c:pt>
                <c:pt idx="31">
                  <c:v>Caesars Slots</c:v>
                </c:pt>
                <c:pt idx="32">
                  <c:v>Spin to Win Slots</c:v>
                </c:pt>
                <c:pt idx="33">
                  <c:v>Wizard of Oz</c:v>
                </c:pt>
                <c:pt idx="34">
                  <c:v>High 5 Casino</c:v>
                </c:pt>
                <c:pt idx="35">
                  <c:v>POP! Slots</c:v>
                </c:pt>
                <c:pt idx="36">
                  <c:v>House of Fun</c:v>
                </c:pt>
                <c:pt idx="37">
                  <c:v>Huuuge Casino</c:v>
                </c:pt>
              </c:strCache>
            </c:strRef>
          </c:cat>
          <c:val>
            <c:numRef>
              <c:f>Outputs!$H$9:$H$69</c:f>
              <c:numCache>
                <c:formatCode>#,##0</c:formatCode>
                <c:ptCount val="38"/>
                <c:pt idx="0">
                  <c:v>200000</c:v>
                </c:pt>
                <c:pt idx="1">
                  <c:v>100000</c:v>
                </c:pt>
                <c:pt idx="2">
                  <c:v>2400000</c:v>
                </c:pt>
                <c:pt idx="3">
                  <c:v>2400000</c:v>
                </c:pt>
                <c:pt idx="4">
                  <c:v>5000</c:v>
                </c:pt>
                <c:pt idx="5">
                  <c:v>95000</c:v>
                </c:pt>
                <c:pt idx="6">
                  <c:v>11000</c:v>
                </c:pt>
                <c:pt idx="7">
                  <c:v>36000</c:v>
                </c:pt>
                <c:pt idx="8">
                  <c:v>125000</c:v>
                </c:pt>
                <c:pt idx="9">
                  <c:v>2000</c:v>
                </c:pt>
                <c:pt idx="10">
                  <c:v>1500000</c:v>
                </c:pt>
                <c:pt idx="11">
                  <c:v>1000000</c:v>
                </c:pt>
                <c:pt idx="12">
                  <c:v>400000</c:v>
                </c:pt>
                <c:pt idx="13">
                  <c:v>200000</c:v>
                </c:pt>
                <c:pt idx="14">
                  <c:v>2000</c:v>
                </c:pt>
                <c:pt idx="15">
                  <c:v>8280</c:v>
                </c:pt>
                <c:pt idx="16">
                  <c:v>320000</c:v>
                </c:pt>
                <c:pt idx="17">
                  <c:v>300000</c:v>
                </c:pt>
                <c:pt idx="18">
                  <c:v>2000000</c:v>
                </c:pt>
                <c:pt idx="19">
                  <c:v>2106400</c:v>
                </c:pt>
                <c:pt idx="20">
                  <c:v>3000000</c:v>
                </c:pt>
                <c:pt idx="21">
                  <c:v>180000</c:v>
                </c:pt>
                <c:pt idx="22">
                  <c:v>1600000</c:v>
                </c:pt>
                <c:pt idx="23">
                  <c:v>1800000</c:v>
                </c:pt>
                <c:pt idx="24">
                  <c:v>3240</c:v>
                </c:pt>
                <c:pt idx="25">
                  <c:v>1200000</c:v>
                </c:pt>
                <c:pt idx="26">
                  <c:v>1500</c:v>
                </c:pt>
                <c:pt idx="27">
                  <c:v>1575000</c:v>
                </c:pt>
                <c:pt idx="28">
                  <c:v>11400</c:v>
                </c:pt>
                <c:pt idx="29">
                  <c:v>240000</c:v>
                </c:pt>
                <c:pt idx="30">
                  <c:v>52500</c:v>
                </c:pt>
                <c:pt idx="31">
                  <c:v>62000</c:v>
                </c:pt>
                <c:pt idx="32">
                  <c:v>500000</c:v>
                </c:pt>
                <c:pt idx="33">
                  <c:v>55000000</c:v>
                </c:pt>
                <c:pt idx="34">
                  <c:v>28800</c:v>
                </c:pt>
                <c:pt idx="35">
                  <c:v>90000</c:v>
                </c:pt>
                <c:pt idx="36">
                  <c:v>4000</c:v>
                </c:pt>
                <c:pt idx="37">
                  <c:v>19760000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39-B643-84E1-670A99D4E0B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4"/>
        <c:axId val="189229231"/>
        <c:axId val="709034431"/>
      </c:barChart>
      <c:catAx>
        <c:axId val="1892292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202E4D"/>
                    </a:solidFill>
                    <a:latin typeface="TT Norms" panose="02000503030000020003" pitchFamily="2" charset="77"/>
                    <a:ea typeface="+mn-ea"/>
                    <a:cs typeface="+mn-cs"/>
                  </a:defRPr>
                </a:pPr>
                <a:r>
                  <a:rPr lang="en-US"/>
                  <a:t>Title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endParaRPr lang="en-US"/>
          </a:p>
        </c:txPr>
        <c:crossAx val="709034431"/>
        <c:crosses val="autoZero"/>
        <c:auto val="1"/>
        <c:lblAlgn val="ctr"/>
        <c:lblOffset val="100"/>
        <c:noMultiLvlLbl val="0"/>
      </c:catAx>
      <c:valAx>
        <c:axId val="70903443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endParaRPr lang="en-US"/>
          </a:p>
        </c:txPr>
        <c:crossAx val="189229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202E4D"/>
              </a:solidFill>
              <a:latin typeface="TT Norms" panose="02000503030000020003" pitchFamily="2" charset="77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202E4D"/>
          </a:solidFill>
          <a:latin typeface="TT Norms" panose="02000503030000020003" pitchFamily="2" charset="77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317500</xdr:colOff>
      <xdr:row>0</xdr:row>
      <xdr:rowOff>12700</xdr:rowOff>
    </xdr:from>
    <xdr:ext cx="695325" cy="4095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7500" y="12700"/>
          <a:ext cx="695325" cy="4095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2" title="Chart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3" name="Chart 3" title="Chart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5" name="Chart 5" title="Chart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4" name="Chart 4" title="Chart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Z1005"/>
  <sheetViews>
    <sheetView workbookViewId="0">
      <pane ySplit="8" topLeftCell="A9" activePane="bottomLeft" state="frozen"/>
      <selection pane="bottomLeft" activeCell="B10" sqref="B10"/>
    </sheetView>
  </sheetViews>
  <sheetFormatPr baseColWidth="10" defaultColWidth="11.1640625" defaultRowHeight="15" customHeight="1"/>
  <cols>
    <col min="1" max="1" width="13.1640625" customWidth="1"/>
    <col min="2" max="2" width="22.6640625" customWidth="1"/>
    <col min="3" max="14" width="12.83203125" customWidth="1"/>
    <col min="15" max="26" width="11" customWidth="1"/>
  </cols>
  <sheetData>
    <row r="1" spans="1:26" ht="38">
      <c r="A1" s="8"/>
      <c r="B1" s="10" t="s">
        <v>3</v>
      </c>
      <c r="C1" s="19"/>
      <c r="D1" s="22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24"/>
    </row>
    <row r="2" spans="1:26" ht="15.75" customHeight="1">
      <c r="A2" s="23" t="s">
        <v>61</v>
      </c>
      <c r="B2" s="25"/>
      <c r="C2" s="25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.75" customHeight="1">
      <c r="A3" s="28"/>
      <c r="B3" s="30"/>
      <c r="C3" s="31"/>
      <c r="D3" s="30"/>
      <c r="E3" s="30"/>
      <c r="F3" s="30"/>
      <c r="G3" s="30"/>
      <c r="H3" s="30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32"/>
    </row>
    <row r="4" spans="1:26" ht="15.75" customHeight="1">
      <c r="A4" s="28"/>
      <c r="B4" s="36" t="s">
        <v>83</v>
      </c>
      <c r="C4" s="38" t="s">
        <v>89</v>
      </c>
      <c r="D4" s="38" t="s">
        <v>90</v>
      </c>
      <c r="E4" s="40"/>
      <c r="F4" s="42"/>
      <c r="G4" s="44"/>
      <c r="H4" s="45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32"/>
    </row>
    <row r="5" spans="1:26" ht="15.75" customHeight="1">
      <c r="A5" s="28"/>
      <c r="B5" s="47" t="s">
        <v>91</v>
      </c>
      <c r="C5" s="49">
        <v>5</v>
      </c>
      <c r="D5" s="51" t="s">
        <v>92</v>
      </c>
      <c r="E5" s="53"/>
      <c r="F5" s="51"/>
      <c r="G5" s="54"/>
      <c r="H5" s="45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32"/>
    </row>
    <row r="6" spans="1:26" ht="15.75" customHeight="1">
      <c r="A6" s="28"/>
      <c r="B6" s="28"/>
      <c r="C6" s="55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32"/>
    </row>
    <row r="7" spans="1:26" ht="15.75" hidden="1" customHeight="1">
      <c r="A7" s="57"/>
      <c r="B7" s="59" t="s">
        <v>95</v>
      </c>
      <c r="C7" s="61"/>
      <c r="D7" s="61">
        <v>2</v>
      </c>
      <c r="E7" s="61">
        <v>17</v>
      </c>
      <c r="F7" s="63">
        <v>24</v>
      </c>
      <c r="G7" s="63">
        <v>25</v>
      </c>
      <c r="H7" s="63">
        <v>19</v>
      </c>
      <c r="I7" s="65">
        <v>30</v>
      </c>
      <c r="J7" s="65">
        <v>31</v>
      </c>
      <c r="K7" s="65">
        <v>27</v>
      </c>
      <c r="L7" s="65">
        <v>28</v>
      </c>
      <c r="M7" s="65">
        <v>25</v>
      </c>
      <c r="N7" s="66">
        <v>26</v>
      </c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ht="15.75" customHeight="1">
      <c r="A8" s="68" t="s">
        <v>117</v>
      </c>
      <c r="B8" s="70" t="s">
        <v>128</v>
      </c>
      <c r="C8" s="70" t="s">
        <v>143</v>
      </c>
      <c r="D8" s="70" t="s">
        <v>144</v>
      </c>
      <c r="E8" s="70" t="s">
        <v>145</v>
      </c>
      <c r="F8" s="70" t="s">
        <v>146</v>
      </c>
      <c r="G8" s="70" t="s">
        <v>147</v>
      </c>
      <c r="H8" s="72" t="s">
        <v>148</v>
      </c>
      <c r="I8" s="70" t="str">
        <f>Inputs!B60</f>
        <v>Total Chips/Bet (Default bet)</v>
      </c>
      <c r="J8" s="70" t="str">
        <f>Inputs!B61</f>
        <v>Total Chips/Bet (Minimum Bet)</v>
      </c>
      <c r="K8" s="70" t="s">
        <v>155</v>
      </c>
      <c r="L8" s="70" t="s">
        <v>156</v>
      </c>
      <c r="M8" s="70" t="s">
        <v>157</v>
      </c>
      <c r="N8" s="75" t="s">
        <v>158</v>
      </c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5.75" customHeight="1">
      <c r="A9" s="77">
        <v>52</v>
      </c>
      <c r="B9" s="79" t="s">
        <v>56</v>
      </c>
      <c r="C9" s="81" t="s">
        <v>159</v>
      </c>
      <c r="D9" s="84">
        <f>HLOOKUP($B9,Inputs!$B$31:$BS$68,D$7,FALSE)</f>
        <v>50</v>
      </c>
      <c r="E9" s="87">
        <f>HLOOKUP($B9,Inputs!$B$31:$BS$68,E$7,FALSE)</f>
        <v>1.9416666666666667</v>
      </c>
      <c r="F9" s="91">
        <f>HLOOKUP($B9,Inputs!$B$31:$BS$68,F$7,FALSE)</f>
        <v>4999.0000000000009</v>
      </c>
      <c r="G9" s="91">
        <f>HLOOKUP($B9,Inputs!$B$31:$BS$68,G$7,FALSE)</f>
        <v>9999.0000000000018</v>
      </c>
      <c r="H9" s="91">
        <f>HLOOKUP($B9,Inputs!$B$31:$BS$68,H$7,FALSE)</f>
        <v>200000</v>
      </c>
      <c r="I9" s="91">
        <f>HLOOKUP($B9,Inputs!$B$31:$BS$68,I$7,FALSE)</f>
        <v>500</v>
      </c>
      <c r="J9" s="91">
        <f>HLOOKUP($B9,Inputs!$B$31:$BS$68,J$7,FALSE)</f>
        <v>1000</v>
      </c>
      <c r="K9" s="91">
        <f>HLOOKUP($B9,Inputs!$B$31:$BS$68,K$7,FALSE)</f>
        <v>199.99999999999983</v>
      </c>
      <c r="L9" s="91">
        <f>HLOOKUP($B9,Inputs!$B$31:$BS$68,L$7,FALSE)</f>
        <v>399.99999999999966</v>
      </c>
      <c r="M9" s="91">
        <f>HLOOKUP($B9,Inputs!$B$4:$BS$29,M$7,FALSE)</f>
        <v>20000</v>
      </c>
      <c r="N9" s="93">
        <f>HLOOKUP($B9,Inputs!$B$4:$BS$29,N$7,FALSE)</f>
        <v>10000</v>
      </c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32"/>
    </row>
    <row r="10" spans="1:26" ht="15.75" hidden="1" customHeight="1">
      <c r="A10" s="77">
        <v>37</v>
      </c>
      <c r="B10" s="94" t="s">
        <v>41</v>
      </c>
      <c r="C10" s="96" t="s">
        <v>200</v>
      </c>
      <c r="D10" s="98">
        <f>HLOOKUP($B10,Inputs!$B$31:$BS$68,D$7,FALSE)</f>
        <v>31.662166666666668</v>
      </c>
      <c r="E10" s="100">
        <f>HLOOKUP($B10,Inputs!$B$31:$BS$68,E$7,FALSE)</f>
        <v>2.5366666666666671</v>
      </c>
      <c r="F10" s="101" t="str">
        <f>HLOOKUP($B10,Inputs!$B$31:$BS$68,F$7,FALSE)</f>
        <v>Choose Bet</v>
      </c>
      <c r="G10" s="101">
        <f>HLOOKUP($B10,Inputs!$B$31:$BS$68,G$7,FALSE)</f>
        <v>9497.6500000000015</v>
      </c>
      <c r="H10" s="101">
        <f>HLOOKUP($B10,Inputs!$B$31:$BS$68,H$7,FALSE)</f>
        <v>30</v>
      </c>
      <c r="I10" s="101" t="str">
        <f>HLOOKUP($B10,Inputs!$B$31:$BS$68,I$7,FALSE)</f>
        <v>Choose Bet</v>
      </c>
      <c r="J10" s="101">
        <f>HLOOKUP($B10,Inputs!$B$31:$BS$68,J$7,FALSE)</f>
        <v>50</v>
      </c>
      <c r="K10" s="101" t="str">
        <f>HLOOKUP($B10,Inputs!$B$31:$BS$68,K$7,FALSE)</f>
        <v>Choose Bet</v>
      </c>
      <c r="L10" s="101">
        <f>HLOOKUP($B10,Inputs!$B$31:$BS$68,L$7,FALSE)</f>
        <v>599.99999999999943</v>
      </c>
      <c r="M10" s="107" t="str">
        <f>HLOOKUP($B10,Inputs!$B$4:$BS$29,M$7,FALSE)</f>
        <v>Choose Bet</v>
      </c>
      <c r="N10" s="109">
        <f>HLOOKUP($B10,Inputs!$B$4:$BS$29,N$7,FALSE)</f>
        <v>1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2"/>
    </row>
    <row r="11" spans="1:26" ht="15.75" hidden="1" customHeight="1">
      <c r="A11" s="77">
        <v>41</v>
      </c>
      <c r="B11" s="94" t="s">
        <v>45</v>
      </c>
      <c r="C11" s="96" t="s">
        <v>200</v>
      </c>
      <c r="D11" s="98">
        <f>HLOOKUP($B11,Inputs!$B$31:$BS$68,D$7,FALSE)</f>
        <v>25.965</v>
      </c>
      <c r="E11" s="100">
        <f>HLOOKUP($B11,Inputs!$B$31:$BS$68,E$7,FALSE)</f>
        <v>1.75</v>
      </c>
      <c r="F11" s="101" t="str">
        <f>HLOOKUP($B11,Inputs!$B$31:$BS$68,F$7,FALSE)</f>
        <v>Choose Bet</v>
      </c>
      <c r="G11" s="101">
        <f>HLOOKUP($B11,Inputs!$B$31:$BS$68,G$7,FALSE)</f>
        <v>2076.2000000000003</v>
      </c>
      <c r="H11" s="101">
        <f>HLOOKUP($B11,Inputs!$B$31:$BS$68,H$7,FALSE)</f>
        <v>8</v>
      </c>
      <c r="I11" s="101" t="str">
        <f>HLOOKUP($B11,Inputs!$B$31:$BS$68,I$7,FALSE)</f>
        <v>Choose Bet</v>
      </c>
      <c r="J11" s="101">
        <f>HLOOKUP($B11,Inputs!$B$31:$BS$68,J$7,FALSE)</f>
        <v>68</v>
      </c>
      <c r="K11" s="101" t="str">
        <f>HLOOKUP($B11,Inputs!$B$31:$BS$68,K$7,FALSE)</f>
        <v>Choose Bet</v>
      </c>
      <c r="L11" s="101">
        <f>HLOOKUP($B11,Inputs!$B$31:$BS$68,L$7,FALSE)</f>
        <v>159.99999999999986</v>
      </c>
      <c r="M11" s="107" t="str">
        <f>HLOOKUP($B11,Inputs!$B$4:$BS$29,M$7,FALSE)</f>
        <v>Choose Bet</v>
      </c>
      <c r="N11" s="109">
        <f>HLOOKUP($B11,Inputs!$B$4:$BS$29,N$7,FALSE)</f>
        <v>1</v>
      </c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32"/>
    </row>
    <row r="12" spans="1:26" ht="15.75" hidden="1" customHeight="1">
      <c r="A12" s="77">
        <v>53</v>
      </c>
      <c r="B12" s="114" t="s">
        <v>57</v>
      </c>
      <c r="C12" s="115" t="s">
        <v>200</v>
      </c>
      <c r="D12" s="98">
        <f>HLOOKUP($B12,Inputs!$B$31:$BS$68,D$7,FALSE)</f>
        <v>24.192307692307693</v>
      </c>
      <c r="E12" s="100">
        <f>HLOOKUP($B12,Inputs!$B$31:$BS$68,E$7,FALSE)</f>
        <v>3.359375</v>
      </c>
      <c r="F12" s="101" t="str">
        <f>HLOOKUP($B12,Inputs!$B$31:$BS$68,F$7,FALSE)</f>
        <v>Choose Bet</v>
      </c>
      <c r="G12" s="101">
        <f>HLOOKUP($B12,Inputs!$B$31:$BS$68,G$7,FALSE)</f>
        <v>2418.23076923077</v>
      </c>
      <c r="H12" s="101">
        <f>HLOOKUP($B12,Inputs!$B$31:$BS$68,H$7,FALSE)</f>
        <v>100</v>
      </c>
      <c r="I12" s="101" t="str">
        <f>HLOOKUP($B12,Inputs!$B$31:$BS$68,I$7,FALSE)</f>
        <v>Choose Bet</v>
      </c>
      <c r="J12" s="101">
        <f>HLOOKUP($B12,Inputs!$B$31:$BS$68,J$7,FALSE)</f>
        <v>50</v>
      </c>
      <c r="K12" s="101" t="str">
        <f>HLOOKUP($B12,Inputs!$B$31:$BS$68,K$7,FALSE)</f>
        <v>Choose Bet</v>
      </c>
      <c r="L12" s="101">
        <f>HLOOKUP($B12,Inputs!$B$31:$BS$68,L$7,FALSE)</f>
        <v>199.99999999999983</v>
      </c>
      <c r="M12" s="101" t="str">
        <f>HLOOKUP($B12,Inputs!$B$4:$BS$29,M$7,FALSE)</f>
        <v>Choose Bet</v>
      </c>
      <c r="N12" s="116">
        <f>HLOOKUP($B12,Inputs!$B$4:$BS$29,N$7,FALSE)</f>
        <v>10</v>
      </c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32"/>
    </row>
    <row r="13" spans="1:26" ht="15.75" customHeight="1">
      <c r="A13" s="77">
        <v>5</v>
      </c>
      <c r="B13" s="94" t="s">
        <v>9</v>
      </c>
      <c r="C13" s="96" t="s">
        <v>159</v>
      </c>
      <c r="D13" s="98">
        <f>HLOOKUP($B13,Inputs!$B$31:$BS$68,D$7,FALSE)</f>
        <v>20</v>
      </c>
      <c r="E13" s="100">
        <f>HLOOKUP($B13,Inputs!$B$31:$BS$68,E$7,FALSE)</f>
        <v>0.91800000000000004</v>
      </c>
      <c r="F13" s="101" t="str">
        <f>HLOOKUP($B13,Inputs!$B$31:$BS$68,F$7,FALSE)</f>
        <v>Choose Bet</v>
      </c>
      <c r="G13" s="101">
        <f>HLOOKUP($B13,Inputs!$B$31:$BS$68,G$7,FALSE)</f>
        <v>3999.0000000000009</v>
      </c>
      <c r="H13" s="101">
        <f>HLOOKUP($B13,Inputs!$B$31:$BS$68,H$7,FALSE)</f>
        <v>100000</v>
      </c>
      <c r="I13" s="101" t="str">
        <f>HLOOKUP($B13,Inputs!$B$31:$BS$68,I$7,FALSE)</f>
        <v>Choose Bet</v>
      </c>
      <c r="J13" s="101">
        <f>HLOOKUP($B13,Inputs!$B$31:$BS$68,J$7,FALSE)</f>
        <v>400</v>
      </c>
      <c r="K13" s="101" t="str">
        <f>HLOOKUP($B13,Inputs!$B$31:$BS$68,K$7,FALSE)</f>
        <v>Choose Bet</v>
      </c>
      <c r="L13" s="101">
        <f>HLOOKUP($B13,Inputs!$B$31:$BS$68,L$7,FALSE)</f>
        <v>399.99999999999966</v>
      </c>
      <c r="M13" s="101" t="str">
        <f>HLOOKUP($B13,Inputs!$B$4:$BS$29,M$7,FALSE)</f>
        <v>Choose Bet</v>
      </c>
      <c r="N13" s="116">
        <f>HLOOKUP($B13,Inputs!$B$4:$BS$29,N$7,FALSE)</f>
        <v>5000</v>
      </c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32"/>
    </row>
    <row r="14" spans="1:26" ht="15.75" customHeight="1">
      <c r="A14" s="77">
        <v>21</v>
      </c>
      <c r="B14" s="94" t="s">
        <v>25</v>
      </c>
      <c r="C14" s="96" t="s">
        <v>159</v>
      </c>
      <c r="D14" s="98">
        <f>HLOOKUP($B14,Inputs!$B$31:$BS$68,D$7,FALSE)</f>
        <v>17.475000000000001</v>
      </c>
      <c r="E14" s="100">
        <f>HLOOKUP($B14,Inputs!$B$31:$BS$68,E$7,FALSE)</f>
        <v>2.1966666666666668</v>
      </c>
      <c r="F14" s="101">
        <f>HLOOKUP($B14,Inputs!$B$31:$BS$68,F$7,FALSE)</f>
        <v>10484.000000000002</v>
      </c>
      <c r="G14" s="101">
        <f>HLOOKUP($B14,Inputs!$B$31:$BS$68,G$7,FALSE)</f>
        <v>10484.000000000002</v>
      </c>
      <c r="H14" s="101">
        <f>HLOOKUP($B14,Inputs!$B$31:$BS$68,H$7,FALSE)</f>
        <v>2400000</v>
      </c>
      <c r="I14" s="101">
        <f>HLOOKUP($B14,Inputs!$B$31:$BS$68,I$7,FALSE)</f>
        <v>300</v>
      </c>
      <c r="J14" s="101">
        <f>HLOOKUP($B14,Inputs!$B$31:$BS$68,J$7,FALSE)</f>
        <v>300</v>
      </c>
      <c r="K14" s="101">
        <f>HLOOKUP($B14,Inputs!$B$31:$BS$68,K$7,FALSE)</f>
        <v>1199.9999999999989</v>
      </c>
      <c r="L14" s="101">
        <f>HLOOKUP($B14,Inputs!$B$31:$BS$68,L$7,FALSE)</f>
        <v>1199.9999999999989</v>
      </c>
      <c r="M14" s="107">
        <f>HLOOKUP($B14,Inputs!$B$4:$BS$29,M$7,FALSE)</f>
        <v>40000</v>
      </c>
      <c r="N14" s="109">
        <f>HLOOKUP($B14,Inputs!$B$4:$BS$29,N$7,FALSE)</f>
        <v>40000</v>
      </c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32"/>
    </row>
    <row r="15" spans="1:26" ht="15.75" customHeight="1">
      <c r="A15" s="77">
        <v>30</v>
      </c>
      <c r="B15" s="94" t="s">
        <v>34</v>
      </c>
      <c r="C15" s="96" t="s">
        <v>159</v>
      </c>
      <c r="D15" s="98">
        <f>HLOOKUP($B15,Inputs!$B$31:$BS$68,D$7,FALSE)</f>
        <v>17.475000000000001</v>
      </c>
      <c r="E15" s="100">
        <f>HLOOKUP($B15,Inputs!$B$31:$BS$68,E$7,FALSE)</f>
        <v>3.1404166666666669</v>
      </c>
      <c r="F15" s="101">
        <f>HLOOKUP($B15,Inputs!$B$31:$BS$68,F$7,FALSE)</f>
        <v>10484.000000000002</v>
      </c>
      <c r="G15" s="101">
        <f>HLOOKUP($B15,Inputs!$B$31:$BS$68,G$7,FALSE)</f>
        <v>10484.000000000002</v>
      </c>
      <c r="H15" s="101">
        <f>HLOOKUP($B15,Inputs!$B$31:$BS$68,H$7,FALSE)</f>
        <v>2400000</v>
      </c>
      <c r="I15" s="101">
        <f>HLOOKUP($B15,Inputs!$B$31:$BS$68,I$7,FALSE)</f>
        <v>300</v>
      </c>
      <c r="J15" s="101">
        <f>HLOOKUP($B15,Inputs!$B$31:$BS$68,J$7,FALSE)</f>
        <v>300</v>
      </c>
      <c r="K15" s="101">
        <f>HLOOKUP($B15,Inputs!$B$31:$BS$68,K$7,FALSE)</f>
        <v>1199.9999999999989</v>
      </c>
      <c r="L15" s="101">
        <f>HLOOKUP($B15,Inputs!$B$31:$BS$68,L$7,FALSE)</f>
        <v>1199.9999999999989</v>
      </c>
      <c r="M15" s="107">
        <f>HLOOKUP($B15,Inputs!$B$4:$BS$29,M$7,FALSE)</f>
        <v>40000</v>
      </c>
      <c r="N15" s="109">
        <f>HLOOKUP($B15,Inputs!$B$4:$BS$29,N$7,FALSE)</f>
        <v>40000</v>
      </c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32"/>
    </row>
    <row r="16" spans="1:26" ht="15.75" hidden="1" customHeight="1">
      <c r="A16" s="77">
        <v>51</v>
      </c>
      <c r="B16" s="114" t="s">
        <v>46</v>
      </c>
      <c r="C16" s="96" t="s">
        <v>200</v>
      </c>
      <c r="D16" s="98">
        <f>HLOOKUP($B16,Inputs!$B$31:$BS$68,D$7,FALSE)</f>
        <v>16.867000000000001</v>
      </c>
      <c r="E16" s="100">
        <f>HLOOKUP($B16,Inputs!$B$31:$BS$68,E$7,FALSE)</f>
        <v>3.9386000000000001</v>
      </c>
      <c r="F16" s="101" t="str">
        <f>HLOOKUP($B16,Inputs!$B$31:$BS$68,F$7,FALSE)</f>
        <v>Choose Bet</v>
      </c>
      <c r="G16" s="101">
        <f>HLOOKUP($B16,Inputs!$B$31:$BS$68,G$7,FALSE)</f>
        <v>1685.7000000000005</v>
      </c>
      <c r="H16" s="101">
        <f>HLOOKUP($B16,Inputs!$B$31:$BS$68,H$7,FALSE)</f>
        <v>10</v>
      </c>
      <c r="I16" s="101" t="str">
        <f>HLOOKUP($B16,Inputs!$B$31:$BS$68,I$7,FALSE)</f>
        <v>Choose Bet</v>
      </c>
      <c r="J16" s="101">
        <f>HLOOKUP($B16,Inputs!$B$31:$BS$68,J$7,FALSE)</f>
        <v>50</v>
      </c>
      <c r="K16" s="101" t="str">
        <f>HLOOKUP($B16,Inputs!$B$31:$BS$68,K$7,FALSE)</f>
        <v>Choose Bet</v>
      </c>
      <c r="L16" s="101">
        <f>HLOOKUP($B16,Inputs!$B$31:$BS$68,L$7,FALSE)</f>
        <v>199.99999999999983</v>
      </c>
      <c r="M16" s="121" t="str">
        <f>HLOOKUP($B16,Inputs!$B$4:$BS$29,M$7,FALSE)</f>
        <v>Choose Bet</v>
      </c>
      <c r="N16" s="122">
        <f>HLOOKUP($B16,Inputs!$B$4:$BS$29,N$7,FALSE)</f>
        <v>1</v>
      </c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32"/>
    </row>
    <row r="17" spans="1:26" ht="15.75" hidden="1" customHeight="1">
      <c r="A17" s="77">
        <v>38</v>
      </c>
      <c r="B17" s="94" t="s">
        <v>42</v>
      </c>
      <c r="C17" s="96" t="s">
        <v>200</v>
      </c>
      <c r="D17" s="98">
        <f>HLOOKUP($B17,Inputs!$B$31:$BS$68,D$7,FALSE)</f>
        <v>16.515384615384615</v>
      </c>
      <c r="E17" s="100">
        <f>HLOOKUP($B17,Inputs!$B$31:$BS$68,E$7,FALSE)</f>
        <v>2.2676923076923079</v>
      </c>
      <c r="F17" s="101" t="str">
        <f>HLOOKUP($B17,Inputs!$B$31:$BS$68,F$7,FALSE)</f>
        <v>Choose Bet</v>
      </c>
      <c r="G17" s="101">
        <f>HLOOKUP($B17,Inputs!$B$31:$BS$68,G$7,FALSE)</f>
        <v>1650.5384615384617</v>
      </c>
      <c r="H17" s="101">
        <f>HLOOKUP($B17,Inputs!$B$31:$BS$68,H$7,FALSE)</f>
        <v>100</v>
      </c>
      <c r="I17" s="101" t="str">
        <f>HLOOKUP($B17,Inputs!$B$31:$BS$68,I$7,FALSE)</f>
        <v>Choose Bet</v>
      </c>
      <c r="J17" s="101">
        <f>HLOOKUP($B17,Inputs!$B$31:$BS$68,J$7,FALSE)</f>
        <v>50</v>
      </c>
      <c r="K17" s="101" t="str">
        <f>HLOOKUP($B17,Inputs!$B$31:$BS$68,K$7,FALSE)</f>
        <v>Choose Bet</v>
      </c>
      <c r="L17" s="101">
        <f>HLOOKUP($B17,Inputs!$B$31:$BS$68,L$7,FALSE)</f>
        <v>199.99999999999983</v>
      </c>
      <c r="M17" s="125" t="str">
        <f>HLOOKUP($B17,Inputs!$B$4:$BS$29,M$7,FALSE)</f>
        <v>Choose Bet</v>
      </c>
      <c r="N17" s="126">
        <f>HLOOKUP($B17,Inputs!$B$4:$BS$29,N$7,FALSE)</f>
        <v>10</v>
      </c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32"/>
    </row>
    <row r="18" spans="1:26" ht="15.75" customHeight="1">
      <c r="A18" s="77">
        <v>29</v>
      </c>
      <c r="B18" s="94" t="s">
        <v>33</v>
      </c>
      <c r="C18" s="96" t="s">
        <v>159</v>
      </c>
      <c r="D18" s="98">
        <f>HLOOKUP($B18,Inputs!$B$31:$BS$68,D$7,FALSE)</f>
        <v>16.018999999999998</v>
      </c>
      <c r="E18" s="100">
        <f>HLOOKUP($B18,Inputs!$B$31:$BS$68,E$7,FALSE)</f>
        <v>1.546</v>
      </c>
      <c r="F18" s="101">
        <f>HLOOKUP($B18,Inputs!$B$31:$BS$68,F$7,FALSE)</f>
        <v>32037.000000000007</v>
      </c>
      <c r="G18" s="101">
        <f>HLOOKUP($B18,Inputs!$B$31:$BS$68,G$7,FALSE)</f>
        <v>32037.000000000007</v>
      </c>
      <c r="H18" s="101">
        <f>HLOOKUP($B18,Inputs!$B$31:$BS$68,H$7,FALSE)</f>
        <v>5000</v>
      </c>
      <c r="I18" s="101">
        <f>HLOOKUP($B18,Inputs!$B$31:$BS$68,I$7,FALSE)</f>
        <v>6</v>
      </c>
      <c r="J18" s="101">
        <f>HLOOKUP($B18,Inputs!$B$31:$BS$68,J$7,FALSE)</f>
        <v>6</v>
      </c>
      <c r="K18" s="101">
        <f>HLOOKUP($B18,Inputs!$B$31:$BS$68,K$7,FALSE)</f>
        <v>3999.9999999999964</v>
      </c>
      <c r="L18" s="101">
        <f>HLOOKUP($B18,Inputs!$B$31:$BS$68,L$7,FALSE)</f>
        <v>3999.9999999999964</v>
      </c>
      <c r="M18" s="107">
        <f>HLOOKUP($B18,Inputs!$B$4:$BS$29,M$7,FALSE)</f>
        <v>25</v>
      </c>
      <c r="N18" s="109">
        <f>HLOOKUP($B18,Inputs!$B$4:$BS$29,N$7,FALSE)</f>
        <v>25</v>
      </c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32"/>
    </row>
    <row r="19" spans="1:26" ht="15.75" customHeight="1">
      <c r="A19" s="77">
        <v>10</v>
      </c>
      <c r="B19" s="94" t="s">
        <v>14</v>
      </c>
      <c r="C19" s="96" t="s">
        <v>159</v>
      </c>
      <c r="D19" s="98">
        <f>HLOOKUP($B19,Inputs!$B$31:$BS$68,D$7,FALSE)</f>
        <v>16</v>
      </c>
      <c r="E19" s="100">
        <f>HLOOKUP($B19,Inputs!$B$31:$BS$68,E$7,FALSE)</f>
        <v>14.157894736842104</v>
      </c>
      <c r="F19" s="101">
        <f>HLOOKUP($B19,Inputs!$B$31:$BS$68,F$7,FALSE)</f>
        <v>443.44444444444451</v>
      </c>
      <c r="G19" s="101">
        <f>HLOOKUP($B19,Inputs!$B$31:$BS$68,G$7,FALSE)</f>
        <v>443.44444444444451</v>
      </c>
      <c r="H19" s="101">
        <f>HLOOKUP($B19,Inputs!$B$31:$BS$68,H$7,FALSE)</f>
        <v>95000</v>
      </c>
      <c r="I19" s="101">
        <f>HLOOKUP($B19,Inputs!$B$31:$BS$68,I$7,FALSE)</f>
        <v>44.444444444444443</v>
      </c>
      <c r="J19" s="101">
        <f>HLOOKUP($B19,Inputs!$B$31:$BS$68,J$7,FALSE)</f>
        <v>44.444444444444443</v>
      </c>
      <c r="K19" s="101">
        <f>HLOOKUP($B19,Inputs!$B$31:$BS$68,K$7,FALSE)</f>
        <v>55.555555555555507</v>
      </c>
      <c r="L19" s="101">
        <f>HLOOKUP($B19,Inputs!$B$31:$BS$68,L$7,FALSE)</f>
        <v>55.555555555555507</v>
      </c>
      <c r="M19" s="107">
        <f>HLOOKUP($B19,Inputs!$B$4:$BS$29,M$7,FALSE)</f>
        <v>34200</v>
      </c>
      <c r="N19" s="109">
        <f>HLOOKUP($B19,Inputs!$B$4:$BS$29,N$7,FALSE)</f>
        <v>34200</v>
      </c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32"/>
    </row>
    <row r="20" spans="1:26" ht="15.75" customHeight="1">
      <c r="A20" s="77">
        <v>3</v>
      </c>
      <c r="B20" s="94" t="s">
        <v>7</v>
      </c>
      <c r="C20" s="96" t="s">
        <v>159</v>
      </c>
      <c r="D20" s="98">
        <f>HLOOKUP($B20,Inputs!$B$31:$BS$68,D$7,FALSE)</f>
        <v>9.0909090909090917</v>
      </c>
      <c r="E20" s="100">
        <f>HLOOKUP($B20,Inputs!$B$31:$BS$68,E$7,FALSE)</f>
        <v>6.706818181818182</v>
      </c>
      <c r="F20" s="101">
        <f>HLOOKUP($B20,Inputs!$B$31:$BS$68,F$7,FALSE)</f>
        <v>1599.0000000000005</v>
      </c>
      <c r="G20" s="101">
        <f>HLOOKUP($B20,Inputs!$B$31:$BS$68,G$7,FALSE)</f>
        <v>1599.0000000000005</v>
      </c>
      <c r="H20" s="101">
        <f>HLOOKUP($B20,Inputs!$B$31:$BS$68,H$7,FALSE)</f>
        <v>11000</v>
      </c>
      <c r="I20" s="101">
        <f>HLOOKUP($B20,Inputs!$B$31:$BS$68,I$7,FALSE)</f>
        <v>160</v>
      </c>
      <c r="J20" s="101">
        <f>HLOOKUP($B20,Inputs!$B$31:$BS$68,J$7,FALSE)</f>
        <v>160</v>
      </c>
      <c r="K20" s="101">
        <f>HLOOKUP($B20,Inputs!$B$31:$BS$68,K$7,FALSE)</f>
        <v>351.99999999999972</v>
      </c>
      <c r="L20" s="101">
        <f>HLOOKUP($B20,Inputs!$B$31:$BS$68,L$7,FALSE)</f>
        <v>351.99999999999972</v>
      </c>
      <c r="M20" s="101">
        <f>HLOOKUP($B20,Inputs!$B$4:$BS$29,M$7,FALSE)</f>
        <v>625</v>
      </c>
      <c r="N20" s="116">
        <f>HLOOKUP($B20,Inputs!$B$4:$BS$29,N$7,FALSE)</f>
        <v>625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32"/>
    </row>
    <row r="21" spans="1:26" ht="15.75" customHeight="1">
      <c r="A21" s="77">
        <v>27</v>
      </c>
      <c r="B21" s="94" t="s">
        <v>31</v>
      </c>
      <c r="C21" s="96" t="s">
        <v>159</v>
      </c>
      <c r="D21" s="98">
        <f>HLOOKUP($B21,Inputs!$B$31:$BS$68,D$7,FALSE)</f>
        <v>8.9791666666666661</v>
      </c>
      <c r="E21" s="100">
        <f>HLOOKUP($B21,Inputs!$B$31:$BS$68,E$7,FALSE)</f>
        <v>2.0466666666666664E-2</v>
      </c>
      <c r="F21" s="101">
        <f>HLOOKUP($B21,Inputs!$B$31:$BS$68,F$7,FALSE)</f>
        <v>322.25000000000011</v>
      </c>
      <c r="G21" s="101">
        <f>HLOOKUP($B21,Inputs!$B$31:$BS$68,G$7,FALSE)</f>
        <v>1292999.0000000002</v>
      </c>
      <c r="H21" s="101">
        <f>HLOOKUP($B21,Inputs!$B$31:$BS$68,H$7,FALSE)</f>
        <v>36000</v>
      </c>
      <c r="I21" s="101">
        <f>HLOOKUP($B21,Inputs!$B$31:$BS$68,I$7,FALSE)</f>
        <v>32.325000000000003</v>
      </c>
      <c r="J21" s="101">
        <f>HLOOKUP($B21,Inputs!$B$31:$BS$68,J$7,FALSE)</f>
        <v>129300</v>
      </c>
      <c r="K21" s="101">
        <f>HLOOKUP($B21,Inputs!$B$31:$BS$68,K$7,FALSE)</f>
        <v>71.999999999999943</v>
      </c>
      <c r="L21" s="101">
        <f>HLOOKUP($B21,Inputs!$B$31:$BS$68,L$7,FALSE)</f>
        <v>287999.99999999977</v>
      </c>
      <c r="M21" s="107">
        <f>HLOOKUP($B21,Inputs!$B$4:$BS$29,M$7,FALSE)</f>
        <v>10000</v>
      </c>
      <c r="N21" s="109">
        <f>HLOOKUP($B21,Inputs!$B$4:$BS$29,N$7,FALSE)</f>
        <v>2.5</v>
      </c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32"/>
    </row>
    <row r="22" spans="1:26" ht="15.75" customHeight="1">
      <c r="A22" s="77">
        <v>2</v>
      </c>
      <c r="B22" s="94" t="s">
        <v>6</v>
      </c>
      <c r="C22" s="96" t="s">
        <v>159</v>
      </c>
      <c r="D22" s="98">
        <f>HLOOKUP($B22,Inputs!$B$31:$BS$68,D$7,FALSE)</f>
        <v>8</v>
      </c>
      <c r="E22" s="100">
        <f>HLOOKUP($B22,Inputs!$B$31:$BS$68,E$7,FALSE)</f>
        <v>1.4239999999999999</v>
      </c>
      <c r="F22" s="101">
        <f>HLOOKUP($B22,Inputs!$B$31:$BS$68,F$7,FALSE)</f>
        <v>999.00000000000023</v>
      </c>
      <c r="G22" s="101">
        <f>HLOOKUP($B22,Inputs!$B$31:$BS$68,G$7,FALSE)</f>
        <v>999.00000000000023</v>
      </c>
      <c r="H22" s="101">
        <f>HLOOKUP($B22,Inputs!$B$31:$BS$68,H$7,FALSE)</f>
        <v>125000</v>
      </c>
      <c r="I22" s="101">
        <f>HLOOKUP($B22,Inputs!$B$31:$BS$68,I$7,FALSE)</f>
        <v>100</v>
      </c>
      <c r="J22" s="101">
        <f>HLOOKUP($B22,Inputs!$B$31:$BS$68,J$7,FALSE)</f>
        <v>100</v>
      </c>
      <c r="K22" s="101">
        <f>HLOOKUP($B22,Inputs!$B$31:$BS$68,K$7,FALSE)</f>
        <v>249.99999999999977</v>
      </c>
      <c r="L22" s="101">
        <f>HLOOKUP($B22,Inputs!$B$31:$BS$68,L$7,FALSE)</f>
        <v>249.99999999999977</v>
      </c>
      <c r="M22" s="101">
        <f>HLOOKUP($B22,Inputs!$B$4:$BS$29,M$7,FALSE)</f>
        <v>10000</v>
      </c>
      <c r="N22" s="116">
        <f>HLOOKUP($B22,Inputs!$B$4:$BS$29,N$7,FALSE)</f>
        <v>10000</v>
      </c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32"/>
    </row>
    <row r="23" spans="1:26" ht="15.75" customHeight="1">
      <c r="A23" s="77">
        <v>32</v>
      </c>
      <c r="B23" s="94" t="s">
        <v>36</v>
      </c>
      <c r="C23" s="96" t="s">
        <v>159</v>
      </c>
      <c r="D23" s="98">
        <f>HLOOKUP($B23,Inputs!$B$31:$BS$68,D$7,FALSE)</f>
        <v>7.5</v>
      </c>
      <c r="E23" s="100">
        <f>HLOOKUP($B23,Inputs!$B$31:$BS$68,E$7,FALSE)</f>
        <v>1.95</v>
      </c>
      <c r="F23" s="101">
        <f>HLOOKUP($B23,Inputs!$B$31:$BS$68,F$7,FALSE)</f>
        <v>2999.0000000000005</v>
      </c>
      <c r="G23" s="101">
        <f>HLOOKUP($B23,Inputs!$B$31:$BS$68,G$7,FALSE)</f>
        <v>2999.0000000000005</v>
      </c>
      <c r="H23" s="101">
        <f>HLOOKUP($B23,Inputs!$B$31:$BS$68,H$7,FALSE)</f>
        <v>2000</v>
      </c>
      <c r="I23" s="101">
        <f>HLOOKUP($B23,Inputs!$B$31:$BS$68,I$7,FALSE)</f>
        <v>300</v>
      </c>
      <c r="J23" s="101">
        <f>HLOOKUP($B23,Inputs!$B$31:$BS$68,J$7,FALSE)</f>
        <v>300</v>
      </c>
      <c r="K23" s="101">
        <f>HLOOKUP($B23,Inputs!$B$31:$BS$68,K$7,FALSE)</f>
        <v>799.99999999999932</v>
      </c>
      <c r="L23" s="101">
        <f>HLOOKUP($B23,Inputs!$B$31:$BS$68,L$7,FALSE)</f>
        <v>799.99999999999932</v>
      </c>
      <c r="M23" s="107">
        <f>HLOOKUP($B23,Inputs!$B$4:$BS$29,M$7,FALSE)</f>
        <v>50</v>
      </c>
      <c r="N23" s="109">
        <f>HLOOKUP($B23,Inputs!$B$4:$BS$29,N$7,FALSE)</f>
        <v>50</v>
      </c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32"/>
    </row>
    <row r="24" spans="1:26" ht="15.75" customHeight="1">
      <c r="A24" s="77">
        <v>49</v>
      </c>
      <c r="B24" s="146" t="s">
        <v>54</v>
      </c>
      <c r="C24" s="148" t="s">
        <v>159</v>
      </c>
      <c r="D24" s="98">
        <f>HLOOKUP($B24,Inputs!$B$31:$BS$68,D$7,FALSE)</f>
        <v>6.658666666666667</v>
      </c>
      <c r="E24" s="100">
        <f>HLOOKUP($B24,Inputs!$B$31:$BS$68,E$7,FALSE)</f>
        <v>0.97677146666666659</v>
      </c>
      <c r="F24" s="101">
        <f>HLOOKUP($B24,Inputs!$B$31:$BS$68,F$7,FALSE)</f>
        <v>1663.666666666667</v>
      </c>
      <c r="G24" s="101">
        <f>HLOOKUP($B24,Inputs!$B$31:$BS$68,G$7,FALSE)</f>
        <v>1663.666666666667</v>
      </c>
      <c r="H24" s="101">
        <f>HLOOKUP($B24,Inputs!$B$31:$BS$68,H$7,FALSE)</f>
        <v>1500000</v>
      </c>
      <c r="I24" s="101">
        <f>HLOOKUP($B24,Inputs!$B$31:$BS$68,I$7,FALSE)</f>
        <v>66.666666666666671</v>
      </c>
      <c r="J24" s="101">
        <f>HLOOKUP($B24,Inputs!$B$31:$BS$68,J$7,FALSE)</f>
        <v>66.666666666666671</v>
      </c>
      <c r="K24" s="101">
        <f>HLOOKUP($B24,Inputs!$B$31:$BS$68,K$7,FALSE)</f>
        <v>499.99999999999955</v>
      </c>
      <c r="L24" s="101">
        <f>HLOOKUP($B24,Inputs!$B$31:$BS$68,L$7,FALSE)</f>
        <v>499.99999999999955</v>
      </c>
      <c r="M24" s="101">
        <f>HLOOKUP($B24,Inputs!$B$4:$BS$29,M$7,FALSE)</f>
        <v>60000</v>
      </c>
      <c r="N24" s="116">
        <f>HLOOKUP($B24,Inputs!$B$4:$BS$29,N$7,FALSE)</f>
        <v>60000</v>
      </c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32"/>
    </row>
    <row r="25" spans="1:26" ht="15.75" customHeight="1">
      <c r="A25" s="77">
        <v>17</v>
      </c>
      <c r="B25" s="94" t="s">
        <v>21</v>
      </c>
      <c r="C25" s="96" t="s">
        <v>159</v>
      </c>
      <c r="D25" s="98">
        <f>HLOOKUP($B25,Inputs!$B$31:$BS$68,D$7,FALSE)</f>
        <v>6</v>
      </c>
      <c r="E25" s="100">
        <f>HLOOKUP($B25,Inputs!$B$31:$BS$68,E$7,FALSE)</f>
        <v>3.7128570000000001</v>
      </c>
      <c r="F25" s="101">
        <f>HLOOKUP($B25,Inputs!$B$31:$BS$68,F$7,FALSE)</f>
        <v>2856.1428571428578</v>
      </c>
      <c r="G25" s="101">
        <f>HLOOKUP($B25,Inputs!$B$31:$BS$68,G$7,FALSE)</f>
        <v>2856.1428571428578</v>
      </c>
      <c r="H25" s="101">
        <f>HLOOKUP($B25,Inputs!$B$31:$BS$68,H$7,FALSE)</f>
        <v>1000000</v>
      </c>
      <c r="I25" s="101">
        <f>HLOOKUP($B25,Inputs!$B$31:$BS$68,I$7,FALSE)</f>
        <v>285.71428571428572</v>
      </c>
      <c r="J25" s="101">
        <f>HLOOKUP($B25,Inputs!$B$31:$BS$68,J$7,FALSE)</f>
        <v>285.71428571428572</v>
      </c>
      <c r="K25" s="101">
        <f>HLOOKUP($B25,Inputs!$B$31:$BS$68,K$7,FALSE)</f>
        <v>952.38095238095161</v>
      </c>
      <c r="L25" s="101">
        <f>HLOOKUP($B25,Inputs!$B$31:$BS$68,L$7,FALSE)</f>
        <v>952.38095238095161</v>
      </c>
      <c r="M25" s="107">
        <f>HLOOKUP($B25,Inputs!$B$4:$BS$29,M$7,FALSE)</f>
        <v>21000</v>
      </c>
      <c r="N25" s="109">
        <f>HLOOKUP($B25,Inputs!$B$4:$BS$29,N$7,FALSE)</f>
        <v>21000</v>
      </c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32"/>
    </row>
    <row r="26" spans="1:26" ht="15.75" hidden="1" customHeight="1">
      <c r="A26" s="77">
        <v>36</v>
      </c>
      <c r="B26" s="94" t="s">
        <v>40</v>
      </c>
      <c r="C26" s="96" t="s">
        <v>200</v>
      </c>
      <c r="D26" s="98">
        <f>HLOOKUP($B26,Inputs!$B$31:$BS$68,D$7,FALSE)</f>
        <v>5.9776515151515168</v>
      </c>
      <c r="E26" s="100">
        <f>HLOOKUP($B26,Inputs!$B$31:$BS$68,E$7,FALSE)</f>
        <v>1.5156575757575759</v>
      </c>
      <c r="F26" s="101" t="str">
        <f>HLOOKUP($B26,Inputs!$B$31:$BS$68,F$7,FALSE)</f>
        <v>Choose Bet</v>
      </c>
      <c r="G26" s="101">
        <f>HLOOKUP($B26,Inputs!$B$31:$BS$68,G$7,FALSE)</f>
        <v>895.64772727272771</v>
      </c>
      <c r="H26" s="101">
        <f>HLOOKUP($B26,Inputs!$B$31:$BS$68,H$7,FALSE)</f>
        <v>15</v>
      </c>
      <c r="I26" s="101" t="str">
        <f>HLOOKUP($B26,Inputs!$B$31:$BS$68,I$7,FALSE)</f>
        <v>Choose Bet</v>
      </c>
      <c r="J26" s="101">
        <f>HLOOKUP($B26,Inputs!$B$31:$BS$68,J$7,FALSE)</f>
        <v>30</v>
      </c>
      <c r="K26" s="101" t="str">
        <f>HLOOKUP($B26,Inputs!$B$31:$BS$68,K$7,FALSE)</f>
        <v>Choose Bet</v>
      </c>
      <c r="L26" s="101">
        <f>HLOOKUP($B26,Inputs!$B$31:$BS$68,L$7,FALSE)</f>
        <v>299.99999999999972</v>
      </c>
      <c r="M26" s="107" t="str">
        <f>HLOOKUP($B26,Inputs!$B$4:$BS$29,M$7,FALSE)</f>
        <v>Choose Bet</v>
      </c>
      <c r="N26" s="109">
        <f>HLOOKUP($B26,Inputs!$B$4:$BS$29,N$7,FALSE)</f>
        <v>1</v>
      </c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32"/>
    </row>
    <row r="27" spans="1:26" ht="15.75" hidden="1" customHeight="1">
      <c r="A27" s="77">
        <v>39</v>
      </c>
      <c r="B27" s="94" t="s">
        <v>43</v>
      </c>
      <c r="C27" s="96" t="s">
        <v>200</v>
      </c>
      <c r="D27" s="98">
        <f>HLOOKUP($B27,Inputs!$B$31:$BS$68,D$7,FALSE)</f>
        <v>5.8985423197492164</v>
      </c>
      <c r="E27" s="100">
        <f>HLOOKUP($B27,Inputs!$B$31:$BS$68,E$7,FALSE)</f>
        <v>3.2382196969696975</v>
      </c>
      <c r="F27" s="101" t="str">
        <f>HLOOKUP($B27,Inputs!$B$31:$BS$68,F$7,FALSE)</f>
        <v>Choose Bet</v>
      </c>
      <c r="G27" s="101">
        <f>HLOOKUP($B27,Inputs!$B$31:$BS$68,G$7,FALSE)</f>
        <v>388.30379310344836</v>
      </c>
      <c r="H27" s="101">
        <f>HLOOKUP($B27,Inputs!$B$31:$BS$68,H$7,FALSE)</f>
        <v>6.6</v>
      </c>
      <c r="I27" s="101" t="str">
        <f>HLOOKUP($B27,Inputs!$B$31:$BS$68,I$7,FALSE)</f>
        <v>Choose Bet</v>
      </c>
      <c r="J27" s="101">
        <f>HLOOKUP($B27,Inputs!$B$31:$BS$68,J$7,FALSE)</f>
        <v>30</v>
      </c>
      <c r="K27" s="101" t="str">
        <f>HLOOKUP($B27,Inputs!$B$31:$BS$68,K$7,FALSE)</f>
        <v>Choose Bet</v>
      </c>
      <c r="L27" s="101">
        <f>HLOOKUP($B27,Inputs!$B$31:$BS$68,L$7,FALSE)</f>
        <v>131.99999999999989</v>
      </c>
      <c r="M27" s="125" t="str">
        <f>HLOOKUP($B27,Inputs!$B$4:$BS$29,M$7,FALSE)</f>
        <v>Choose Bet</v>
      </c>
      <c r="N27" s="126">
        <f>HLOOKUP($B27,Inputs!$B$4:$BS$29,N$7,FALSE)</f>
        <v>1</v>
      </c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32"/>
    </row>
    <row r="28" spans="1:26" ht="15.75" hidden="1" customHeight="1">
      <c r="A28" s="77">
        <v>45</v>
      </c>
      <c r="B28" s="94" t="s">
        <v>50</v>
      </c>
      <c r="C28" s="96" t="s">
        <v>272</v>
      </c>
      <c r="D28" s="98">
        <f>HLOOKUP($B28,Inputs!$B$31:$BS$68,D$7,FALSE)</f>
        <v>5.3233333333333333</v>
      </c>
      <c r="E28" s="100">
        <f>HLOOKUP($B28,Inputs!$B$31:$BS$68,E$7,FALSE)</f>
        <v>1.5389999999999999</v>
      </c>
      <c r="F28" s="101">
        <f>HLOOKUP($B28,Inputs!$B$31:$BS$68,F$7,FALSE)</f>
        <v>318.40000000000009</v>
      </c>
      <c r="G28" s="101">
        <f>HLOOKUP($B28,Inputs!$B$31:$BS$68,G$7,FALSE)</f>
        <v>6387.0000000000009</v>
      </c>
      <c r="H28" s="101">
        <f>HLOOKUP($B28,Inputs!$B$31:$BS$68,H$7,FALSE)</f>
        <v>3000000</v>
      </c>
      <c r="I28" s="101">
        <f>HLOOKUP($B28,Inputs!$B$31:$BS$68,I$7,FALSE)</f>
        <v>2</v>
      </c>
      <c r="J28" s="101">
        <f>HLOOKUP($B28,Inputs!$B$31:$BS$68,J$7,FALSE)</f>
        <v>40</v>
      </c>
      <c r="K28" s="101">
        <f>HLOOKUP($B28,Inputs!$B$31:$BS$68,K$7,FALSE)</f>
        <v>119.99999999999989</v>
      </c>
      <c r="L28" s="101">
        <f>HLOOKUP($B28,Inputs!$B$31:$BS$68,L$7,FALSE)</f>
        <v>2399.9999999999977</v>
      </c>
      <c r="M28" s="121">
        <f>HLOOKUP($B28,Inputs!$B$4:$BS$29,M$7,FALSE)</f>
        <v>500000</v>
      </c>
      <c r="N28" s="122">
        <f>HLOOKUP($B28,Inputs!$B$4:$BS$29,N$7,FALSE)</f>
        <v>25000</v>
      </c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32"/>
    </row>
    <row r="29" spans="1:26" ht="15.75" customHeight="1">
      <c r="A29" s="77">
        <v>34</v>
      </c>
      <c r="B29" s="94" t="s">
        <v>38</v>
      </c>
      <c r="C29" s="96" t="s">
        <v>159</v>
      </c>
      <c r="D29" s="98">
        <f>HLOOKUP($B29,Inputs!$B$31:$BS$68,D$7,FALSE)</f>
        <v>5</v>
      </c>
      <c r="E29" s="100">
        <f>HLOOKUP($B29,Inputs!$B$31:$BS$68,E$7,FALSE)</f>
        <v>2.6333333333333333</v>
      </c>
      <c r="F29" s="101" t="str">
        <f>HLOOKUP($B29,Inputs!$B$31:$BS$68,F$7,FALSE)</f>
        <v>Choose Bet</v>
      </c>
      <c r="G29" s="101">
        <f>HLOOKUP($B29,Inputs!$B$31:$BS$68,G$7,FALSE)</f>
        <v>1999.0000000000005</v>
      </c>
      <c r="H29" s="101">
        <f>HLOOKUP($B29,Inputs!$B$31:$BS$68,H$7,FALSE)</f>
        <v>400000</v>
      </c>
      <c r="I29" s="101" t="str">
        <f>HLOOKUP($B29,Inputs!$B$31:$BS$68,I$7,FALSE)</f>
        <v>Choose Bet</v>
      </c>
      <c r="J29" s="101">
        <f>HLOOKUP($B29,Inputs!$B$31:$BS$68,J$7,FALSE)</f>
        <v>200</v>
      </c>
      <c r="K29" s="101" t="str">
        <f>HLOOKUP($B29,Inputs!$B$31:$BS$68,K$7,FALSE)</f>
        <v>Choose Bet</v>
      </c>
      <c r="L29" s="101">
        <f>HLOOKUP($B29,Inputs!$B$31:$BS$68,L$7,FALSE)</f>
        <v>799.99999999999932</v>
      </c>
      <c r="M29" s="107" t="str">
        <f>HLOOKUP($B29,Inputs!$B$4:$BS$29,M$7,FALSE)</f>
        <v>Choose Bet</v>
      </c>
      <c r="N29" s="109">
        <f>HLOOKUP($B29,Inputs!$B$4:$BS$29,N$7,FALSE)</f>
        <v>10000</v>
      </c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32"/>
    </row>
    <row r="30" spans="1:26" ht="15.75" customHeight="1">
      <c r="A30" s="77">
        <v>19</v>
      </c>
      <c r="B30" s="94" t="s">
        <v>23</v>
      </c>
      <c r="C30" s="96" t="s">
        <v>159</v>
      </c>
      <c r="D30" s="98">
        <f>HLOOKUP($B30,Inputs!$B$31:$BS$68,D$7,FALSE)</f>
        <v>5</v>
      </c>
      <c r="E30" s="100">
        <f>HLOOKUP($B30,Inputs!$B$31:$BS$68,E$7,FALSE)</f>
        <v>5.9421875000000002</v>
      </c>
      <c r="F30" s="101">
        <f>HLOOKUP($B30,Inputs!$B$31:$BS$68,F$7,FALSE)</f>
        <v>3999.0000000000009</v>
      </c>
      <c r="G30" s="101">
        <f>HLOOKUP($B30,Inputs!$B$31:$BS$68,G$7,FALSE)</f>
        <v>3999.0000000000009</v>
      </c>
      <c r="H30" s="101">
        <f>HLOOKUP($B30,Inputs!$B$31:$BS$68,H$7,FALSE)</f>
        <v>200000</v>
      </c>
      <c r="I30" s="101">
        <f>HLOOKUP($B30,Inputs!$B$31:$BS$68,I$7,FALSE)</f>
        <v>400</v>
      </c>
      <c r="J30" s="101">
        <f>HLOOKUP($B30,Inputs!$B$31:$BS$68,J$7,FALSE)</f>
        <v>400</v>
      </c>
      <c r="K30" s="101">
        <f>HLOOKUP($B30,Inputs!$B$31:$BS$68,K$7,FALSE)</f>
        <v>1599.9999999999986</v>
      </c>
      <c r="L30" s="101">
        <f>HLOOKUP($B30,Inputs!$B$31:$BS$68,L$7,FALSE)</f>
        <v>1599.9999999999986</v>
      </c>
      <c r="M30" s="107">
        <f>HLOOKUP($B30,Inputs!$B$4:$BS$29,M$7,FALSE)</f>
        <v>2500</v>
      </c>
      <c r="N30" s="109">
        <f>HLOOKUP($B30,Inputs!$B$4:$BS$29,N$7,FALSE)</f>
        <v>2500</v>
      </c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32"/>
    </row>
    <row r="31" spans="1:26" ht="15.75" customHeight="1">
      <c r="A31" s="77">
        <v>11</v>
      </c>
      <c r="B31" s="114" t="s">
        <v>15</v>
      </c>
      <c r="C31" s="96" t="s">
        <v>159</v>
      </c>
      <c r="D31" s="98">
        <f>HLOOKUP($B31,Inputs!$B$31:$BS$68,D$7,FALSE)</f>
        <v>5</v>
      </c>
      <c r="E31" s="100">
        <f>HLOOKUP($B31,Inputs!$B$31:$BS$68,E$7,FALSE)</f>
        <v>1.2813333333333332</v>
      </c>
      <c r="F31" s="101">
        <f>HLOOKUP($B31,Inputs!$B$31:$BS$68,F$7,FALSE)</f>
        <v>1999.0000000000005</v>
      </c>
      <c r="G31" s="101">
        <f>HLOOKUP($B31,Inputs!$B$31:$BS$68,G$7,FALSE)</f>
        <v>1999.0000000000005</v>
      </c>
      <c r="H31" s="101">
        <f>HLOOKUP($B31,Inputs!$B$31:$BS$68,H$7,FALSE)</f>
        <v>2000</v>
      </c>
      <c r="I31" s="101">
        <f>HLOOKUP($B31,Inputs!$B$31:$BS$68,I$7,FALSE)</f>
        <v>200</v>
      </c>
      <c r="J31" s="101">
        <f>HLOOKUP($B31,Inputs!$B$31:$BS$68,J$7,FALSE)</f>
        <v>200</v>
      </c>
      <c r="K31" s="101">
        <f>HLOOKUP($B31,Inputs!$B$31:$BS$68,K$7,FALSE)</f>
        <v>799.99999999999932</v>
      </c>
      <c r="L31" s="101">
        <f>HLOOKUP($B31,Inputs!$B$31:$BS$68,L$7,FALSE)</f>
        <v>799.99999999999932</v>
      </c>
      <c r="M31" s="107">
        <f>HLOOKUP($B31,Inputs!$B$4:$BS$29,M$7,FALSE)</f>
        <v>50</v>
      </c>
      <c r="N31" s="109">
        <f>HLOOKUP($B31,Inputs!$B$4:$BS$29,N$7,FALSE)</f>
        <v>50</v>
      </c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32"/>
    </row>
    <row r="32" spans="1:26" ht="15.75" customHeight="1">
      <c r="A32" s="77">
        <v>28</v>
      </c>
      <c r="B32" s="94" t="s">
        <v>32</v>
      </c>
      <c r="C32" s="148" t="s">
        <v>159</v>
      </c>
      <c r="D32" s="98">
        <f>HLOOKUP($B32,Inputs!$B$31:$BS$68,D$7,FALSE)</f>
        <v>4.8309178743961354</v>
      </c>
      <c r="E32" s="100">
        <f>HLOOKUP($B32,Inputs!$B$31:$BS$68,E$7,FALSE)</f>
        <v>1.4486714975845412</v>
      </c>
      <c r="F32" s="101">
        <f>HLOOKUP($B32,Inputs!$B$31:$BS$68,F$7,FALSE)</f>
        <v>199999.00000000006</v>
      </c>
      <c r="G32" s="101">
        <f>HLOOKUP($B32,Inputs!$B$31:$BS$68,G$7,FALSE)</f>
        <v>399999.00000000012</v>
      </c>
      <c r="H32" s="101">
        <f>HLOOKUP($B32,Inputs!$B$31:$BS$68,H$7,FALSE)</f>
        <v>8280</v>
      </c>
      <c r="I32" s="101">
        <f>HLOOKUP($B32,Inputs!$B$31:$BS$68,I$7,FALSE)</f>
        <v>20000</v>
      </c>
      <c r="J32" s="101">
        <f>HLOOKUP($B32,Inputs!$B$31:$BS$68,J$7,FALSE)</f>
        <v>40000</v>
      </c>
      <c r="K32" s="101">
        <f>HLOOKUP($B32,Inputs!$B$31:$BS$68,K$7,FALSE)</f>
        <v>82799.999999999927</v>
      </c>
      <c r="L32" s="101">
        <f>HLOOKUP($B32,Inputs!$B$31:$BS$68,L$7,FALSE)</f>
        <v>165599.99999999985</v>
      </c>
      <c r="M32" s="107">
        <f>HLOOKUP($B32,Inputs!$B$4:$BS$29,M$7,FALSE)</f>
        <v>2</v>
      </c>
      <c r="N32" s="109">
        <f>HLOOKUP($B32,Inputs!$B$4:$BS$29,N$7,FALSE)</f>
        <v>1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32"/>
    </row>
    <row r="33" spans="1:26" ht="15.75" customHeight="1">
      <c r="A33" s="77">
        <v>26</v>
      </c>
      <c r="B33" s="94" t="s">
        <v>30</v>
      </c>
      <c r="C33" s="96" t="s">
        <v>159</v>
      </c>
      <c r="D33" s="98">
        <f>HLOOKUP($B33,Inputs!$B$31:$BS$68,D$7,FALSE)</f>
        <v>4.375</v>
      </c>
      <c r="E33" s="100">
        <f>HLOOKUP($B33,Inputs!$B$31:$BS$68,E$7,FALSE)</f>
        <v>0.92031249999999998</v>
      </c>
      <c r="F33" s="101">
        <f>HLOOKUP($B33,Inputs!$B$31:$BS$68,F$7,FALSE)</f>
        <v>349.00000000000006</v>
      </c>
      <c r="G33" s="101">
        <f>HLOOKUP($B33,Inputs!$B$31:$BS$68,G$7,FALSE)</f>
        <v>3499.0000000000009</v>
      </c>
      <c r="H33" s="101">
        <f>HLOOKUP($B33,Inputs!$B$31:$BS$68,H$7,FALSE)</f>
        <v>320000</v>
      </c>
      <c r="I33" s="101">
        <f>HLOOKUP($B33,Inputs!$B$31:$BS$68,I$7,FALSE)</f>
        <v>35</v>
      </c>
      <c r="J33" s="101">
        <f>HLOOKUP($B33,Inputs!$B$31:$BS$68,J$7,FALSE)</f>
        <v>350</v>
      </c>
      <c r="K33" s="101">
        <f>HLOOKUP($B33,Inputs!$B$31:$BS$68,K$7,FALSE)</f>
        <v>159.99999999999986</v>
      </c>
      <c r="L33" s="101">
        <f>HLOOKUP($B33,Inputs!$B$31:$BS$68,L$7,FALSE)</f>
        <v>1599.9999999999986</v>
      </c>
      <c r="M33" s="107">
        <f>HLOOKUP($B33,Inputs!$B$4:$BS$29,M$7,FALSE)</f>
        <v>40000</v>
      </c>
      <c r="N33" s="109">
        <f>HLOOKUP($B33,Inputs!$B$4:$BS$29,N$7,FALSE)</f>
        <v>4000</v>
      </c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2"/>
    </row>
    <row r="34" spans="1:26" ht="15.75" hidden="1" customHeight="1">
      <c r="A34" s="77">
        <v>40</v>
      </c>
      <c r="B34" s="94" t="s">
        <v>44</v>
      </c>
      <c r="C34" s="96" t="s">
        <v>200</v>
      </c>
      <c r="D34" s="98">
        <f>HLOOKUP($B34,Inputs!$B$31:$BS$68,D$7,FALSE)</f>
        <v>3.8151794871794871</v>
      </c>
      <c r="E34" s="100">
        <f>HLOOKUP($B34,Inputs!$B$31:$BS$68,E$7,FALSE)</f>
        <v>2.9703794871794869</v>
      </c>
      <c r="F34" s="101" t="str">
        <f>HLOOKUP($B34,Inputs!$B$31:$BS$68,F$7,FALSE)</f>
        <v>Choose Bet</v>
      </c>
      <c r="G34" s="101">
        <f>HLOOKUP($B34,Inputs!$B$31:$BS$68,G$7,FALSE)</f>
        <v>395.77866666666677</v>
      </c>
      <c r="H34" s="101">
        <f>HLOOKUP($B34,Inputs!$B$31:$BS$68,H$7,FALSE)</f>
        <v>10.4</v>
      </c>
      <c r="I34" s="101" t="str">
        <f>HLOOKUP($B34,Inputs!$B$31:$BS$68,I$7,FALSE)</f>
        <v>Choose Bet</v>
      </c>
      <c r="J34" s="101">
        <f>HLOOKUP($B34,Inputs!$B$31:$BS$68,J$7,FALSE)</f>
        <v>12</v>
      </c>
      <c r="K34" s="101" t="str">
        <f>HLOOKUP($B34,Inputs!$B$31:$BS$68,K$7,FALSE)</f>
        <v>Choose Bet</v>
      </c>
      <c r="L34" s="101">
        <f>HLOOKUP($B34,Inputs!$B$31:$BS$68,L$7,FALSE)</f>
        <v>207.99999999999983</v>
      </c>
      <c r="M34" s="107" t="str">
        <f>HLOOKUP($B34,Inputs!$B$4:$BS$29,M$7,FALSE)</f>
        <v>Choose Bet</v>
      </c>
      <c r="N34" s="109">
        <f>HLOOKUP($B34,Inputs!$B$4:$BS$29,N$7,FALSE)</f>
        <v>1</v>
      </c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32"/>
    </row>
    <row r="35" spans="1:26" ht="15.75" customHeight="1">
      <c r="A35" s="77">
        <v>8</v>
      </c>
      <c r="B35" s="94" t="s">
        <v>12</v>
      </c>
      <c r="C35" s="96" t="s">
        <v>159</v>
      </c>
      <c r="D35" s="98">
        <f>HLOOKUP($B35,Inputs!$B$31:$BS$68,D$7,FALSE)</f>
        <v>3.3333333333333335</v>
      </c>
      <c r="E35" s="100">
        <f>HLOOKUP($B35,Inputs!$B$31:$BS$68,E$7,FALSE)</f>
        <v>2.4613333333333332</v>
      </c>
      <c r="F35" s="101" t="str">
        <f>HLOOKUP($B35,Inputs!$B$31:$BS$68,F$7,FALSE)</f>
        <v>Choose Bet</v>
      </c>
      <c r="G35" s="101">
        <f>HLOOKUP($B35,Inputs!$B$31:$BS$68,G$7,FALSE)</f>
        <v>1665.666666666667</v>
      </c>
      <c r="H35" s="101">
        <f>HLOOKUP($B35,Inputs!$B$31:$BS$68,H$7,FALSE)</f>
        <v>300000</v>
      </c>
      <c r="I35" s="101" t="str">
        <f>HLOOKUP($B35,Inputs!$B$31:$BS$68,I$7,FALSE)</f>
        <v>Choose Bet</v>
      </c>
      <c r="J35" s="101">
        <f>HLOOKUP($B35,Inputs!$B$31:$BS$68,J$7,FALSE)</f>
        <v>166.66666666666666</v>
      </c>
      <c r="K35" s="101" t="str">
        <f>HLOOKUP($B35,Inputs!$B$31:$BS$68,K$7,FALSE)</f>
        <v>Choose Bet</v>
      </c>
      <c r="L35" s="101">
        <f>HLOOKUP($B35,Inputs!$B$31:$BS$68,L$7,FALSE)</f>
        <v>999.99999999999909</v>
      </c>
      <c r="M35" s="107" t="str">
        <f>HLOOKUP($B35,Inputs!$B$4:$BS$29,M$7,FALSE)</f>
        <v>Choose Bet</v>
      </c>
      <c r="N35" s="109">
        <f>HLOOKUP($B35,Inputs!$B$4:$BS$29,N$7,FALSE)</f>
        <v>6000</v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32"/>
    </row>
    <row r="36" spans="1:26" ht="15.75" customHeight="1">
      <c r="A36" s="77">
        <v>7</v>
      </c>
      <c r="B36" s="114" t="s">
        <v>11</v>
      </c>
      <c r="C36" s="96" t="s">
        <v>159</v>
      </c>
      <c r="D36" s="98">
        <f>HLOOKUP($B36,Inputs!$B$31:$BS$68,D$7,FALSE)</f>
        <v>3</v>
      </c>
      <c r="E36" s="100">
        <f>HLOOKUP($B36,Inputs!$B$31:$BS$68,E$7,FALSE)</f>
        <v>0.62619999999999998</v>
      </c>
      <c r="F36" s="101">
        <f>HLOOKUP($B36,Inputs!$B$31:$BS$68,F$7,FALSE)</f>
        <v>415.66666666666674</v>
      </c>
      <c r="G36" s="101">
        <f>HLOOKUP($B36,Inputs!$B$31:$BS$68,G$7,FALSE)</f>
        <v>1249.0000000000002</v>
      </c>
      <c r="H36" s="101">
        <f>HLOOKUP($B36,Inputs!$B$31:$BS$68,H$7,FALSE)</f>
        <v>2000000</v>
      </c>
      <c r="I36" s="101">
        <f>HLOOKUP($B36,Inputs!$B$31:$BS$68,I$7,FALSE)</f>
        <v>41.666666666666664</v>
      </c>
      <c r="J36" s="101">
        <f>HLOOKUP($B36,Inputs!$B$31:$BS$68,J$7,FALSE)</f>
        <v>125</v>
      </c>
      <c r="K36" s="101">
        <f>HLOOKUP($B36,Inputs!$B$31:$BS$68,K$7,FALSE)</f>
        <v>277.77777777777754</v>
      </c>
      <c r="L36" s="101">
        <f>HLOOKUP($B36,Inputs!$B$31:$BS$68,L$7,FALSE)</f>
        <v>833.33333333333258</v>
      </c>
      <c r="M36" s="107">
        <f>HLOOKUP($B36,Inputs!$B$4:$BS$29,M$7,FALSE)</f>
        <v>144000</v>
      </c>
      <c r="N36" s="109">
        <f>HLOOKUP($B36,Inputs!$B$4:$BS$29,N$7,FALSE)</f>
        <v>48000</v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32"/>
    </row>
    <row r="37" spans="1:26" ht="15.75" customHeight="1">
      <c r="A37" s="77">
        <v>18</v>
      </c>
      <c r="B37" s="94" t="s">
        <v>22</v>
      </c>
      <c r="C37" s="96" t="s">
        <v>159</v>
      </c>
      <c r="D37" s="98">
        <f>HLOOKUP($B37,Inputs!$B$31:$BS$68,D$7,FALSE)</f>
        <v>2.3737181921762249</v>
      </c>
      <c r="E37" s="100">
        <f>HLOOKUP($B37,Inputs!$B$31:$BS$68,E$7,FALSE)</f>
        <v>0.75958982149639198</v>
      </c>
      <c r="F37" s="101">
        <f>HLOOKUP($B37,Inputs!$B$31:$BS$68,F$7,FALSE)</f>
        <v>3124.0000000000009</v>
      </c>
      <c r="G37" s="101">
        <f>HLOOKUP($B37,Inputs!$B$31:$BS$68,G$7,FALSE)</f>
        <v>3124.0000000000009</v>
      </c>
      <c r="H37" s="101">
        <f>HLOOKUP($B37,Inputs!$B$31:$BS$68,H$7,FALSE)</f>
        <v>2106400</v>
      </c>
      <c r="I37" s="101">
        <f>HLOOKUP($B37,Inputs!$B$31:$BS$68,I$7,FALSE)</f>
        <v>312.5</v>
      </c>
      <c r="J37" s="101">
        <f>HLOOKUP($B37,Inputs!$B$31:$BS$68,J$7,FALSE)</f>
        <v>312.5</v>
      </c>
      <c r="K37" s="101">
        <f>HLOOKUP($B37,Inputs!$B$31:$BS$68,K$7,FALSE)</f>
        <v>2632.9999999999977</v>
      </c>
      <c r="L37" s="101">
        <f>HLOOKUP($B37,Inputs!$B$31:$BS$68,L$7,FALSE)</f>
        <v>2632.9999999999977</v>
      </c>
      <c r="M37" s="107">
        <f>HLOOKUP($B37,Inputs!$B$4:$BS$29,M$7,FALSE)</f>
        <v>16000</v>
      </c>
      <c r="N37" s="109">
        <f>HLOOKUP($B37,Inputs!$B$4:$BS$29,N$7,FALSE)</f>
        <v>16000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32"/>
    </row>
    <row r="38" spans="1:26" ht="15.75" customHeight="1">
      <c r="A38" s="77">
        <v>12</v>
      </c>
      <c r="B38" s="94" t="s">
        <v>16</v>
      </c>
      <c r="C38" s="96" t="s">
        <v>159</v>
      </c>
      <c r="D38" s="98">
        <f>HLOOKUP($B38,Inputs!$B$31:$BS$68,D$7,FALSE)</f>
        <v>2.3333333333333335</v>
      </c>
      <c r="E38" s="100">
        <f>HLOOKUP($B38,Inputs!$B$31:$BS$68,E$7,FALSE)</f>
        <v>0.8091666666666667</v>
      </c>
      <c r="F38" s="101">
        <f>HLOOKUP($B38,Inputs!$B$31:$BS$68,F$7,FALSE)</f>
        <v>2665.6666666666674</v>
      </c>
      <c r="G38" s="101">
        <f>HLOOKUP($B38,Inputs!$B$31:$BS$68,G$7,FALSE)</f>
        <v>4999.0000000000009</v>
      </c>
      <c r="H38" s="101">
        <f>HLOOKUP($B38,Inputs!$B$31:$BS$68,H$7,FALSE)</f>
        <v>3000000</v>
      </c>
      <c r="I38" s="101">
        <f>HLOOKUP($B38,Inputs!$B$31:$BS$68,I$7,FALSE)</f>
        <v>266.66666666666669</v>
      </c>
      <c r="J38" s="101">
        <f>HLOOKUP($B38,Inputs!$B$31:$BS$68,J$7,FALSE)</f>
        <v>500</v>
      </c>
      <c r="K38" s="101">
        <f>HLOOKUP($B38,Inputs!$B$31:$BS$68,K$7,FALSE)</f>
        <v>2285.714285714284</v>
      </c>
      <c r="L38" s="101">
        <f>HLOOKUP($B38,Inputs!$B$31:$BS$68,L$7,FALSE)</f>
        <v>4285.7142857142817</v>
      </c>
      <c r="M38" s="107">
        <f>HLOOKUP($B38,Inputs!$B$4:$BS$29,M$7,FALSE)</f>
        <v>26250</v>
      </c>
      <c r="N38" s="109">
        <f>HLOOKUP($B38,Inputs!$B$4:$BS$29,N$7,FALSE)</f>
        <v>14000</v>
      </c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32"/>
    </row>
    <row r="39" spans="1:26" ht="15.75" customHeight="1">
      <c r="A39" s="77">
        <v>50</v>
      </c>
      <c r="B39" s="94" t="s">
        <v>55</v>
      </c>
      <c r="C39" s="96" t="s">
        <v>159</v>
      </c>
      <c r="D39" s="98">
        <f>HLOOKUP($B39,Inputs!$B$31:$BS$68,D$7,FALSE)</f>
        <v>2.2222222222222223</v>
      </c>
      <c r="E39" s="100">
        <f>HLOOKUP($B39,Inputs!$B$31:$BS$68,E$7,FALSE)</f>
        <v>0.625</v>
      </c>
      <c r="F39" s="101">
        <f>HLOOKUP($B39,Inputs!$B$31:$BS$68,F$7,FALSE)</f>
        <v>399.00000000000011</v>
      </c>
      <c r="G39" s="101">
        <f>HLOOKUP($B39,Inputs!$B$31:$BS$68,G$7,FALSE)</f>
        <v>3999.0000000000009</v>
      </c>
      <c r="H39" s="101">
        <f>HLOOKUP($B39,Inputs!$B$31:$BS$68,H$7,FALSE)</f>
        <v>180000</v>
      </c>
      <c r="I39" s="101">
        <f>HLOOKUP($B39,Inputs!$B$31:$BS$68,I$7,FALSE)</f>
        <v>40</v>
      </c>
      <c r="J39" s="101">
        <f>HLOOKUP($B39,Inputs!$B$31:$BS$68,J$7,FALSE)</f>
        <v>400</v>
      </c>
      <c r="K39" s="101">
        <f>HLOOKUP($B39,Inputs!$B$31:$BS$68,K$7,FALSE)</f>
        <v>359.99999999999966</v>
      </c>
      <c r="L39" s="101">
        <f>HLOOKUP($B39,Inputs!$B$31:$BS$68,L$7,FALSE)</f>
        <v>3599.9999999999968</v>
      </c>
      <c r="M39" s="101">
        <f>HLOOKUP($B39,Inputs!$B$4:$BS$29,M$7,FALSE)</f>
        <v>10000</v>
      </c>
      <c r="N39" s="116">
        <f>HLOOKUP($B39,Inputs!$B$4:$BS$29,N$7,FALSE)</f>
        <v>1000</v>
      </c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32"/>
    </row>
    <row r="40" spans="1:26" ht="15.75" customHeight="1">
      <c r="A40" s="77">
        <v>13</v>
      </c>
      <c r="B40" s="94" t="s">
        <v>17</v>
      </c>
      <c r="C40" s="96" t="s">
        <v>159</v>
      </c>
      <c r="D40" s="98">
        <f>HLOOKUP($B40,Inputs!$B$31:$BS$68,D$7,FALSE)</f>
        <v>1.875</v>
      </c>
      <c r="E40" s="100">
        <f>HLOOKUP($B40,Inputs!$B$31:$BS$68,E$7,FALSE)</f>
        <v>0.22391249999999999</v>
      </c>
      <c r="F40" s="101">
        <f>HLOOKUP($B40,Inputs!$B$31:$BS$68,F$7,FALSE)</f>
        <v>1249.0000000000002</v>
      </c>
      <c r="G40" s="101">
        <f>HLOOKUP($B40,Inputs!$B$31:$BS$68,G$7,FALSE)</f>
        <v>3702.7037037037048</v>
      </c>
      <c r="H40" s="101">
        <f>HLOOKUP($B40,Inputs!$B$31:$BS$68,H$7,FALSE)</f>
        <v>1600000</v>
      </c>
      <c r="I40" s="101">
        <f>HLOOKUP($B40,Inputs!$B$31:$BS$68,I$7,FALSE)</f>
        <v>125</v>
      </c>
      <c r="J40" s="101">
        <f>HLOOKUP($B40,Inputs!$B$31:$BS$68,J$7,FALSE)</f>
        <v>370.37037037037038</v>
      </c>
      <c r="K40" s="101">
        <f>HLOOKUP($B40,Inputs!$B$31:$BS$68,K$7,FALSE)</f>
        <v>1333.3333333333323</v>
      </c>
      <c r="L40" s="101">
        <f>HLOOKUP($B40,Inputs!$B$31:$BS$68,L$7,FALSE)</f>
        <v>3950.6172839506139</v>
      </c>
      <c r="M40" s="107">
        <f>HLOOKUP($B40,Inputs!$B$4:$BS$29,M$7,FALSE)</f>
        <v>24000</v>
      </c>
      <c r="N40" s="109">
        <f>HLOOKUP($B40,Inputs!$B$4:$BS$29,N$7,FALSE)</f>
        <v>8100</v>
      </c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32"/>
    </row>
    <row r="41" spans="1:26" ht="15.75" customHeight="1">
      <c r="A41" s="77">
        <v>23</v>
      </c>
      <c r="B41" s="94" t="s">
        <v>27</v>
      </c>
      <c r="C41" s="96" t="s">
        <v>159</v>
      </c>
      <c r="D41" s="98">
        <f>HLOOKUP($B41,Inputs!$B$31:$BS$68,D$7,FALSE)</f>
        <v>1.6666666666666667</v>
      </c>
      <c r="E41" s="100">
        <f>HLOOKUP($B41,Inputs!$B$31:$BS$68,E$7,FALSE)</f>
        <v>2.3993055555555554</v>
      </c>
      <c r="F41" s="101">
        <f>HLOOKUP($B41,Inputs!$B$31:$BS$68,F$7,FALSE)</f>
        <v>499.00000000000011</v>
      </c>
      <c r="G41" s="101">
        <f>HLOOKUP($B41,Inputs!$B$31:$BS$68,G$7,FALSE)</f>
        <v>499.00000000000011</v>
      </c>
      <c r="H41" s="101">
        <f>HLOOKUP($B41,Inputs!$B$31:$BS$68,H$7,FALSE)</f>
        <v>1800000</v>
      </c>
      <c r="I41" s="101">
        <f>HLOOKUP($B41,Inputs!$B$31:$BS$68,I$7,FALSE)</f>
        <v>50</v>
      </c>
      <c r="J41" s="101">
        <f>HLOOKUP($B41,Inputs!$B$31:$BS$68,J$7,FALSE)</f>
        <v>50</v>
      </c>
      <c r="K41" s="101">
        <f>HLOOKUP($B41,Inputs!$B$31:$BS$68,K$7,FALSE)</f>
        <v>599.99999999999943</v>
      </c>
      <c r="L41" s="101">
        <f>HLOOKUP($B41,Inputs!$B$31:$BS$68,L$7,FALSE)</f>
        <v>599.99999999999943</v>
      </c>
      <c r="M41" s="107">
        <f>HLOOKUP($B41,Inputs!$B$4:$BS$29,M$7,FALSE)</f>
        <v>60000</v>
      </c>
      <c r="N41" s="109">
        <f>HLOOKUP($B41,Inputs!$B$4:$BS$29,N$7,FALSE)</f>
        <v>60000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32"/>
    </row>
    <row r="42" spans="1:26" ht="15.75" customHeight="1">
      <c r="A42" s="77">
        <v>31</v>
      </c>
      <c r="B42" s="94" t="s">
        <v>35</v>
      </c>
      <c r="C42" s="96" t="s">
        <v>159</v>
      </c>
      <c r="D42" s="98">
        <f>HLOOKUP($B42,Inputs!$B$31:$BS$68,D$7,FALSE)</f>
        <v>1.5496759259259258</v>
      </c>
      <c r="E42" s="100">
        <f>HLOOKUP($B42,Inputs!$B$31:$BS$68,E$7,FALSE)</f>
        <v>0.55864197530864201</v>
      </c>
      <c r="F42" s="101">
        <f>HLOOKUP($B42,Inputs!$B$31:$BS$68,F$7,FALSE)</f>
        <v>1672.65</v>
      </c>
      <c r="G42" s="101">
        <f>HLOOKUP($B42,Inputs!$B$31:$BS$68,G$7,FALSE)</f>
        <v>1672.65</v>
      </c>
      <c r="H42" s="101">
        <f>HLOOKUP($B42,Inputs!$B$31:$BS$68,H$7,FALSE)</f>
        <v>3240</v>
      </c>
      <c r="I42" s="101">
        <f>HLOOKUP($B42,Inputs!$B$31:$BS$68,I$7,FALSE)</f>
        <v>100</v>
      </c>
      <c r="J42" s="101">
        <f>HLOOKUP($B42,Inputs!$B$31:$BS$68,J$7,FALSE)</f>
        <v>100</v>
      </c>
      <c r="K42" s="101">
        <f>HLOOKUP($B42,Inputs!$B$31:$BS$68,K$7,FALSE)</f>
        <v>2159.9999999999982</v>
      </c>
      <c r="L42" s="101">
        <f>HLOOKUP($B42,Inputs!$B$31:$BS$68,L$7,FALSE)</f>
        <v>2159.9999999999982</v>
      </c>
      <c r="M42" s="107">
        <f>HLOOKUP($B42,Inputs!$B$4:$BS$29,M$7,FALSE)</f>
        <v>30</v>
      </c>
      <c r="N42" s="109">
        <f>HLOOKUP($B42,Inputs!$B$4:$BS$29,N$7,FALSE)</f>
        <v>30</v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32"/>
    </row>
    <row r="43" spans="1:26" ht="15.75" customHeight="1">
      <c r="A43" s="77">
        <v>15</v>
      </c>
      <c r="B43" s="94" t="s">
        <v>19</v>
      </c>
      <c r="C43" s="96" t="s">
        <v>159</v>
      </c>
      <c r="D43" s="98">
        <f>HLOOKUP($B43,Inputs!$B$31:$BS$68,D$7,FALSE)</f>
        <v>1.5</v>
      </c>
      <c r="E43" s="100">
        <f>HLOOKUP($B43,Inputs!$B$31:$BS$68,E$7,FALSE)</f>
        <v>5.8366666666666669</v>
      </c>
      <c r="F43" s="101">
        <f>HLOOKUP($B43,Inputs!$B$31:$BS$68,F$7,FALSE)</f>
        <v>499.00000000000011</v>
      </c>
      <c r="G43" s="101">
        <f>HLOOKUP($B43,Inputs!$B$31:$BS$68,G$7,FALSE)</f>
        <v>1499.0000000000002</v>
      </c>
      <c r="H43" s="101">
        <f>HLOOKUP($B43,Inputs!$B$31:$BS$68,H$7,FALSE)</f>
        <v>1200000</v>
      </c>
      <c r="I43" s="101">
        <f>HLOOKUP($B43,Inputs!$B$31:$BS$68,I$7,FALSE)</f>
        <v>50</v>
      </c>
      <c r="J43" s="101">
        <f>HLOOKUP($B43,Inputs!$B$31:$BS$68,J$7,FALSE)</f>
        <v>150</v>
      </c>
      <c r="K43" s="101">
        <f>HLOOKUP($B43,Inputs!$B$31:$BS$68,K$7,FALSE)</f>
        <v>666.66666666666617</v>
      </c>
      <c r="L43" s="101">
        <f>HLOOKUP($B43,Inputs!$B$31:$BS$68,L$7,FALSE)</f>
        <v>1999.9999999999982</v>
      </c>
      <c r="M43" s="107">
        <f>HLOOKUP($B43,Inputs!$B$4:$BS$29,M$7,FALSE)</f>
        <v>36000</v>
      </c>
      <c r="N43" s="109">
        <f>HLOOKUP($B43,Inputs!$B$4:$BS$29,N$7,FALSE)</f>
        <v>12000</v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32"/>
    </row>
    <row r="44" spans="1:26" ht="15.75" customHeight="1">
      <c r="A44" s="77">
        <v>22</v>
      </c>
      <c r="B44" s="94" t="s">
        <v>26</v>
      </c>
      <c r="C44" s="96" t="s">
        <v>159</v>
      </c>
      <c r="D44" s="98">
        <f>HLOOKUP($B44,Inputs!$B$31:$BS$68,D$7,FALSE)</f>
        <v>1.3333333333333333</v>
      </c>
      <c r="E44" s="100">
        <f>HLOOKUP($B44,Inputs!$B$31:$BS$68,E$7,FALSE)</f>
        <v>2.6666666666666665</v>
      </c>
      <c r="F44" s="101">
        <f>HLOOKUP($B44,Inputs!$B$31:$BS$68,F$7,FALSE)</f>
        <v>399.00000000000011</v>
      </c>
      <c r="G44" s="101">
        <f>HLOOKUP($B44,Inputs!$B$31:$BS$68,G$7,FALSE)</f>
        <v>399.00000000000011</v>
      </c>
      <c r="H44" s="101">
        <f>HLOOKUP($B44,Inputs!$B$31:$BS$68,H$7,FALSE)</f>
        <v>1500</v>
      </c>
      <c r="I44" s="101">
        <f>HLOOKUP($B44,Inputs!$B$31:$BS$68,I$7,FALSE)</f>
        <v>40</v>
      </c>
      <c r="J44" s="101">
        <f>HLOOKUP($B44,Inputs!$B$31:$BS$68,J$7,FALSE)</f>
        <v>40</v>
      </c>
      <c r="K44" s="101">
        <f>HLOOKUP($B44,Inputs!$B$31:$BS$68,K$7,FALSE)</f>
        <v>599.99999999999943</v>
      </c>
      <c r="L44" s="101">
        <f>HLOOKUP($B44,Inputs!$B$31:$BS$68,L$7,FALSE)</f>
        <v>599.99999999999943</v>
      </c>
      <c r="M44" s="107">
        <f>HLOOKUP($B44,Inputs!$B$4:$BS$29,M$7,FALSE)</f>
        <v>50</v>
      </c>
      <c r="N44" s="109">
        <f>HLOOKUP($B44,Inputs!$B$4:$BS$29,N$7,FALSE)</f>
        <v>50</v>
      </c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32"/>
    </row>
    <row r="45" spans="1:26" ht="15.75" customHeight="1">
      <c r="A45" s="77">
        <v>33</v>
      </c>
      <c r="B45" s="94" t="s">
        <v>37</v>
      </c>
      <c r="C45" s="96" t="s">
        <v>159</v>
      </c>
      <c r="D45" s="98">
        <f>HLOOKUP($B45,Inputs!$B$31:$BS$68,D$7,FALSE)</f>
        <v>1.2698412698412698</v>
      </c>
      <c r="E45" s="100">
        <f>HLOOKUP($B45,Inputs!$B$31:$BS$68,E$7,FALSE)</f>
        <v>0.56444444444444442</v>
      </c>
      <c r="F45" s="101">
        <f>HLOOKUP($B45,Inputs!$B$31:$BS$68,F$7,FALSE)</f>
        <v>443.14834554741293</v>
      </c>
      <c r="G45" s="101">
        <f>HLOOKUP($B45,Inputs!$B$31:$BS$68,G$7,FALSE)</f>
        <v>1331.4450366422388</v>
      </c>
      <c r="H45" s="101">
        <f>HLOOKUP($B45,Inputs!$B$31:$BS$68,H$7,FALSE)</f>
        <v>1575000</v>
      </c>
      <c r="I45" s="101">
        <f>HLOOKUP($B45,Inputs!$B$31:$BS$68,I$7,FALSE)</f>
        <v>44.414834554741283</v>
      </c>
      <c r="J45" s="101">
        <f>HLOOKUP($B45,Inputs!$B$31:$BS$68,J$7,FALSE)</f>
        <v>133.24450366422386</v>
      </c>
      <c r="K45" s="101">
        <f>HLOOKUP($B45,Inputs!$B$31:$BS$68,K$7,FALSE)</f>
        <v>699.5336442371746</v>
      </c>
      <c r="L45" s="101">
        <f>HLOOKUP($B45,Inputs!$B$31:$BS$68,L$7,FALSE)</f>
        <v>2098.6009327115239</v>
      </c>
      <c r="M45" s="107">
        <f>HLOOKUP($B45,Inputs!$B$4:$BS$29,M$7,FALSE)</f>
        <v>45030</v>
      </c>
      <c r="N45" s="109">
        <f>HLOOKUP($B45,Inputs!$B$4:$BS$29,N$7,FALSE)</f>
        <v>15010</v>
      </c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32"/>
    </row>
    <row r="46" spans="1:26" ht="15.75" customHeight="1">
      <c r="A46" s="77">
        <v>4</v>
      </c>
      <c r="B46" s="94" t="s">
        <v>8</v>
      </c>
      <c r="C46" s="96" t="s">
        <v>159</v>
      </c>
      <c r="D46" s="98">
        <f>HLOOKUP($B46,Inputs!$B$31:$BS$68,D$7,FALSE)</f>
        <v>1.0964912280701755</v>
      </c>
      <c r="E46" s="100">
        <f>HLOOKUP($B46,Inputs!$B$31:$BS$68,E$7,FALSE)</f>
        <v>3.5078947368421054</v>
      </c>
      <c r="F46" s="101">
        <f>HLOOKUP($B46,Inputs!$B$31:$BS$68,F$7,FALSE)</f>
        <v>311.50000000000006</v>
      </c>
      <c r="G46" s="101">
        <f>HLOOKUP($B46,Inputs!$B$31:$BS$68,G$7,FALSE)</f>
        <v>3124.0000000000009</v>
      </c>
      <c r="H46" s="101">
        <f>HLOOKUP($B46,Inputs!$B$31:$BS$68,H$7,FALSE)</f>
        <v>11400</v>
      </c>
      <c r="I46" s="101">
        <f>HLOOKUP($B46,Inputs!$B$31:$BS$68,I$7,FALSE)</f>
        <v>31.25</v>
      </c>
      <c r="J46" s="101">
        <f>HLOOKUP($B46,Inputs!$B$31:$BS$68,J$7,FALSE)</f>
        <v>312.5</v>
      </c>
      <c r="K46" s="101">
        <f>HLOOKUP($B46,Inputs!$B$31:$BS$68,K$7,FALSE)</f>
        <v>569.99999999999955</v>
      </c>
      <c r="L46" s="101">
        <f>HLOOKUP($B46,Inputs!$B$31:$BS$68,L$7,FALSE)</f>
        <v>5699.9999999999945</v>
      </c>
      <c r="M46" s="101">
        <f>HLOOKUP($B46,Inputs!$B$4:$BS$29,M$7,FALSE)</f>
        <v>400</v>
      </c>
      <c r="N46" s="116">
        <f>HLOOKUP($B46,Inputs!$B$4:$BS$29,N$7,FALSE)</f>
        <v>40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32"/>
    </row>
    <row r="47" spans="1:26" ht="15.75" customHeight="1">
      <c r="A47" s="77">
        <v>16</v>
      </c>
      <c r="B47" s="114" t="s">
        <v>20</v>
      </c>
      <c r="C47" s="96" t="s">
        <v>159</v>
      </c>
      <c r="D47" s="98" t="e">
        <f>HLOOKUP($B47,Inputs!$B$31:$BS$68,D$7,FALSE)</f>
        <v>#REF!</v>
      </c>
      <c r="E47" s="100">
        <f>HLOOKUP($B47,Inputs!$B$31:$BS$68,E$7,FALSE)</f>
        <v>0.20086916666666665</v>
      </c>
      <c r="F47" s="101" t="str">
        <f>HLOOKUP($B47,Inputs!$B$31:$BS$68,F$7,FALSE)</f>
        <v/>
      </c>
      <c r="G47" s="101" t="str">
        <f>HLOOKUP($B47,Inputs!$B$31:$BS$68,G$7,FALSE)</f>
        <v/>
      </c>
      <c r="H47" s="101">
        <f>HLOOKUP($B47,Inputs!$B$31:$BS$68,H$7,FALSE)</f>
        <v>240000</v>
      </c>
      <c r="I47" s="101">
        <f>HLOOKUP($B47,Inputs!$B$31:$BS$68,I$7,FALSE)</f>
        <v>16.666666666666668</v>
      </c>
      <c r="J47" s="101">
        <f>HLOOKUP($B47,Inputs!$B$31:$BS$68,J$7,FALSE)</f>
        <v>16.666666666666668</v>
      </c>
      <c r="K47" s="101">
        <f>HLOOKUP($B47,Inputs!$B$31:$BS$68,K$7,FALSE)</f>
        <v>799.99999999999932</v>
      </c>
      <c r="L47" s="101">
        <f>HLOOKUP($B47,Inputs!$B$31:$BS$68,L$7,FALSE)</f>
        <v>799.99999999999932</v>
      </c>
      <c r="M47" s="107">
        <f>HLOOKUP($B47,Inputs!$B$4:$BS$29,M$7,FALSE)</f>
        <v>6000</v>
      </c>
      <c r="N47" s="109">
        <f>HLOOKUP($B47,Inputs!$B$4:$BS$29,N$7,FALSE)</f>
        <v>6000</v>
      </c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32"/>
    </row>
    <row r="48" spans="1:26" ht="15.75" customHeight="1">
      <c r="A48" s="77">
        <v>20</v>
      </c>
      <c r="B48" s="94" t="s">
        <v>24</v>
      </c>
      <c r="C48" s="96" t="s">
        <v>159</v>
      </c>
      <c r="D48" s="98">
        <f>HLOOKUP($B48,Inputs!$B$31:$BS$68,D$7,FALSE)</f>
        <v>0.95238095238095233</v>
      </c>
      <c r="E48" s="100">
        <f>HLOOKUP($B48,Inputs!$B$31:$BS$68,E$7,FALSE)</f>
        <v>0.82380952380952377</v>
      </c>
      <c r="F48" s="101">
        <f>HLOOKUP($B48,Inputs!$B$31:$BS$68,F$7,FALSE)</f>
        <v>332.33333333333343</v>
      </c>
      <c r="G48" s="101">
        <f>HLOOKUP($B48,Inputs!$B$31:$BS$68,G$7,FALSE)</f>
        <v>332.33333333333343</v>
      </c>
      <c r="H48" s="101">
        <f>HLOOKUP($B48,Inputs!$B$31:$BS$68,H$7,FALSE)</f>
        <v>52500</v>
      </c>
      <c r="I48" s="101">
        <f>HLOOKUP($B48,Inputs!$B$31:$BS$68,I$7,FALSE)</f>
        <v>33.333333333333336</v>
      </c>
      <c r="J48" s="101">
        <f>HLOOKUP($B48,Inputs!$B$31:$BS$68,J$7,FALSE)</f>
        <v>33.333333333333336</v>
      </c>
      <c r="K48" s="101">
        <f>HLOOKUP($B48,Inputs!$B$31:$BS$68,K$7,FALSE)</f>
        <v>699.99999999999943</v>
      </c>
      <c r="L48" s="101">
        <f>HLOOKUP($B48,Inputs!$B$31:$BS$68,L$7,FALSE)</f>
        <v>699.99999999999943</v>
      </c>
      <c r="M48" s="107">
        <f>HLOOKUP($B48,Inputs!$B$4:$BS$29,M$7,FALSE)</f>
        <v>1500</v>
      </c>
      <c r="N48" s="109">
        <f>HLOOKUP($B48,Inputs!$B$4:$BS$29,N$7,FALSE)</f>
        <v>1500</v>
      </c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32"/>
    </row>
    <row r="49" spans="1:26" ht="15.75" hidden="1" customHeight="1">
      <c r="A49" s="77">
        <v>54</v>
      </c>
      <c r="B49" s="114" t="s">
        <v>58</v>
      </c>
      <c r="C49" s="115" t="s">
        <v>343</v>
      </c>
      <c r="D49" s="98">
        <f>HLOOKUP($B49,Inputs!$B$31:$BS$68,D$7,FALSE)</f>
        <v>0.87028571428571433</v>
      </c>
      <c r="E49" s="100">
        <f>HLOOKUP($B49,Inputs!$B$31:$BS$68,E$7,FALSE)</f>
        <v>2.9821428571428572</v>
      </c>
      <c r="F49" s="101" t="str">
        <f>HLOOKUP($B49,Inputs!$B$31:$BS$68,F$7,FALSE)</f>
        <v>N/A</v>
      </c>
      <c r="G49" s="101" t="str">
        <f>HLOOKUP($B49,Inputs!$B$31:$BS$68,G$7,FALSE)</f>
        <v>N/A</v>
      </c>
      <c r="H49" s="101">
        <f>HLOOKUP($B49,Inputs!$B$31:$BS$68,H$7,FALSE)</f>
        <v>250000</v>
      </c>
      <c r="I49" s="101" t="str">
        <f>HLOOKUP($B49,Inputs!$B$31:$BS$68,I$7,FALSE)</f>
        <v>N/A</v>
      </c>
      <c r="J49" s="101" t="str">
        <f>HLOOKUP($B49,Inputs!$B$31:$BS$68,J$7,FALSE)</f>
        <v>N/A</v>
      </c>
      <c r="K49" s="101" t="str">
        <f>HLOOKUP($B49,Inputs!$B$31:$BS$68,K$7,FALSE)</f>
        <v>N/A</v>
      </c>
      <c r="L49" s="101" t="str">
        <f>HLOOKUP($B49,Inputs!$B$31:$BS$68,L$7,FALSE)</f>
        <v>N/A</v>
      </c>
      <c r="M49" s="101" t="str">
        <f>HLOOKUP($B49,Inputs!$B$4:$BS$29,M$7,FALSE)</f>
        <v>1 Spin</v>
      </c>
      <c r="N49" s="116" t="str">
        <f>HLOOKUP($B49,Inputs!$B$4:$BS$29,N$7,FALSE)</f>
        <v>1 Spin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32"/>
    </row>
    <row r="50" spans="1:26" ht="15.75" hidden="1" customHeight="1">
      <c r="A50" s="77">
        <v>44</v>
      </c>
      <c r="B50" s="94" t="s">
        <v>49</v>
      </c>
      <c r="C50" s="96" t="s">
        <v>272</v>
      </c>
      <c r="D50" s="98">
        <f>HLOOKUP($B50,Inputs!$B$31:$BS$68,D$7,FALSE)</f>
        <v>0.75</v>
      </c>
      <c r="E50" s="100">
        <f>HLOOKUP($B50,Inputs!$B$31:$BS$68,E$7,FALSE)</f>
        <v>0.62824999999999998</v>
      </c>
      <c r="F50" s="101">
        <f>HLOOKUP($B50,Inputs!$B$31:$BS$68,F$7,FALSE)</f>
        <v>749.00000000000011</v>
      </c>
      <c r="G50" s="101">
        <f>HLOOKUP($B50,Inputs!$B$31:$BS$68,G$7,FALSE)</f>
        <v>1499.0000000000002</v>
      </c>
      <c r="H50" s="101">
        <f>HLOOKUP($B50,Inputs!$B$31:$BS$68,H$7,FALSE)</f>
        <v>20000</v>
      </c>
      <c r="I50" s="101">
        <f>HLOOKUP($B50,Inputs!$B$31:$BS$68,I$7,FALSE)</f>
        <v>75</v>
      </c>
      <c r="J50" s="101">
        <f>HLOOKUP($B50,Inputs!$B$31:$BS$68,J$7,FALSE)</f>
        <v>150</v>
      </c>
      <c r="K50" s="101">
        <f>HLOOKUP($B50,Inputs!$B$31:$BS$68,K$7,FALSE)</f>
        <v>1999.9999999999982</v>
      </c>
      <c r="L50" s="101">
        <f>HLOOKUP($B50,Inputs!$B$31:$BS$68,L$7,FALSE)</f>
        <v>3999.9999999999964</v>
      </c>
      <c r="M50" s="121">
        <f>HLOOKUP($B50,Inputs!$B$4:$BS$29,M$7,FALSE)</f>
        <v>200</v>
      </c>
      <c r="N50" s="122">
        <f>HLOOKUP($B50,Inputs!$B$4:$BS$29,N$7,FALSE)</f>
        <v>100</v>
      </c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32"/>
    </row>
    <row r="51" spans="1:26" ht="15.75" customHeight="1">
      <c r="A51" s="77">
        <v>14</v>
      </c>
      <c r="B51" s="94" t="s">
        <v>18</v>
      </c>
      <c r="C51" s="96" t="s">
        <v>159</v>
      </c>
      <c r="D51" s="98">
        <f>HLOOKUP($B51,Inputs!$B$31:$BS$68,D$7,FALSE)</f>
        <v>0.64516129032258063</v>
      </c>
      <c r="E51" s="100">
        <f>HLOOKUP($B51,Inputs!$B$31:$BS$68,E$7,FALSE)</f>
        <v>0.61825268817204293</v>
      </c>
      <c r="F51" s="101">
        <f>HLOOKUP($B51,Inputs!$B$31:$BS$68,F$7,FALSE)</f>
        <v>79999.000000000015</v>
      </c>
      <c r="G51" s="101">
        <f>HLOOKUP($B51,Inputs!$B$31:$BS$68,G$7,FALSE)</f>
        <v>79999.000000000015</v>
      </c>
      <c r="H51" s="101">
        <f>HLOOKUP($B51,Inputs!$B$31:$BS$68,H$7,FALSE)</f>
        <v>62000</v>
      </c>
      <c r="I51" s="101">
        <f>HLOOKUP($B51,Inputs!$B$31:$BS$68,I$7,FALSE)</f>
        <v>8000</v>
      </c>
      <c r="J51" s="101">
        <f>HLOOKUP($B51,Inputs!$B$31:$BS$68,J$7,FALSE)</f>
        <v>8000</v>
      </c>
      <c r="K51" s="101">
        <f>HLOOKUP($B51,Inputs!$B$31:$BS$68,K$7,FALSE)</f>
        <v>247999.99999999977</v>
      </c>
      <c r="L51" s="101">
        <f>HLOOKUP($B51,Inputs!$B$31:$BS$68,L$7,FALSE)</f>
        <v>247999.99999999977</v>
      </c>
      <c r="M51" s="107">
        <f>HLOOKUP($B51,Inputs!$B$4:$BS$29,M$7,FALSE)</f>
        <v>5</v>
      </c>
      <c r="N51" s="109">
        <f>HLOOKUP($B51,Inputs!$B$4:$BS$29,N$7,FALSE)</f>
        <v>5</v>
      </c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32"/>
    </row>
    <row r="52" spans="1:26" ht="15.75" customHeight="1">
      <c r="A52" s="77">
        <v>35</v>
      </c>
      <c r="B52" s="94" t="s">
        <v>39</v>
      </c>
      <c r="C52" s="96" t="s">
        <v>159</v>
      </c>
      <c r="D52" s="98">
        <f>HLOOKUP($B52,Inputs!$B$31:$BS$68,D$7,FALSE)</f>
        <v>0.4</v>
      </c>
      <c r="E52" s="100">
        <f>HLOOKUP($B52,Inputs!$B$31:$BS$68,E$7,FALSE)</f>
        <v>0.79600000000000004</v>
      </c>
      <c r="F52" s="101">
        <f>HLOOKUP($B52,Inputs!$B$31:$BS$68,F$7,FALSE)</f>
        <v>6665.6666666666679</v>
      </c>
      <c r="G52" s="101">
        <f>HLOOKUP($B52,Inputs!$B$31:$BS$68,G$7,FALSE)</f>
        <v>66665.666666666686</v>
      </c>
      <c r="H52" s="101">
        <f>HLOOKUP($B52,Inputs!$B$31:$BS$68,H$7,FALSE)</f>
        <v>500000</v>
      </c>
      <c r="I52" s="101">
        <f>HLOOKUP($B52,Inputs!$B$31:$BS$68,I$7,FALSE)</f>
        <v>666.66666666666663</v>
      </c>
      <c r="J52" s="101">
        <f>HLOOKUP($B52,Inputs!$B$31:$BS$68,J$7,FALSE)</f>
        <v>6666.666666666667</v>
      </c>
      <c r="K52" s="101">
        <f>HLOOKUP($B52,Inputs!$B$31:$BS$68,K$7,FALSE)</f>
        <v>33333.333333333307</v>
      </c>
      <c r="L52" s="101">
        <f>HLOOKUP($B52,Inputs!$B$31:$BS$68,L$7,FALSE)</f>
        <v>333333.33333333308</v>
      </c>
      <c r="M52" s="107">
        <f>HLOOKUP($B52,Inputs!$B$4:$BS$29,M$7,FALSE)</f>
        <v>300</v>
      </c>
      <c r="N52" s="109">
        <f>HLOOKUP($B52,Inputs!$B$4:$BS$29,N$7,FALSE)</f>
        <v>30</v>
      </c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32"/>
    </row>
    <row r="53" spans="1:26" ht="15.75" customHeight="1">
      <c r="A53" s="77">
        <v>9</v>
      </c>
      <c r="B53" s="94" t="s">
        <v>13</v>
      </c>
      <c r="C53" s="96" t="s">
        <v>159</v>
      </c>
      <c r="D53" s="98">
        <f>HLOOKUP($B53,Inputs!$B$31:$BS$68,D$7,FALSE)</f>
        <v>0.36363636363636365</v>
      </c>
      <c r="E53" s="100">
        <f>HLOOKUP($B53,Inputs!$B$31:$BS$68,E$7,FALSE)</f>
        <v>0.12656363636363635</v>
      </c>
      <c r="F53" s="101">
        <f>HLOOKUP($B53,Inputs!$B$31:$BS$68,F$7,FALSE)</f>
        <v>3999.0000000000009</v>
      </c>
      <c r="G53" s="101">
        <f>HLOOKUP($B53,Inputs!$B$31:$BS$68,G$7,FALSE)</f>
        <v>19999.000000000004</v>
      </c>
      <c r="H53" s="101">
        <f>HLOOKUP($B53,Inputs!$B$31:$BS$68,H$7,FALSE)</f>
        <v>55000000</v>
      </c>
      <c r="I53" s="101">
        <f>HLOOKUP($B53,Inputs!$B$31:$BS$68,I$7,FALSE)</f>
        <v>400</v>
      </c>
      <c r="J53" s="101">
        <f>HLOOKUP($B53,Inputs!$B$31:$BS$68,J$7,FALSE)</f>
        <v>2000</v>
      </c>
      <c r="K53" s="101">
        <f>HLOOKUP($B53,Inputs!$B$31:$BS$68,K$7,FALSE)</f>
        <v>21999.999999999982</v>
      </c>
      <c r="L53" s="101">
        <f>HLOOKUP($B53,Inputs!$B$31:$BS$68,L$7,FALSE)</f>
        <v>109999.9999999999</v>
      </c>
      <c r="M53" s="107">
        <f>HLOOKUP($B53,Inputs!$B$4:$BS$29,M$7,FALSE)</f>
        <v>50000</v>
      </c>
      <c r="N53" s="109">
        <f>HLOOKUP($B53,Inputs!$B$4:$BS$29,N$7,FALSE)</f>
        <v>10000</v>
      </c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32"/>
    </row>
    <row r="54" spans="1:26" ht="15.75" hidden="1" customHeight="1">
      <c r="A54" s="77">
        <v>43</v>
      </c>
      <c r="B54" s="94" t="s">
        <v>48</v>
      </c>
      <c r="C54" s="96" t="s">
        <v>272</v>
      </c>
      <c r="D54" s="98">
        <f>HLOOKUP($B54,Inputs!$B$31:$BS$68,D$7,FALSE)</f>
        <v>0.34908725812340269</v>
      </c>
      <c r="E54" s="100">
        <f>HLOOKUP($B54,Inputs!$B$31:$BS$68,E$7,FALSE)</f>
        <v>0.22184545454545454</v>
      </c>
      <c r="F54" s="101">
        <f>HLOOKUP($B54,Inputs!$B$31:$BS$68,F$7,FALSE)</f>
        <v>11518.879518072292</v>
      </c>
      <c r="G54" s="101">
        <f>HLOOKUP($B54,Inputs!$B$31:$BS$68,G$7,FALSE)</f>
        <v>230396.59036144582</v>
      </c>
      <c r="H54" s="101">
        <f>HLOOKUP($B54,Inputs!$B$31:$BS$68,H$7,FALSE)</f>
        <v>1650000</v>
      </c>
      <c r="I54" s="101">
        <f>HLOOKUP($B54,Inputs!$B$31:$BS$68,I$7,FALSE)</f>
        <v>160</v>
      </c>
      <c r="J54" s="101">
        <f>HLOOKUP($B54,Inputs!$B$31:$BS$68,J$7,FALSE)</f>
        <v>3200</v>
      </c>
      <c r="K54" s="101">
        <f>HLOOKUP($B54,Inputs!$B$31:$BS$68,K$7,FALSE)</f>
        <v>65999.999999999942</v>
      </c>
      <c r="L54" s="101">
        <f>HLOOKUP($B54,Inputs!$B$31:$BS$68,L$7,FALSE)</f>
        <v>1319999.9999999988</v>
      </c>
      <c r="M54" s="121">
        <f>HLOOKUP($B54,Inputs!$B$4:$BS$29,M$7,FALSE)</f>
        <v>500</v>
      </c>
      <c r="N54" s="122">
        <f>HLOOKUP($B54,Inputs!$B$4:$BS$29,N$7,FALSE)</f>
        <v>25</v>
      </c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32"/>
    </row>
    <row r="55" spans="1:26" ht="15.75" customHeight="1">
      <c r="A55" s="77">
        <v>25</v>
      </c>
      <c r="B55" s="94" t="s">
        <v>29</v>
      </c>
      <c r="C55" s="96" t="s">
        <v>159</v>
      </c>
      <c r="D55" s="98">
        <f>HLOOKUP($B55,Inputs!$B$31:$BS$68,D$7,FALSE)</f>
        <v>0.34722222222222221</v>
      </c>
      <c r="E55" s="100">
        <f>HLOOKUP($B55,Inputs!$B$31:$BS$68,E$7,FALSE)</f>
        <v>4.4965277777777778E-2</v>
      </c>
      <c r="F55" s="101">
        <f>HLOOKUP($B55,Inputs!$B$31:$BS$68,F$7,FALSE)</f>
        <v>999.00000000000023</v>
      </c>
      <c r="G55" s="101">
        <f>HLOOKUP($B55,Inputs!$B$31:$BS$68,G$7,FALSE)</f>
        <v>2499.0000000000005</v>
      </c>
      <c r="H55" s="101">
        <f>HLOOKUP($B55,Inputs!$B$31:$BS$68,H$7,FALSE)</f>
        <v>28800</v>
      </c>
      <c r="I55" s="101">
        <f>HLOOKUP($B55,Inputs!$B$31:$BS$68,I$7,FALSE)</f>
        <v>100</v>
      </c>
      <c r="J55" s="101">
        <f>HLOOKUP($B55,Inputs!$B$31:$BS$68,J$7,FALSE)</f>
        <v>250</v>
      </c>
      <c r="K55" s="101">
        <f>HLOOKUP($B55,Inputs!$B$31:$BS$68,K$7,FALSE)</f>
        <v>5759.9999999999945</v>
      </c>
      <c r="L55" s="101">
        <f>HLOOKUP($B55,Inputs!$B$31:$BS$68,L$7,FALSE)</f>
        <v>14399.999999999987</v>
      </c>
      <c r="M55" s="107">
        <f>HLOOKUP($B55,Inputs!$B$4:$BS$29,M$7,FALSE)</f>
        <v>100</v>
      </c>
      <c r="N55" s="109">
        <f>HLOOKUP($B55,Inputs!$B$4:$BS$29,N$7,FALSE)</f>
        <v>40</v>
      </c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32"/>
    </row>
    <row r="56" spans="1:26" ht="15.75" customHeight="1">
      <c r="A56" s="77">
        <v>24</v>
      </c>
      <c r="B56" s="94" t="s">
        <v>28</v>
      </c>
      <c r="C56" s="96" t="s">
        <v>159</v>
      </c>
      <c r="D56" s="98">
        <f>HLOOKUP($B56,Inputs!$B$31:$BS$68,D$7,FALSE)</f>
        <v>0.33333333333333331</v>
      </c>
      <c r="E56" s="100">
        <f>HLOOKUP($B56,Inputs!$B$31:$BS$68,E$7,FALSE)</f>
        <v>0.54166666666666663</v>
      </c>
      <c r="F56" s="101">
        <f>HLOOKUP($B56,Inputs!$B$31:$BS$68,F$7,FALSE)</f>
        <v>499.00000000000011</v>
      </c>
      <c r="G56" s="101">
        <f>HLOOKUP($B56,Inputs!$B$31:$BS$68,G$7,FALSE)</f>
        <v>499.00000000000011</v>
      </c>
      <c r="H56" s="101">
        <f>HLOOKUP($B56,Inputs!$B$31:$BS$68,H$7,FALSE)</f>
        <v>90000</v>
      </c>
      <c r="I56" s="101">
        <f>HLOOKUP($B56,Inputs!$B$31:$BS$68,I$7,FALSE)</f>
        <v>50</v>
      </c>
      <c r="J56" s="101">
        <f>HLOOKUP($B56,Inputs!$B$31:$BS$68,J$7,FALSE)</f>
        <v>50</v>
      </c>
      <c r="K56" s="101">
        <f>HLOOKUP($B56,Inputs!$B$31:$BS$68,K$7,FALSE)</f>
        <v>2999.9999999999973</v>
      </c>
      <c r="L56" s="101">
        <f>HLOOKUP($B56,Inputs!$B$31:$BS$68,L$7,FALSE)</f>
        <v>2999.9999999999973</v>
      </c>
      <c r="M56" s="107">
        <f>HLOOKUP($B56,Inputs!$B$4:$BS$29,M$7,FALSE)</f>
        <v>600</v>
      </c>
      <c r="N56" s="109">
        <f>HLOOKUP($B56,Inputs!$B$4:$BS$29,N$7,FALSE)</f>
        <v>600</v>
      </c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32"/>
    </row>
    <row r="57" spans="1:26" ht="15.75" hidden="1" customHeight="1">
      <c r="A57" s="77">
        <v>47</v>
      </c>
      <c r="B57" s="94" t="s">
        <v>52</v>
      </c>
      <c r="C57" s="96" t="s">
        <v>272</v>
      </c>
      <c r="D57" s="98">
        <f>HLOOKUP($B57,Inputs!$B$31:$BS$68,D$7,FALSE)</f>
        <v>0.2545</v>
      </c>
      <c r="E57" s="100">
        <f>HLOOKUP($B57,Inputs!$B$31:$BS$68,E$7,FALSE)</f>
        <v>5.4000000000000003E-3</v>
      </c>
      <c r="F57" s="101">
        <f>HLOOKUP($B57,Inputs!$B$31:$BS$68,F$7,FALSE)</f>
        <v>62.625000000000014</v>
      </c>
      <c r="G57" s="101">
        <f>HLOOKUP($B57,Inputs!$B$31:$BS$68,G$7,FALSE)</f>
        <v>1271.5000000000002</v>
      </c>
      <c r="H57" s="101">
        <f>HLOOKUP($B57,Inputs!$B$31:$BS$68,H$7,FALSE)</f>
        <v>1000000</v>
      </c>
      <c r="I57" s="101">
        <f>HLOOKUP($B57,Inputs!$B$31:$BS$68,I$7,FALSE)</f>
        <v>0.125</v>
      </c>
      <c r="J57" s="101">
        <f>HLOOKUP($B57,Inputs!$B$31:$BS$68,J$7,FALSE)</f>
        <v>2.5</v>
      </c>
      <c r="K57" s="101">
        <f>HLOOKUP($B57,Inputs!$B$31:$BS$68,K$7,FALSE)</f>
        <v>499.99999999999955</v>
      </c>
      <c r="L57" s="101">
        <f>HLOOKUP($B57,Inputs!$B$31:$BS$68,L$7,FALSE)</f>
        <v>9999.9999999999909</v>
      </c>
      <c r="M57" s="121">
        <f>HLOOKUP($B57,Inputs!$B$4:$BS$29,M$7,FALSE)</f>
        <v>40000</v>
      </c>
      <c r="N57" s="122">
        <f>HLOOKUP($B57,Inputs!$B$4:$BS$29,N$7,FALSE)</f>
        <v>2000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32"/>
    </row>
    <row r="58" spans="1:26" ht="15.75" customHeight="1">
      <c r="A58" s="77">
        <v>6</v>
      </c>
      <c r="B58" s="94" t="s">
        <v>10</v>
      </c>
      <c r="C58" s="96" t="s">
        <v>159</v>
      </c>
      <c r="D58" s="98">
        <f>HLOOKUP($B58,Inputs!$B$31:$BS$68,D$7,FALSE)</f>
        <v>0.25</v>
      </c>
      <c r="E58" s="100">
        <f>HLOOKUP($B58,Inputs!$B$31:$BS$68,E$7,FALSE)</f>
        <v>0.2528333333333333</v>
      </c>
      <c r="F58" s="101">
        <f>HLOOKUP($B58,Inputs!$B$31:$BS$68,F$7,FALSE)</f>
        <v>1110.1111111111113</v>
      </c>
      <c r="G58" s="101">
        <f>HLOOKUP($B58,Inputs!$B$31:$BS$68,G$7,FALSE)</f>
        <v>1110.1111111111113</v>
      </c>
      <c r="H58" s="101">
        <f>HLOOKUP($B58,Inputs!$B$31:$BS$68,H$7,FALSE)</f>
        <v>4000</v>
      </c>
      <c r="I58" s="101">
        <f>HLOOKUP($B58,Inputs!$B$31:$BS$68,I$7,FALSE)</f>
        <v>111.11111111111111</v>
      </c>
      <c r="J58" s="101">
        <f>HLOOKUP($B58,Inputs!$B$31:$BS$68,J$7,FALSE)</f>
        <v>111.11111111111111</v>
      </c>
      <c r="K58" s="101">
        <f>HLOOKUP($B58,Inputs!$B$31:$BS$68,K$7,FALSE)</f>
        <v>8888.8888888888814</v>
      </c>
      <c r="L58" s="101">
        <f>HLOOKUP($B58,Inputs!$B$31:$BS$68,L$7,FALSE)</f>
        <v>8888.8888888888814</v>
      </c>
      <c r="M58" s="107">
        <f>HLOOKUP($B58,Inputs!$B$4:$BS$29,M$7,FALSE)</f>
        <v>9</v>
      </c>
      <c r="N58" s="109">
        <f>HLOOKUP($B58,Inputs!$B$4:$BS$29,N$7,FALSE)</f>
        <v>9</v>
      </c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32"/>
    </row>
    <row r="59" spans="1:26" ht="15.75" hidden="1" customHeight="1">
      <c r="A59" s="77">
        <v>42</v>
      </c>
      <c r="B59" s="94" t="s">
        <v>47</v>
      </c>
      <c r="C59" s="96" t="s">
        <v>272</v>
      </c>
      <c r="D59" s="98">
        <f>HLOOKUP($B59,Inputs!$B$31:$BS$68,D$7,FALSE)</f>
        <v>0.2</v>
      </c>
      <c r="E59" s="100">
        <f>HLOOKUP($B59,Inputs!$B$31:$BS$68,E$7,FALSE)</f>
        <v>0.3372</v>
      </c>
      <c r="F59" s="101">
        <f>HLOOKUP($B59,Inputs!$B$31:$BS$68,F$7,FALSE)</f>
        <v>49.000000000000014</v>
      </c>
      <c r="G59" s="101">
        <f>HLOOKUP($B59,Inputs!$B$31:$BS$68,G$7,FALSE)</f>
        <v>499.00000000000011</v>
      </c>
      <c r="H59" s="101">
        <f>HLOOKUP($B59,Inputs!$B$31:$BS$68,H$7,FALSE)</f>
        <v>1250000</v>
      </c>
      <c r="I59" s="101">
        <f>HLOOKUP($B59,Inputs!$B$31:$BS$68,I$7,FALSE)</f>
        <v>5</v>
      </c>
      <c r="J59" s="101">
        <f>HLOOKUP($B59,Inputs!$B$31:$BS$68,J$7,FALSE)</f>
        <v>50</v>
      </c>
      <c r="K59" s="101">
        <f>HLOOKUP($B59,Inputs!$B$31:$BS$68,K$7,FALSE)</f>
        <v>499.99999999999955</v>
      </c>
      <c r="L59" s="101">
        <f>HLOOKUP($B59,Inputs!$B$31:$BS$68,L$7,FALSE)</f>
        <v>4999.9999999999955</v>
      </c>
      <c r="M59" s="121">
        <f>HLOOKUP($B59,Inputs!$B$4:$BS$29,M$7,FALSE)</f>
        <v>50000</v>
      </c>
      <c r="N59" s="122">
        <f>HLOOKUP($B59,Inputs!$B$4:$BS$29,N$7,FALSE)</f>
        <v>5000</v>
      </c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32"/>
    </row>
    <row r="60" spans="1:26" ht="15.75" hidden="1" customHeight="1">
      <c r="A60" s="77">
        <v>46</v>
      </c>
      <c r="B60" s="94" t="s">
        <v>51</v>
      </c>
      <c r="C60" s="96" t="s">
        <v>272</v>
      </c>
      <c r="D60" s="98">
        <f>HLOOKUP($B60,Inputs!$B$31:$BS$68,D$7,FALSE)</f>
        <v>0.11156666666666666</v>
      </c>
      <c r="E60" s="100">
        <f>HLOOKUP($B60,Inputs!$B$31:$BS$68,E$7,FALSE)</f>
        <v>2.7633333333333333E-2</v>
      </c>
      <c r="F60" s="101">
        <f>HLOOKUP($B60,Inputs!$B$31:$BS$68,F$7,FALSE)</f>
        <v>556.83333333333348</v>
      </c>
      <c r="G60" s="101">
        <f>HLOOKUP($B60,Inputs!$B$31:$BS$68,G$7,FALSE)</f>
        <v>11155.66666666667</v>
      </c>
      <c r="H60" s="101">
        <f>HLOOKUP($B60,Inputs!$B$31:$BS$68,H$7,FALSE)</f>
        <v>3000000</v>
      </c>
      <c r="I60" s="101">
        <f>HLOOKUP($B60,Inputs!$B$31:$BS$68,I$7,FALSE)</f>
        <v>5.833333333333333</v>
      </c>
      <c r="J60" s="101">
        <f>HLOOKUP($B60,Inputs!$B$31:$BS$68,J$7,FALSE)</f>
        <v>116.66666666666667</v>
      </c>
      <c r="K60" s="101">
        <f>HLOOKUP($B60,Inputs!$B$31:$BS$68,K$7,FALSE)</f>
        <v>9999.9999999999909</v>
      </c>
      <c r="L60" s="101">
        <f>HLOOKUP($B60,Inputs!$B$31:$BS$68,L$7,FALSE)</f>
        <v>199999.99999999983</v>
      </c>
      <c r="M60" s="121">
        <f>HLOOKUP($B60,Inputs!$B$4:$BS$29,M$7,FALSE)</f>
        <v>6000</v>
      </c>
      <c r="N60" s="122">
        <f>HLOOKUP($B60,Inputs!$B$4:$BS$29,N$7,FALSE)</f>
        <v>300</v>
      </c>
      <c r="O60" s="179"/>
      <c r="P60" s="179"/>
      <c r="Q60" s="180"/>
      <c r="R60" s="30"/>
      <c r="S60" s="30"/>
      <c r="T60" s="30"/>
      <c r="U60" s="30"/>
      <c r="V60" s="30"/>
      <c r="W60" s="30"/>
      <c r="X60" s="30"/>
      <c r="Y60" s="30"/>
      <c r="Z60" s="181"/>
    </row>
    <row r="61" spans="1:26" ht="15.75" customHeight="1">
      <c r="A61" s="77">
        <v>1</v>
      </c>
      <c r="B61" s="94" t="s">
        <v>5</v>
      </c>
      <c r="C61" s="182" t="s">
        <v>159</v>
      </c>
      <c r="D61" s="98">
        <f>HLOOKUP($B61,Inputs!$B$31:$BS$68,D$7,FALSE)</f>
        <v>2.6799859179721879E-2</v>
      </c>
      <c r="E61" s="100">
        <f>HLOOKUP($B61,Inputs!$B$31:$BS$68,E$7,FALSE)</f>
        <v>0.16890512233761662</v>
      </c>
      <c r="F61" s="101">
        <f>HLOOKUP($B61,Inputs!$B$31:$BS$68,F$7,FALSE)</f>
        <v>51.956521739130444</v>
      </c>
      <c r="G61" s="101">
        <f>HLOOKUP($B61,Inputs!$B$31:$BS$68,G$7,FALSE)</f>
        <v>5294.6521739130449</v>
      </c>
      <c r="H61" s="101">
        <f>HLOOKUP($B61,Inputs!$B$31:$BS$68,H$7,FALSE)</f>
        <v>19760000</v>
      </c>
      <c r="I61" s="101">
        <f>HLOOKUP($B61,Inputs!$B$31:$BS$68,I$7,FALSE)</f>
        <v>1</v>
      </c>
      <c r="J61" s="101">
        <f>HLOOKUP($B61,Inputs!$B$31:$BS$68,J$7,FALSE)</f>
        <v>100</v>
      </c>
      <c r="K61" s="101">
        <f>HLOOKUP($B61,Inputs!$B$31:$BS$68,K$7,FALSE)</f>
        <v>3951.9999999999964</v>
      </c>
      <c r="L61" s="101">
        <f>HLOOKUP($B61,Inputs!$B$31:$BS$68,L$7,FALSE)</f>
        <v>395199.99999999965</v>
      </c>
      <c r="M61" s="101">
        <f>HLOOKUP($B61,Inputs!$B$4:$BS$29,M$7,FALSE)</f>
        <v>100000</v>
      </c>
      <c r="N61" s="116">
        <f>HLOOKUP($B61,Inputs!$B$4:$BS$29,N$7,FALSE)</f>
        <v>1000</v>
      </c>
      <c r="O61" s="183"/>
      <c r="P61" s="184"/>
      <c r="Q61" s="185"/>
      <c r="R61" s="30"/>
      <c r="S61" s="30"/>
      <c r="T61" s="30"/>
      <c r="U61" s="30"/>
      <c r="V61" s="30"/>
      <c r="W61" s="30"/>
      <c r="X61" s="30"/>
      <c r="Y61" s="30"/>
      <c r="Z61" s="181"/>
    </row>
    <row r="62" spans="1:26" ht="15.75" hidden="1" customHeight="1">
      <c r="A62" s="77">
        <v>48</v>
      </c>
      <c r="B62" s="94" t="s">
        <v>53</v>
      </c>
      <c r="C62" s="182" t="s">
        <v>272</v>
      </c>
      <c r="D62" s="98">
        <f>HLOOKUP($B62,Inputs!$B$31:$BS$68,D$7,FALSE)</f>
        <v>0.02</v>
      </c>
      <c r="E62" s="100">
        <f>HLOOKUP($B62,Inputs!$B$31:$BS$68,E$7,FALSE)</f>
        <v>1.3050000000000001E-2</v>
      </c>
      <c r="F62" s="101">
        <f>HLOOKUP($B62,Inputs!$B$31:$BS$68,F$7,FALSE)</f>
        <v>399.00000000000011</v>
      </c>
      <c r="G62" s="101">
        <f>HLOOKUP($B62,Inputs!$B$31:$BS$68,G$7,FALSE)</f>
        <v>7999.0000000000018</v>
      </c>
      <c r="H62" s="101">
        <f>HLOOKUP($B62,Inputs!$B$31:$BS$68,H$7,FALSE)</f>
        <v>40000</v>
      </c>
      <c r="I62" s="101">
        <f>HLOOKUP($B62,Inputs!$B$31:$BS$68,I$7,FALSE)</f>
        <v>40</v>
      </c>
      <c r="J62" s="101">
        <f>HLOOKUP($B62,Inputs!$B$31:$BS$68,J$7,FALSE)</f>
        <v>800</v>
      </c>
      <c r="K62" s="101">
        <f>HLOOKUP($B62,Inputs!$B$31:$BS$68,K$7,FALSE)</f>
        <v>39999.999999999964</v>
      </c>
      <c r="L62" s="101">
        <f>HLOOKUP($B62,Inputs!$B$31:$BS$68,L$7,FALSE)</f>
        <v>799999.9999999993</v>
      </c>
      <c r="M62" s="121">
        <f>HLOOKUP($B62,Inputs!$B$4:$BS$29,M$7,FALSE)</f>
        <v>20</v>
      </c>
      <c r="N62" s="122">
        <f>HLOOKUP($B62,Inputs!$B$4:$BS$29,N$7,FALSE)</f>
        <v>1</v>
      </c>
      <c r="O62" s="183"/>
      <c r="P62" s="184"/>
      <c r="Q62" s="185"/>
      <c r="R62" s="30"/>
      <c r="S62" s="30"/>
      <c r="T62" s="30"/>
      <c r="U62" s="30"/>
      <c r="V62" s="30"/>
      <c r="W62" s="30"/>
      <c r="X62" s="30"/>
      <c r="Y62" s="30"/>
      <c r="Z62" s="181"/>
    </row>
    <row r="63" spans="1:26" ht="15.75" hidden="1" customHeight="1">
      <c r="A63" s="77"/>
      <c r="B63" s="186"/>
      <c r="C63" s="187"/>
      <c r="D63" s="188"/>
      <c r="E63" s="188"/>
      <c r="F63" s="189"/>
      <c r="G63" s="189"/>
      <c r="H63" s="189"/>
      <c r="I63" s="189"/>
      <c r="J63" s="189"/>
      <c r="K63" s="189"/>
      <c r="L63" s="189"/>
      <c r="M63" s="189"/>
      <c r="N63" s="189"/>
      <c r="O63" s="183"/>
      <c r="P63" s="184"/>
      <c r="Q63" s="185"/>
      <c r="R63" s="30"/>
      <c r="S63" s="30"/>
      <c r="T63" s="30"/>
      <c r="U63" s="30"/>
      <c r="V63" s="30"/>
      <c r="W63" s="30"/>
      <c r="X63" s="30"/>
      <c r="Y63" s="30"/>
      <c r="Z63" s="181"/>
    </row>
    <row r="64" spans="1:26" ht="15.75" hidden="1" customHeight="1">
      <c r="A64" s="77"/>
      <c r="B64" s="186"/>
      <c r="C64" s="187"/>
      <c r="D64" s="188"/>
      <c r="E64" s="188"/>
      <c r="F64" s="189"/>
      <c r="G64" s="189"/>
      <c r="H64" s="189"/>
      <c r="I64" s="189"/>
      <c r="J64" s="189"/>
      <c r="K64" s="189"/>
      <c r="L64" s="189"/>
      <c r="M64" s="189"/>
      <c r="N64" s="189"/>
      <c r="O64" s="183"/>
      <c r="P64" s="184"/>
      <c r="Q64" s="185"/>
      <c r="R64" s="30"/>
      <c r="S64" s="30"/>
      <c r="T64" s="30"/>
      <c r="U64" s="30"/>
      <c r="V64" s="30"/>
      <c r="W64" s="30"/>
      <c r="X64" s="30"/>
      <c r="Y64" s="30"/>
      <c r="Z64" s="181"/>
    </row>
    <row r="65" spans="1:26" ht="15.75" hidden="1" customHeight="1">
      <c r="A65" s="77"/>
      <c r="B65" s="186"/>
      <c r="C65" s="187"/>
      <c r="D65" s="188"/>
      <c r="E65" s="188"/>
      <c r="F65" s="189"/>
      <c r="G65" s="189"/>
      <c r="H65" s="189"/>
      <c r="I65" s="189"/>
      <c r="J65" s="189"/>
      <c r="K65" s="189"/>
      <c r="L65" s="189"/>
      <c r="M65" s="189"/>
      <c r="N65" s="189"/>
      <c r="O65" s="183"/>
      <c r="P65" s="184"/>
      <c r="Q65" s="185"/>
      <c r="R65" s="30"/>
      <c r="S65" s="30"/>
      <c r="T65" s="30"/>
      <c r="U65" s="30"/>
      <c r="V65" s="30"/>
      <c r="W65" s="30"/>
      <c r="X65" s="30"/>
      <c r="Y65" s="30"/>
      <c r="Z65" s="181"/>
    </row>
    <row r="66" spans="1:26" ht="15.75" hidden="1" customHeight="1">
      <c r="A66" s="77"/>
      <c r="B66" s="186"/>
      <c r="C66" s="187"/>
      <c r="D66" s="188"/>
      <c r="E66" s="188"/>
      <c r="F66" s="189"/>
      <c r="G66" s="189"/>
      <c r="H66" s="189"/>
      <c r="I66" s="189"/>
      <c r="J66" s="189"/>
      <c r="K66" s="189"/>
      <c r="L66" s="189"/>
      <c r="M66" s="189"/>
      <c r="N66" s="189"/>
      <c r="O66" s="183"/>
      <c r="P66" s="184"/>
      <c r="Q66" s="185"/>
      <c r="R66" s="30"/>
      <c r="S66" s="30"/>
      <c r="T66" s="30"/>
      <c r="U66" s="30"/>
      <c r="V66" s="30"/>
      <c r="W66" s="30"/>
      <c r="X66" s="30"/>
      <c r="Y66" s="30"/>
      <c r="Z66" s="181"/>
    </row>
    <row r="67" spans="1:26" ht="15.75" hidden="1" customHeight="1">
      <c r="A67" s="77"/>
      <c r="B67" s="186"/>
      <c r="C67" s="187"/>
      <c r="D67" s="188"/>
      <c r="E67" s="188"/>
      <c r="F67" s="189"/>
      <c r="G67" s="189"/>
      <c r="H67" s="189"/>
      <c r="I67" s="189"/>
      <c r="J67" s="189"/>
      <c r="K67" s="189"/>
      <c r="L67" s="189"/>
      <c r="M67" s="189"/>
      <c r="N67" s="189"/>
      <c r="O67" s="183"/>
      <c r="P67" s="184"/>
      <c r="Q67" s="185"/>
      <c r="R67" s="30"/>
      <c r="S67" s="30"/>
      <c r="T67" s="30"/>
      <c r="U67" s="30"/>
      <c r="V67" s="30"/>
      <c r="W67" s="30"/>
      <c r="X67" s="30"/>
      <c r="Y67" s="30"/>
      <c r="Z67" s="181"/>
    </row>
    <row r="68" spans="1:26" ht="15.75" hidden="1" customHeight="1">
      <c r="A68" s="77"/>
      <c r="B68" s="186"/>
      <c r="C68" s="187"/>
      <c r="D68" s="188"/>
      <c r="E68" s="188"/>
      <c r="F68" s="190"/>
      <c r="G68" s="189"/>
      <c r="H68" s="189"/>
      <c r="I68" s="189"/>
      <c r="J68" s="189"/>
      <c r="K68" s="189"/>
      <c r="L68" s="189"/>
      <c r="M68" s="189"/>
      <c r="N68" s="189"/>
      <c r="O68" s="191"/>
      <c r="P68" s="190"/>
      <c r="Q68" s="192"/>
      <c r="R68" s="30"/>
      <c r="S68" s="30"/>
      <c r="T68" s="30"/>
      <c r="U68" s="30"/>
      <c r="V68" s="30"/>
      <c r="W68" s="30"/>
      <c r="X68" s="30"/>
      <c r="Y68" s="30"/>
      <c r="Z68" s="181"/>
    </row>
    <row r="69" spans="1:26" ht="15.75" hidden="1" customHeight="1">
      <c r="A69" s="77"/>
      <c r="B69" s="186"/>
      <c r="C69" s="187"/>
      <c r="D69" s="188"/>
      <c r="E69" s="188"/>
      <c r="F69" s="189"/>
      <c r="G69" s="189"/>
      <c r="H69" s="189"/>
      <c r="I69" s="189"/>
      <c r="J69" s="189"/>
      <c r="K69" s="189"/>
      <c r="L69" s="189"/>
      <c r="M69" s="189"/>
      <c r="N69" s="189"/>
      <c r="O69" s="183"/>
      <c r="P69" s="184"/>
      <c r="Q69" s="185"/>
      <c r="R69" s="30"/>
      <c r="S69" s="30"/>
      <c r="T69" s="30"/>
      <c r="U69" s="30"/>
      <c r="V69" s="30"/>
      <c r="W69" s="30"/>
      <c r="X69" s="30"/>
      <c r="Y69" s="30"/>
      <c r="Z69" s="181"/>
    </row>
    <row r="70" spans="1:26" ht="15.75" customHeight="1">
      <c r="A70" s="193"/>
      <c r="B70" s="194"/>
      <c r="C70" s="186"/>
      <c r="D70" s="186"/>
      <c r="E70" s="186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6"/>
      <c r="R70" s="197"/>
      <c r="S70" s="197"/>
      <c r="T70" s="197"/>
      <c r="U70" s="197"/>
      <c r="V70" s="197"/>
      <c r="W70" s="197"/>
      <c r="X70" s="197"/>
      <c r="Y70" s="197"/>
      <c r="Z70" s="198"/>
    </row>
    <row r="71" spans="1:26" ht="15.75" customHeight="1">
      <c r="A71" s="193"/>
      <c r="B71" s="186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80"/>
      <c r="R71" s="30"/>
      <c r="S71" s="30"/>
      <c r="T71" s="30"/>
      <c r="U71" s="30"/>
      <c r="V71" s="30"/>
      <c r="W71" s="30"/>
      <c r="X71" s="30"/>
      <c r="Y71" s="30"/>
      <c r="Z71" s="181"/>
    </row>
    <row r="72" spans="1:26" ht="15.75" customHeight="1">
      <c r="A72" s="199"/>
      <c r="B72" s="186"/>
      <c r="C72" s="187"/>
      <c r="D72" s="188"/>
      <c r="E72" s="188"/>
      <c r="F72" s="189"/>
      <c r="G72" s="189"/>
      <c r="H72" s="189"/>
      <c r="I72" s="189"/>
      <c r="J72" s="189"/>
      <c r="K72" s="189"/>
      <c r="L72" s="189"/>
      <c r="M72" s="189"/>
      <c r="N72" s="189"/>
      <c r="O72" s="183"/>
      <c r="P72" s="184"/>
      <c r="Q72" s="185"/>
      <c r="R72" s="30"/>
      <c r="S72" s="30"/>
      <c r="T72" s="30"/>
      <c r="U72" s="30"/>
      <c r="V72" s="30"/>
      <c r="W72" s="30"/>
      <c r="X72" s="30"/>
      <c r="Y72" s="30"/>
      <c r="Z72" s="181"/>
    </row>
    <row r="73" spans="1:26" ht="15.75" customHeight="1">
      <c r="A73" s="199"/>
      <c r="B73" s="186"/>
      <c r="C73" s="187"/>
      <c r="D73" s="188"/>
      <c r="E73" s="188"/>
      <c r="F73" s="189"/>
      <c r="G73" s="189"/>
      <c r="H73" s="189"/>
      <c r="I73" s="189"/>
      <c r="J73" s="189"/>
      <c r="K73" s="189"/>
      <c r="L73" s="189"/>
      <c r="M73" s="189"/>
      <c r="N73" s="189"/>
      <c r="O73" s="183"/>
      <c r="P73" s="184"/>
      <c r="Q73" s="185"/>
      <c r="R73" s="30"/>
      <c r="S73" s="30"/>
      <c r="T73" s="30"/>
      <c r="U73" s="30"/>
      <c r="V73" s="30"/>
      <c r="W73" s="30"/>
      <c r="X73" s="30"/>
      <c r="Y73" s="30"/>
      <c r="Z73" s="181"/>
    </row>
    <row r="74" spans="1:26" ht="15.75" customHeight="1">
      <c r="A74" s="199"/>
      <c r="B74" s="186"/>
      <c r="C74" s="187"/>
      <c r="D74" s="188"/>
      <c r="E74" s="188"/>
      <c r="F74" s="189"/>
      <c r="G74" s="189"/>
      <c r="H74" s="189"/>
      <c r="I74" s="189"/>
      <c r="J74" s="189"/>
      <c r="K74" s="189"/>
      <c r="L74" s="189"/>
      <c r="M74" s="189"/>
      <c r="N74" s="189"/>
      <c r="O74" s="183"/>
      <c r="P74" s="184"/>
      <c r="Q74" s="185"/>
      <c r="R74" s="30"/>
      <c r="S74" s="30"/>
      <c r="T74" s="30"/>
      <c r="U74" s="30"/>
      <c r="V74" s="30"/>
      <c r="W74" s="30"/>
      <c r="X74" s="30"/>
      <c r="Y74" s="30"/>
      <c r="Z74" s="181"/>
    </row>
    <row r="75" spans="1:26" ht="15.75" customHeight="1">
      <c r="A75" s="199"/>
      <c r="B75" s="186"/>
      <c r="C75" s="187"/>
      <c r="D75" s="188"/>
      <c r="E75" s="188"/>
      <c r="F75" s="189"/>
      <c r="G75" s="189"/>
      <c r="H75" s="189"/>
      <c r="I75" s="189"/>
      <c r="J75" s="189"/>
      <c r="K75" s="189"/>
      <c r="L75" s="189"/>
      <c r="M75" s="189"/>
      <c r="N75" s="189"/>
      <c r="O75" s="183"/>
      <c r="P75" s="184"/>
      <c r="Q75" s="185"/>
      <c r="R75" s="30"/>
      <c r="S75" s="30"/>
      <c r="T75" s="30"/>
      <c r="U75" s="30"/>
      <c r="V75" s="30"/>
      <c r="W75" s="30"/>
      <c r="X75" s="30"/>
      <c r="Y75" s="30"/>
      <c r="Z75" s="181"/>
    </row>
    <row r="76" spans="1:26" ht="15.75" customHeight="1">
      <c r="A76" s="199"/>
      <c r="B76" s="186"/>
      <c r="C76" s="187"/>
      <c r="D76" s="188"/>
      <c r="E76" s="188"/>
      <c r="F76" s="189"/>
      <c r="G76" s="189"/>
      <c r="H76" s="189"/>
      <c r="I76" s="189"/>
      <c r="J76" s="189"/>
      <c r="K76" s="189"/>
      <c r="L76" s="189"/>
      <c r="M76" s="189"/>
      <c r="N76" s="189"/>
      <c r="O76" s="183"/>
      <c r="P76" s="184"/>
      <c r="Q76" s="185"/>
      <c r="R76" s="30"/>
      <c r="S76" s="30"/>
      <c r="T76" s="30"/>
      <c r="U76" s="30"/>
      <c r="V76" s="30"/>
      <c r="W76" s="30"/>
      <c r="X76" s="30"/>
      <c r="Y76" s="30"/>
      <c r="Z76" s="181"/>
    </row>
    <row r="77" spans="1:26" ht="15.75" customHeight="1">
      <c r="A77" s="199"/>
      <c r="B77" s="186"/>
      <c r="C77" s="187"/>
      <c r="D77" s="188"/>
      <c r="E77" s="188"/>
      <c r="F77" s="189"/>
      <c r="G77" s="189"/>
      <c r="H77" s="189"/>
      <c r="I77" s="189"/>
      <c r="J77" s="189"/>
      <c r="K77" s="189"/>
      <c r="L77" s="189"/>
      <c r="M77" s="189"/>
      <c r="N77" s="189"/>
      <c r="O77" s="183"/>
      <c r="P77" s="184"/>
      <c r="Q77" s="185"/>
      <c r="R77" s="30"/>
      <c r="S77" s="30"/>
      <c r="T77" s="30"/>
      <c r="U77" s="30"/>
      <c r="V77" s="30"/>
      <c r="W77" s="30"/>
      <c r="X77" s="30"/>
      <c r="Y77" s="30"/>
      <c r="Z77" s="181"/>
    </row>
    <row r="78" spans="1:26" ht="15.75" customHeight="1">
      <c r="A78" s="199"/>
      <c r="B78" s="186"/>
      <c r="C78" s="187"/>
      <c r="D78" s="188"/>
      <c r="E78" s="188"/>
      <c r="F78" s="189"/>
      <c r="G78" s="189"/>
      <c r="H78" s="189"/>
      <c r="I78" s="189"/>
      <c r="J78" s="189"/>
      <c r="K78" s="189"/>
      <c r="L78" s="189"/>
      <c r="M78" s="189"/>
      <c r="N78" s="189"/>
      <c r="O78" s="183"/>
      <c r="P78" s="184"/>
      <c r="Q78" s="185"/>
      <c r="R78" s="30"/>
      <c r="S78" s="30"/>
      <c r="T78" s="30"/>
      <c r="U78" s="30"/>
      <c r="V78" s="30"/>
      <c r="W78" s="30"/>
      <c r="X78" s="30"/>
      <c r="Y78" s="30"/>
      <c r="Z78" s="181"/>
    </row>
    <row r="79" spans="1:26" ht="15.75" customHeight="1">
      <c r="A79" s="199"/>
      <c r="B79" s="186"/>
      <c r="C79" s="187"/>
      <c r="D79" s="188"/>
      <c r="E79" s="188"/>
      <c r="F79" s="190"/>
      <c r="G79" s="189"/>
      <c r="H79" s="189"/>
      <c r="I79" s="189"/>
      <c r="J79" s="189"/>
      <c r="K79" s="189"/>
      <c r="L79" s="189"/>
      <c r="M79" s="189"/>
      <c r="N79" s="189"/>
      <c r="O79" s="191"/>
      <c r="P79" s="190"/>
      <c r="Q79" s="192"/>
      <c r="R79" s="30"/>
      <c r="S79" s="30"/>
      <c r="T79" s="30"/>
      <c r="U79" s="30"/>
      <c r="V79" s="30"/>
      <c r="W79" s="30"/>
      <c r="X79" s="30"/>
      <c r="Y79" s="30"/>
      <c r="Z79" s="181"/>
    </row>
    <row r="80" spans="1:26" ht="15.75" customHeight="1">
      <c r="A80" s="199"/>
      <c r="B80" s="186"/>
      <c r="C80" s="187"/>
      <c r="D80" s="188"/>
      <c r="E80" s="188"/>
      <c r="F80" s="189"/>
      <c r="G80" s="189"/>
      <c r="H80" s="189"/>
      <c r="I80" s="189"/>
      <c r="J80" s="189"/>
      <c r="K80" s="189"/>
      <c r="L80" s="189"/>
      <c r="M80" s="189"/>
      <c r="N80" s="189"/>
      <c r="O80" s="183"/>
      <c r="P80" s="184"/>
      <c r="Q80" s="185"/>
      <c r="R80" s="30"/>
      <c r="S80" s="30"/>
      <c r="T80" s="30"/>
      <c r="U80" s="30"/>
      <c r="V80" s="30"/>
      <c r="W80" s="30"/>
      <c r="X80" s="30"/>
      <c r="Y80" s="30"/>
      <c r="Z80" s="181"/>
    </row>
    <row r="81" spans="1:26" ht="15.75" customHeight="1">
      <c r="A81" s="199"/>
      <c r="B81" s="186"/>
      <c r="C81" s="187"/>
      <c r="D81" s="188"/>
      <c r="E81" s="188"/>
      <c r="F81" s="189"/>
      <c r="G81" s="189"/>
      <c r="H81" s="189"/>
      <c r="I81" s="189"/>
      <c r="J81" s="189"/>
      <c r="K81" s="189"/>
      <c r="L81" s="189"/>
      <c r="M81" s="189"/>
      <c r="N81" s="189"/>
      <c r="O81" s="183"/>
      <c r="P81" s="184"/>
      <c r="Q81" s="185"/>
      <c r="R81" s="30"/>
      <c r="S81" s="30"/>
      <c r="T81" s="30"/>
      <c r="U81" s="30"/>
      <c r="V81" s="30"/>
      <c r="W81" s="30"/>
      <c r="X81" s="30"/>
      <c r="Y81" s="30"/>
      <c r="Z81" s="181"/>
    </row>
    <row r="82" spans="1:26" ht="15.75" customHeight="1">
      <c r="A82" s="199"/>
      <c r="B82" s="186"/>
      <c r="C82" s="187"/>
      <c r="D82" s="188"/>
      <c r="E82" s="188"/>
      <c r="F82" s="189"/>
      <c r="G82" s="189"/>
      <c r="H82" s="189"/>
      <c r="I82" s="189"/>
      <c r="J82" s="189"/>
      <c r="K82" s="189"/>
      <c r="L82" s="189"/>
      <c r="M82" s="189"/>
      <c r="N82" s="189"/>
      <c r="O82" s="183"/>
      <c r="P82" s="184"/>
      <c r="Q82" s="185"/>
      <c r="R82" s="30"/>
      <c r="S82" s="30"/>
      <c r="T82" s="30"/>
      <c r="U82" s="30"/>
      <c r="V82" s="30"/>
      <c r="W82" s="30"/>
      <c r="X82" s="30"/>
      <c r="Y82" s="30"/>
      <c r="Z82" s="181"/>
    </row>
    <row r="83" spans="1:26" ht="15.75" customHeight="1">
      <c r="A83" s="199"/>
      <c r="B83" s="186"/>
      <c r="C83" s="187"/>
      <c r="D83" s="188"/>
      <c r="E83" s="188"/>
      <c r="F83" s="189"/>
      <c r="G83" s="189"/>
      <c r="H83" s="189"/>
      <c r="I83" s="189"/>
      <c r="J83" s="189"/>
      <c r="K83" s="189"/>
      <c r="L83" s="189"/>
      <c r="M83" s="189"/>
      <c r="N83" s="189"/>
      <c r="O83" s="191"/>
      <c r="P83" s="190"/>
      <c r="Q83" s="192"/>
      <c r="R83" s="30"/>
      <c r="S83" s="30"/>
      <c r="T83" s="30"/>
      <c r="U83" s="30"/>
      <c r="V83" s="30"/>
      <c r="W83" s="30"/>
      <c r="X83" s="30"/>
      <c r="Y83" s="30"/>
      <c r="Z83" s="181"/>
    </row>
    <row r="84" spans="1:26" ht="15.75" customHeight="1">
      <c r="A84" s="199"/>
      <c r="B84" s="186"/>
      <c r="C84" s="187"/>
      <c r="D84" s="188"/>
      <c r="E84" s="188"/>
      <c r="F84" s="189"/>
      <c r="G84" s="189"/>
      <c r="H84" s="189"/>
      <c r="I84" s="189"/>
      <c r="J84" s="189"/>
      <c r="K84" s="189"/>
      <c r="L84" s="189"/>
      <c r="M84" s="189"/>
      <c r="N84" s="189"/>
      <c r="O84" s="183"/>
      <c r="P84" s="184"/>
      <c r="Q84" s="185"/>
      <c r="R84" s="30"/>
      <c r="S84" s="30"/>
      <c r="T84" s="30"/>
      <c r="U84" s="30"/>
      <c r="V84" s="30"/>
      <c r="W84" s="30"/>
      <c r="X84" s="30"/>
      <c r="Y84" s="30"/>
      <c r="Z84" s="181"/>
    </row>
    <row r="85" spans="1:26" ht="15.75" customHeight="1">
      <c r="A85" s="199"/>
      <c r="B85" s="186"/>
      <c r="C85" s="187"/>
      <c r="D85" s="188"/>
      <c r="E85" s="188"/>
      <c r="F85" s="189"/>
      <c r="G85" s="189"/>
      <c r="H85" s="189"/>
      <c r="I85" s="189"/>
      <c r="J85" s="189"/>
      <c r="K85" s="189"/>
      <c r="L85" s="189"/>
      <c r="M85" s="189"/>
      <c r="N85" s="189"/>
      <c r="O85" s="183"/>
      <c r="P85" s="184"/>
      <c r="Q85" s="185"/>
      <c r="R85" s="30"/>
      <c r="S85" s="30"/>
      <c r="T85" s="30"/>
      <c r="U85" s="30"/>
      <c r="V85" s="30"/>
      <c r="W85" s="30"/>
      <c r="X85" s="30"/>
      <c r="Y85" s="30"/>
      <c r="Z85" s="181"/>
    </row>
    <row r="86" spans="1:26" ht="15.75" customHeight="1">
      <c r="A86" s="199"/>
      <c r="B86" s="186"/>
      <c r="C86" s="187"/>
      <c r="D86" s="188"/>
      <c r="E86" s="188"/>
      <c r="F86" s="189"/>
      <c r="G86" s="189"/>
      <c r="H86" s="189"/>
      <c r="I86" s="189"/>
      <c r="J86" s="189"/>
      <c r="K86" s="189"/>
      <c r="L86" s="189"/>
      <c r="M86" s="189"/>
      <c r="N86" s="189"/>
      <c r="O86" s="183"/>
      <c r="P86" s="184"/>
      <c r="Q86" s="185"/>
      <c r="R86" s="30"/>
      <c r="S86" s="30"/>
      <c r="T86" s="30"/>
      <c r="U86" s="30"/>
      <c r="V86" s="30"/>
      <c r="W86" s="30"/>
      <c r="X86" s="30"/>
      <c r="Y86" s="30"/>
      <c r="Z86" s="181"/>
    </row>
    <row r="87" spans="1:26" ht="15.75" customHeight="1">
      <c r="A87" s="200"/>
      <c r="B87" s="201"/>
      <c r="C87" s="202"/>
      <c r="D87" s="203"/>
      <c r="E87" s="203"/>
      <c r="F87" s="204"/>
      <c r="G87" s="204"/>
      <c r="H87" s="204"/>
      <c r="I87" s="204"/>
      <c r="J87" s="204"/>
      <c r="K87" s="204"/>
      <c r="L87" s="204"/>
      <c r="M87" s="204"/>
      <c r="N87" s="204"/>
      <c r="O87" s="205"/>
      <c r="P87" s="206"/>
      <c r="Q87" s="207"/>
      <c r="R87" s="30"/>
      <c r="S87" s="30"/>
      <c r="T87" s="30"/>
      <c r="U87" s="30"/>
      <c r="V87" s="30"/>
      <c r="W87" s="30"/>
      <c r="X87" s="30"/>
      <c r="Y87" s="30"/>
      <c r="Z87" s="181"/>
    </row>
    <row r="88" spans="1:26" ht="15.75" customHeight="1">
      <c r="A88" s="28"/>
      <c r="B88" s="28"/>
      <c r="C88" s="31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32"/>
    </row>
    <row r="89" spans="1:26" ht="15.75" customHeight="1">
      <c r="A89" s="28"/>
      <c r="B89" s="28"/>
      <c r="C89" s="31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32"/>
    </row>
    <row r="90" spans="1:26" ht="15.75" customHeight="1">
      <c r="A90" s="28"/>
      <c r="B90" s="28"/>
      <c r="C90" s="31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32"/>
    </row>
    <row r="91" spans="1:26" ht="15.75" customHeight="1">
      <c r="A91" s="28"/>
      <c r="B91" s="28"/>
      <c r="C91" s="31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32"/>
    </row>
    <row r="92" spans="1:26" ht="15.75" customHeight="1">
      <c r="A92" s="28"/>
      <c r="B92" s="28"/>
      <c r="C92" s="31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32"/>
    </row>
    <row r="93" spans="1:26" ht="15.75" customHeight="1">
      <c r="A93" s="28"/>
      <c r="B93" s="28"/>
      <c r="C93" s="31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32"/>
    </row>
    <row r="94" spans="1:26" ht="15.75" customHeight="1">
      <c r="A94" s="28"/>
      <c r="B94" s="28"/>
      <c r="C94" s="31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32"/>
    </row>
    <row r="95" spans="1:26" ht="15.75" customHeight="1">
      <c r="A95" s="28"/>
      <c r="B95" s="28"/>
      <c r="C95" s="31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32"/>
    </row>
    <row r="96" spans="1:26" ht="15.75" customHeight="1">
      <c r="A96" s="28"/>
      <c r="B96" s="28"/>
      <c r="C96" s="31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32"/>
    </row>
    <row r="97" spans="1:26" ht="15.75" customHeight="1">
      <c r="A97" s="28"/>
      <c r="B97" s="28"/>
      <c r="C97" s="31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32"/>
    </row>
    <row r="98" spans="1:26" ht="15.75" customHeight="1">
      <c r="A98" s="28"/>
      <c r="B98" s="28"/>
      <c r="C98" s="31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32"/>
    </row>
    <row r="99" spans="1:26" ht="15.75" customHeight="1">
      <c r="A99" s="28"/>
      <c r="B99" s="28"/>
      <c r="C99" s="31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32"/>
    </row>
    <row r="100" spans="1:26" ht="15.75" customHeight="1">
      <c r="A100" s="28"/>
      <c r="B100" s="28"/>
      <c r="C100" s="31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32"/>
    </row>
    <row r="101" spans="1:26" ht="15.75" customHeight="1">
      <c r="A101" s="28"/>
      <c r="B101" s="28"/>
      <c r="C101" s="31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32"/>
    </row>
    <row r="102" spans="1:26" ht="15.75" customHeight="1">
      <c r="A102" s="28"/>
      <c r="B102" s="28"/>
      <c r="C102" s="31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32"/>
    </row>
    <row r="103" spans="1:26" ht="15.75" customHeight="1">
      <c r="A103" s="28"/>
      <c r="B103" s="28"/>
      <c r="C103" s="31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32"/>
    </row>
    <row r="104" spans="1:26" ht="15.75" customHeight="1">
      <c r="A104" s="28"/>
      <c r="B104" s="28"/>
      <c r="C104" s="31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32"/>
    </row>
    <row r="105" spans="1:26" ht="15.75" customHeight="1">
      <c r="A105" s="28"/>
      <c r="B105" s="28"/>
      <c r="C105" s="31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32"/>
    </row>
    <row r="106" spans="1:26" ht="15.75" customHeight="1">
      <c r="A106" s="28"/>
      <c r="B106" s="28"/>
      <c r="C106" s="31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32"/>
    </row>
    <row r="107" spans="1:26" ht="15.75" customHeight="1">
      <c r="A107" s="28"/>
      <c r="B107" s="28"/>
      <c r="C107" s="31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32"/>
    </row>
    <row r="108" spans="1:26" ht="15.75" customHeight="1">
      <c r="A108" s="28"/>
      <c r="B108" s="28"/>
      <c r="C108" s="31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32"/>
    </row>
    <row r="109" spans="1:26" ht="15.75" customHeight="1">
      <c r="A109" s="28"/>
      <c r="B109" s="28"/>
      <c r="C109" s="31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32"/>
    </row>
    <row r="110" spans="1:26" ht="15.75" customHeight="1">
      <c r="A110" s="28"/>
      <c r="B110" s="28"/>
      <c r="C110" s="31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32"/>
    </row>
    <row r="111" spans="1:26" ht="15.75" customHeight="1">
      <c r="A111" s="28"/>
      <c r="B111" s="28"/>
      <c r="C111" s="31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32"/>
    </row>
    <row r="112" spans="1:26" ht="15.75" customHeight="1">
      <c r="A112" s="28"/>
      <c r="B112" s="28"/>
      <c r="C112" s="31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32"/>
    </row>
    <row r="113" spans="1:26" ht="15.75" customHeight="1">
      <c r="A113" s="28"/>
      <c r="B113" s="28"/>
      <c r="C113" s="31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32"/>
    </row>
    <row r="114" spans="1:26" ht="15.75" customHeight="1">
      <c r="A114" s="28"/>
      <c r="B114" s="28"/>
      <c r="C114" s="31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32"/>
    </row>
    <row r="115" spans="1:26" ht="15.75" customHeight="1">
      <c r="A115" s="28"/>
      <c r="B115" s="28"/>
      <c r="C115" s="31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32"/>
    </row>
    <row r="116" spans="1:26" ht="15.75" customHeight="1">
      <c r="A116" s="28"/>
      <c r="B116" s="28"/>
      <c r="C116" s="31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32"/>
    </row>
    <row r="117" spans="1:26" ht="15.75" customHeight="1">
      <c r="A117" s="28"/>
      <c r="B117" s="28"/>
      <c r="C117" s="31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32"/>
    </row>
    <row r="118" spans="1:26" ht="15.75" customHeight="1">
      <c r="A118" s="28"/>
      <c r="B118" s="28"/>
      <c r="C118" s="31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32"/>
    </row>
    <row r="119" spans="1:26" ht="15.75" customHeight="1">
      <c r="A119" s="28"/>
      <c r="B119" s="28"/>
      <c r="C119" s="31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32"/>
    </row>
    <row r="120" spans="1:26" ht="15.75" customHeight="1">
      <c r="A120" s="28"/>
      <c r="B120" s="28"/>
      <c r="C120" s="31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32"/>
    </row>
    <row r="121" spans="1:26" ht="15.75" customHeight="1">
      <c r="A121" s="28"/>
      <c r="B121" s="28"/>
      <c r="C121" s="31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32"/>
    </row>
    <row r="122" spans="1:26" ht="15.75" customHeight="1">
      <c r="A122" s="28"/>
      <c r="B122" s="28"/>
      <c r="C122" s="31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32"/>
    </row>
    <row r="123" spans="1:26" ht="15.75" customHeight="1">
      <c r="A123" s="28"/>
      <c r="B123" s="28"/>
      <c r="C123" s="31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32"/>
    </row>
    <row r="124" spans="1:26" ht="15.75" customHeight="1">
      <c r="A124" s="28"/>
      <c r="B124" s="28"/>
      <c r="C124" s="31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32"/>
    </row>
    <row r="125" spans="1:26" ht="15.75" customHeight="1">
      <c r="A125" s="28"/>
      <c r="B125" s="28"/>
      <c r="C125" s="31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32"/>
    </row>
    <row r="126" spans="1:26" ht="15.75" customHeight="1">
      <c r="A126" s="28"/>
      <c r="B126" s="28"/>
      <c r="C126" s="31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32"/>
    </row>
    <row r="127" spans="1:26" ht="15.75" customHeight="1">
      <c r="A127" s="28"/>
      <c r="B127" s="28"/>
      <c r="C127" s="31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32"/>
    </row>
    <row r="128" spans="1:26" ht="15.75" customHeight="1">
      <c r="A128" s="28"/>
      <c r="B128" s="28"/>
      <c r="C128" s="31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32"/>
    </row>
    <row r="129" spans="1:26" ht="15.75" customHeight="1">
      <c r="A129" s="28"/>
      <c r="B129" s="28"/>
      <c r="C129" s="31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32"/>
    </row>
    <row r="130" spans="1:26" ht="15.75" customHeight="1">
      <c r="A130" s="28"/>
      <c r="B130" s="28"/>
      <c r="C130" s="31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32"/>
    </row>
    <row r="131" spans="1:26" ht="15.75" customHeight="1">
      <c r="A131" s="28"/>
      <c r="B131" s="28"/>
      <c r="C131" s="31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32"/>
    </row>
    <row r="132" spans="1:26" ht="15.75" customHeight="1">
      <c r="A132" s="28"/>
      <c r="B132" s="28"/>
      <c r="C132" s="31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32"/>
    </row>
    <row r="133" spans="1:26" ht="15.75" customHeight="1">
      <c r="A133" s="28"/>
      <c r="B133" s="28"/>
      <c r="C133" s="31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32"/>
    </row>
    <row r="134" spans="1:26" ht="15.75" customHeight="1">
      <c r="A134" s="28"/>
      <c r="B134" s="28"/>
      <c r="C134" s="31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32"/>
    </row>
    <row r="135" spans="1:26" ht="15.75" customHeight="1">
      <c r="A135" s="28"/>
      <c r="B135" s="28"/>
      <c r="C135" s="31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32"/>
    </row>
    <row r="136" spans="1:26" ht="15.75" customHeight="1">
      <c r="A136" s="28"/>
      <c r="B136" s="28"/>
      <c r="C136" s="31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32"/>
    </row>
    <row r="137" spans="1:26" ht="15.75" customHeight="1">
      <c r="A137" s="28"/>
      <c r="B137" s="28"/>
      <c r="C137" s="31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32"/>
    </row>
    <row r="138" spans="1:26" ht="15.75" customHeight="1">
      <c r="A138" s="28"/>
      <c r="B138" s="28"/>
      <c r="C138" s="31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32"/>
    </row>
    <row r="139" spans="1:26" ht="15.75" customHeight="1">
      <c r="A139" s="28"/>
      <c r="B139" s="28"/>
      <c r="C139" s="31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32"/>
    </row>
    <row r="140" spans="1:26" ht="15.75" customHeight="1">
      <c r="A140" s="28"/>
      <c r="B140" s="28"/>
      <c r="C140" s="31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32"/>
    </row>
    <row r="141" spans="1:26" ht="15.75" customHeight="1">
      <c r="A141" s="28"/>
      <c r="B141" s="28"/>
      <c r="C141" s="31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32"/>
    </row>
    <row r="142" spans="1:26" ht="15.75" customHeight="1">
      <c r="A142" s="28"/>
      <c r="B142" s="28"/>
      <c r="C142" s="31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32"/>
    </row>
    <row r="143" spans="1:26" ht="15.75" customHeight="1">
      <c r="A143" s="28"/>
      <c r="B143" s="28"/>
      <c r="C143" s="31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32"/>
    </row>
    <row r="144" spans="1:26" ht="15.75" customHeight="1">
      <c r="A144" s="28"/>
      <c r="B144" s="28"/>
      <c r="C144" s="31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32"/>
    </row>
    <row r="145" spans="1:26" ht="15.75" customHeight="1">
      <c r="A145" s="28"/>
      <c r="B145" s="28"/>
      <c r="C145" s="31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32"/>
    </row>
    <row r="146" spans="1:26" ht="15.75" customHeight="1">
      <c r="A146" s="28"/>
      <c r="B146" s="28"/>
      <c r="C146" s="31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32"/>
    </row>
    <row r="147" spans="1:26" ht="15.75" customHeight="1">
      <c r="A147" s="28"/>
      <c r="B147" s="28"/>
      <c r="C147" s="31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32"/>
    </row>
    <row r="148" spans="1:26" ht="15.75" customHeight="1">
      <c r="A148" s="28"/>
      <c r="B148" s="28"/>
      <c r="C148" s="31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32"/>
    </row>
    <row r="149" spans="1:26" ht="15.75" customHeight="1">
      <c r="A149" s="28"/>
      <c r="B149" s="28"/>
      <c r="C149" s="31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32"/>
    </row>
    <row r="150" spans="1:26" ht="15.75" customHeight="1">
      <c r="A150" s="28"/>
      <c r="B150" s="28"/>
      <c r="C150" s="31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32"/>
    </row>
    <row r="151" spans="1:26" ht="15.75" customHeight="1">
      <c r="A151" s="28"/>
      <c r="B151" s="28"/>
      <c r="C151" s="31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32"/>
    </row>
    <row r="152" spans="1:26" ht="15.75" customHeight="1">
      <c r="A152" s="28"/>
      <c r="B152" s="28"/>
      <c r="C152" s="31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32"/>
    </row>
    <row r="153" spans="1:26" ht="15.75" customHeight="1">
      <c r="A153" s="28"/>
      <c r="B153" s="28"/>
      <c r="C153" s="31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32"/>
    </row>
    <row r="154" spans="1:26" ht="15.75" customHeight="1">
      <c r="A154" s="28"/>
      <c r="B154" s="28"/>
      <c r="C154" s="31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32"/>
    </row>
    <row r="155" spans="1:26" ht="15.75" customHeight="1">
      <c r="A155" s="28"/>
      <c r="B155" s="28"/>
      <c r="C155" s="31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32"/>
    </row>
    <row r="156" spans="1:26" ht="15.75" customHeight="1">
      <c r="A156" s="28"/>
      <c r="B156" s="28"/>
      <c r="C156" s="31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32"/>
    </row>
    <row r="157" spans="1:26" ht="15.75" customHeight="1">
      <c r="A157" s="28"/>
      <c r="B157" s="28"/>
      <c r="C157" s="31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32"/>
    </row>
    <row r="158" spans="1:26" ht="15.75" customHeight="1">
      <c r="A158" s="28"/>
      <c r="B158" s="28"/>
      <c r="C158" s="31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32"/>
    </row>
    <row r="159" spans="1:26" ht="15.75" customHeight="1">
      <c r="A159" s="28"/>
      <c r="B159" s="28"/>
      <c r="C159" s="31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32"/>
    </row>
    <row r="160" spans="1:26" ht="15.75" customHeight="1">
      <c r="A160" s="28"/>
      <c r="B160" s="28"/>
      <c r="C160" s="31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32"/>
    </row>
    <row r="161" spans="1:26" ht="15.75" customHeight="1">
      <c r="A161" s="28"/>
      <c r="B161" s="28"/>
      <c r="C161" s="31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32"/>
    </row>
    <row r="162" spans="1:26" ht="15.75" customHeight="1">
      <c r="A162" s="28"/>
      <c r="B162" s="28"/>
      <c r="C162" s="31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32"/>
    </row>
    <row r="163" spans="1:26" ht="15.75" customHeight="1">
      <c r="A163" s="28"/>
      <c r="B163" s="28"/>
      <c r="C163" s="31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32"/>
    </row>
    <row r="164" spans="1:26" ht="15.75" customHeight="1">
      <c r="A164" s="28"/>
      <c r="B164" s="28"/>
      <c r="C164" s="31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32"/>
    </row>
    <row r="165" spans="1:26" ht="15.75" customHeight="1">
      <c r="A165" s="28"/>
      <c r="B165" s="28"/>
      <c r="C165" s="31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32"/>
    </row>
    <row r="166" spans="1:26" ht="15.75" customHeight="1">
      <c r="A166" s="28"/>
      <c r="B166" s="28"/>
      <c r="C166" s="31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32"/>
    </row>
    <row r="167" spans="1:26" ht="15.75" customHeight="1">
      <c r="A167" s="28"/>
      <c r="B167" s="28"/>
      <c r="C167" s="31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32"/>
    </row>
    <row r="168" spans="1:26" ht="15.75" customHeight="1">
      <c r="A168" s="28"/>
      <c r="B168" s="28"/>
      <c r="C168" s="31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32"/>
    </row>
    <row r="169" spans="1:26" ht="15.75" customHeight="1">
      <c r="A169" s="28"/>
      <c r="B169" s="28"/>
      <c r="C169" s="31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32"/>
    </row>
    <row r="170" spans="1:26" ht="15.75" customHeight="1">
      <c r="A170" s="28"/>
      <c r="B170" s="28"/>
      <c r="C170" s="31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32"/>
    </row>
    <row r="171" spans="1:26" ht="15.75" customHeight="1">
      <c r="A171" s="28"/>
      <c r="B171" s="28"/>
      <c r="C171" s="31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32"/>
    </row>
    <row r="172" spans="1:26" ht="15.75" customHeight="1">
      <c r="A172" s="28"/>
      <c r="B172" s="28"/>
      <c r="C172" s="31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32"/>
    </row>
    <row r="173" spans="1:26" ht="15.75" customHeight="1">
      <c r="A173" s="28"/>
      <c r="B173" s="28"/>
      <c r="C173" s="31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32"/>
    </row>
    <row r="174" spans="1:26" ht="15.75" customHeight="1">
      <c r="A174" s="28"/>
      <c r="B174" s="28"/>
      <c r="C174" s="31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32"/>
    </row>
    <row r="175" spans="1:26" ht="15.75" customHeight="1">
      <c r="A175" s="28"/>
      <c r="B175" s="28"/>
      <c r="C175" s="31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32"/>
    </row>
    <row r="176" spans="1:26" ht="15.75" customHeight="1">
      <c r="A176" s="28"/>
      <c r="B176" s="28"/>
      <c r="C176" s="31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32"/>
    </row>
    <row r="177" spans="1:26" ht="15.75" customHeight="1">
      <c r="A177" s="28"/>
      <c r="B177" s="28"/>
      <c r="C177" s="31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32"/>
    </row>
    <row r="178" spans="1:26" ht="15.75" customHeight="1">
      <c r="A178" s="28"/>
      <c r="B178" s="28"/>
      <c r="C178" s="31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32"/>
    </row>
    <row r="179" spans="1:26" ht="15.75" customHeight="1">
      <c r="A179" s="28"/>
      <c r="B179" s="28"/>
      <c r="C179" s="31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32"/>
    </row>
    <row r="180" spans="1:26" ht="15.75" customHeight="1">
      <c r="A180" s="28"/>
      <c r="B180" s="28"/>
      <c r="C180" s="31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32"/>
    </row>
    <row r="181" spans="1:26" ht="15.75" customHeight="1">
      <c r="A181" s="28"/>
      <c r="B181" s="28"/>
      <c r="C181" s="31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32"/>
    </row>
    <row r="182" spans="1:26" ht="15.75" customHeight="1">
      <c r="A182" s="28"/>
      <c r="B182" s="28"/>
      <c r="C182" s="31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32"/>
    </row>
    <row r="183" spans="1:26" ht="15.75" customHeight="1">
      <c r="A183" s="28"/>
      <c r="B183" s="28"/>
      <c r="C183" s="31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32"/>
    </row>
    <row r="184" spans="1:26" ht="15.75" customHeight="1">
      <c r="A184" s="28"/>
      <c r="B184" s="28"/>
      <c r="C184" s="31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32"/>
    </row>
    <row r="185" spans="1:26" ht="15.75" customHeight="1">
      <c r="A185" s="28"/>
      <c r="B185" s="28"/>
      <c r="C185" s="31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32"/>
    </row>
    <row r="186" spans="1:26" ht="15.75" customHeight="1">
      <c r="A186" s="28"/>
      <c r="B186" s="28"/>
      <c r="C186" s="31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32"/>
    </row>
    <row r="187" spans="1:26" ht="15.75" customHeight="1">
      <c r="A187" s="28"/>
      <c r="B187" s="28"/>
      <c r="C187" s="31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32"/>
    </row>
    <row r="188" spans="1:26" ht="15.75" customHeight="1">
      <c r="A188" s="28"/>
      <c r="B188" s="28"/>
      <c r="C188" s="31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32"/>
    </row>
    <row r="189" spans="1:26" ht="15.75" customHeight="1">
      <c r="A189" s="28"/>
      <c r="B189" s="28"/>
      <c r="C189" s="31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32"/>
    </row>
    <row r="190" spans="1:26" ht="15.75" customHeight="1">
      <c r="A190" s="28"/>
      <c r="B190" s="28"/>
      <c r="C190" s="31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32"/>
    </row>
    <row r="191" spans="1:26" ht="15.75" customHeight="1">
      <c r="A191" s="28"/>
      <c r="B191" s="28"/>
      <c r="C191" s="31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32"/>
    </row>
    <row r="192" spans="1:26" ht="15.75" customHeight="1">
      <c r="A192" s="28"/>
      <c r="B192" s="28"/>
      <c r="C192" s="31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32"/>
    </row>
    <row r="193" spans="1:26" ht="15.75" customHeight="1">
      <c r="A193" s="28"/>
      <c r="B193" s="28"/>
      <c r="C193" s="31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32"/>
    </row>
    <row r="194" spans="1:26" ht="15.75" customHeight="1">
      <c r="A194" s="28"/>
      <c r="B194" s="28"/>
      <c r="C194" s="31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32"/>
    </row>
    <row r="195" spans="1:26" ht="15.75" customHeight="1">
      <c r="A195" s="28"/>
      <c r="B195" s="28"/>
      <c r="C195" s="31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32"/>
    </row>
    <row r="196" spans="1:26" ht="15.75" customHeight="1">
      <c r="A196" s="28"/>
      <c r="B196" s="28"/>
      <c r="C196" s="31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32"/>
    </row>
    <row r="197" spans="1:26" ht="15.75" customHeight="1">
      <c r="A197" s="28"/>
      <c r="B197" s="28"/>
      <c r="C197" s="31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32"/>
    </row>
    <row r="198" spans="1:26" ht="15.75" customHeight="1">
      <c r="A198" s="28"/>
      <c r="B198" s="28"/>
      <c r="C198" s="31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32"/>
    </row>
    <row r="199" spans="1:26" ht="15.75" customHeight="1">
      <c r="A199" s="32"/>
      <c r="B199" s="32"/>
      <c r="C199" s="209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>
      <c r="A200" s="32"/>
      <c r="B200" s="32"/>
      <c r="C200" s="209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>
      <c r="A201" s="32"/>
      <c r="B201" s="32"/>
      <c r="C201" s="209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>
      <c r="A202" s="32"/>
      <c r="B202" s="32"/>
      <c r="C202" s="209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>
      <c r="A203" s="32"/>
      <c r="B203" s="32"/>
      <c r="C203" s="209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>
      <c r="A204" s="32"/>
      <c r="B204" s="32"/>
      <c r="C204" s="209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>
      <c r="A205" s="32"/>
      <c r="B205" s="32"/>
      <c r="C205" s="209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>
      <c r="A206" s="32"/>
      <c r="B206" s="32"/>
      <c r="C206" s="209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>
      <c r="A207" s="32"/>
      <c r="B207" s="32"/>
      <c r="C207" s="209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>
      <c r="A208" s="32"/>
      <c r="B208" s="32"/>
      <c r="C208" s="209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>
      <c r="A209" s="32"/>
      <c r="B209" s="32"/>
      <c r="C209" s="209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>
      <c r="A210" s="32"/>
      <c r="B210" s="32"/>
      <c r="C210" s="209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>
      <c r="A211" s="32"/>
      <c r="B211" s="32"/>
      <c r="C211" s="209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>
      <c r="A212" s="32"/>
      <c r="B212" s="32"/>
      <c r="C212" s="209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>
      <c r="A213" s="32"/>
      <c r="B213" s="32"/>
      <c r="C213" s="209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>
      <c r="A214" s="32"/>
      <c r="B214" s="32"/>
      <c r="C214" s="209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>
      <c r="A215" s="32"/>
      <c r="B215" s="32"/>
      <c r="C215" s="209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>
      <c r="A216" s="32"/>
      <c r="B216" s="32"/>
      <c r="C216" s="209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>
      <c r="A217" s="32"/>
      <c r="B217" s="32"/>
      <c r="C217" s="209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>
      <c r="A218" s="32"/>
      <c r="B218" s="32"/>
      <c r="C218" s="209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>
      <c r="A219" s="32"/>
      <c r="B219" s="32"/>
      <c r="C219" s="209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>
      <c r="A220" s="32"/>
      <c r="B220" s="32"/>
      <c r="C220" s="209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>
      <c r="A221" s="32"/>
      <c r="B221" s="32"/>
      <c r="C221" s="209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>
      <c r="A222" s="32"/>
      <c r="B222" s="32"/>
      <c r="C222" s="209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>
      <c r="A223" s="32"/>
      <c r="B223" s="32"/>
      <c r="C223" s="209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>
      <c r="A224" s="32"/>
      <c r="B224" s="32"/>
      <c r="C224" s="209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>
      <c r="A225" s="32"/>
      <c r="B225" s="32"/>
      <c r="C225" s="209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>
      <c r="A226" s="32"/>
      <c r="B226" s="32"/>
      <c r="C226" s="209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>
      <c r="A227" s="32"/>
      <c r="B227" s="32"/>
      <c r="C227" s="209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>
      <c r="A228" s="32"/>
      <c r="B228" s="32"/>
      <c r="C228" s="209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>
      <c r="A229" s="32"/>
      <c r="B229" s="32"/>
      <c r="C229" s="209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>
      <c r="A230" s="32"/>
      <c r="B230" s="32"/>
      <c r="C230" s="209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>
      <c r="A231" s="32"/>
      <c r="B231" s="32"/>
      <c r="C231" s="209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>
      <c r="A232" s="32"/>
      <c r="B232" s="32"/>
      <c r="C232" s="209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>
      <c r="A233" s="32"/>
      <c r="B233" s="32"/>
      <c r="C233" s="209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>
      <c r="A234" s="32"/>
      <c r="B234" s="32"/>
      <c r="C234" s="209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>
      <c r="A235" s="32"/>
      <c r="B235" s="32"/>
      <c r="C235" s="209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>
      <c r="A236" s="32"/>
      <c r="B236" s="32"/>
      <c r="C236" s="209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>
      <c r="A237" s="32"/>
      <c r="B237" s="32"/>
      <c r="C237" s="209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>
      <c r="A238" s="32"/>
      <c r="B238" s="32"/>
      <c r="C238" s="209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>
      <c r="A239" s="32"/>
      <c r="B239" s="32"/>
      <c r="C239" s="209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>
      <c r="A240" s="32"/>
      <c r="B240" s="32"/>
      <c r="C240" s="209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>
      <c r="A241" s="32"/>
      <c r="B241" s="32"/>
      <c r="C241" s="209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>
      <c r="A242" s="32"/>
      <c r="B242" s="32"/>
      <c r="C242" s="209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>
      <c r="A243" s="32"/>
      <c r="B243" s="32"/>
      <c r="C243" s="209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>
      <c r="A244" s="32"/>
      <c r="B244" s="32"/>
      <c r="C244" s="209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>
      <c r="A245" s="32"/>
      <c r="B245" s="32"/>
      <c r="C245" s="209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>
      <c r="A246" s="32"/>
      <c r="B246" s="32"/>
      <c r="C246" s="209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>
      <c r="A247" s="32"/>
      <c r="B247" s="32"/>
      <c r="C247" s="209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>
      <c r="A248" s="32"/>
      <c r="B248" s="32"/>
      <c r="C248" s="209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>
      <c r="A249" s="32"/>
      <c r="B249" s="32"/>
      <c r="C249" s="209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>
      <c r="A250" s="32"/>
      <c r="B250" s="32"/>
      <c r="C250" s="209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>
      <c r="A251" s="32"/>
      <c r="B251" s="32"/>
      <c r="C251" s="209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>
      <c r="A252" s="32"/>
      <c r="B252" s="32"/>
      <c r="C252" s="209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>
      <c r="A253" s="32"/>
      <c r="B253" s="32"/>
      <c r="C253" s="209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>
      <c r="A254" s="32"/>
      <c r="B254" s="32"/>
      <c r="C254" s="209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>
      <c r="A255" s="32"/>
      <c r="B255" s="32"/>
      <c r="C255" s="209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>
      <c r="A256" s="32"/>
      <c r="B256" s="32"/>
      <c r="C256" s="209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>
      <c r="A257" s="32"/>
      <c r="B257" s="32"/>
      <c r="C257" s="209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>
      <c r="A258" s="32"/>
      <c r="B258" s="32"/>
      <c r="C258" s="209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>
      <c r="A259" s="32"/>
      <c r="B259" s="32"/>
      <c r="C259" s="209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>
      <c r="A260" s="32"/>
      <c r="B260" s="32"/>
      <c r="C260" s="209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>
      <c r="A261" s="32"/>
      <c r="B261" s="32"/>
      <c r="C261" s="209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>
      <c r="A262" s="32"/>
      <c r="B262" s="32"/>
      <c r="C262" s="209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>
      <c r="A263" s="32"/>
      <c r="B263" s="32"/>
      <c r="C263" s="209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>
      <c r="A264" s="32"/>
      <c r="B264" s="32"/>
      <c r="C264" s="209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>
      <c r="A265" s="32"/>
      <c r="B265" s="32"/>
      <c r="C265" s="209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>
      <c r="A266" s="32"/>
      <c r="B266" s="32"/>
      <c r="C266" s="209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>
      <c r="A267" s="32"/>
      <c r="B267" s="32"/>
      <c r="C267" s="209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>
      <c r="A268" s="32"/>
      <c r="B268" s="32"/>
      <c r="C268" s="209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>
      <c r="A269" s="32"/>
      <c r="B269" s="32"/>
      <c r="C269" s="209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>
      <c r="A270" s="32"/>
      <c r="B270" s="32"/>
      <c r="C270" s="209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>
      <c r="A271" s="32"/>
      <c r="B271" s="32"/>
      <c r="C271" s="209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>
      <c r="A272" s="32"/>
      <c r="B272" s="32"/>
      <c r="C272" s="209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>
      <c r="A273" s="32"/>
      <c r="B273" s="32"/>
      <c r="C273" s="209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>
      <c r="A274" s="32"/>
      <c r="B274" s="32"/>
      <c r="C274" s="209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>
      <c r="A275" s="32"/>
      <c r="B275" s="32"/>
      <c r="C275" s="209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>
      <c r="A276" s="32"/>
      <c r="B276" s="32"/>
      <c r="C276" s="209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>
      <c r="A277" s="32"/>
      <c r="B277" s="32"/>
      <c r="C277" s="209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>
      <c r="A278" s="32"/>
      <c r="B278" s="32"/>
      <c r="C278" s="209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>
      <c r="A279" s="32"/>
      <c r="B279" s="32"/>
      <c r="C279" s="209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>
      <c r="A280" s="32"/>
      <c r="B280" s="32"/>
      <c r="C280" s="209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>
      <c r="A281" s="32"/>
      <c r="B281" s="32"/>
      <c r="C281" s="209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>
      <c r="A282" s="32"/>
      <c r="B282" s="32"/>
      <c r="C282" s="209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>
      <c r="A283" s="32"/>
      <c r="B283" s="32"/>
      <c r="C283" s="209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>
      <c r="A284" s="32"/>
      <c r="B284" s="32"/>
      <c r="C284" s="209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>
      <c r="A285" s="32"/>
      <c r="B285" s="32"/>
      <c r="C285" s="209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>
      <c r="A286" s="32"/>
      <c r="B286" s="32"/>
      <c r="C286" s="209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>
      <c r="A287" s="32"/>
      <c r="B287" s="32"/>
      <c r="C287" s="209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>
      <c r="A288" s="32"/>
      <c r="B288" s="32"/>
      <c r="C288" s="209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>
      <c r="A289" s="32"/>
      <c r="B289" s="32"/>
      <c r="C289" s="209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>
      <c r="A290" s="32"/>
      <c r="B290" s="32"/>
      <c r="C290" s="209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>
      <c r="A291" s="32"/>
      <c r="B291" s="32"/>
      <c r="C291" s="209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>
      <c r="A292" s="32"/>
      <c r="B292" s="32"/>
      <c r="C292" s="209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>
      <c r="A293" s="32"/>
      <c r="B293" s="32"/>
      <c r="C293" s="209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>
      <c r="A294" s="32"/>
      <c r="B294" s="32"/>
      <c r="C294" s="209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>
      <c r="A295" s="32"/>
      <c r="B295" s="32"/>
      <c r="C295" s="209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>
      <c r="A296" s="32"/>
      <c r="B296" s="32"/>
      <c r="C296" s="209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>
      <c r="A297" s="32"/>
      <c r="B297" s="32"/>
      <c r="C297" s="209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>
      <c r="A298" s="32"/>
      <c r="B298" s="32"/>
      <c r="C298" s="209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>
      <c r="A299" s="32"/>
      <c r="B299" s="32"/>
      <c r="C299" s="209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>
      <c r="A300" s="32"/>
      <c r="B300" s="32"/>
      <c r="C300" s="209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>
      <c r="A301" s="32"/>
      <c r="B301" s="32"/>
      <c r="C301" s="209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>
      <c r="A302" s="32"/>
      <c r="B302" s="32"/>
      <c r="C302" s="209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>
      <c r="A303" s="32"/>
      <c r="B303" s="32"/>
      <c r="C303" s="209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>
      <c r="A304" s="32"/>
      <c r="B304" s="32"/>
      <c r="C304" s="209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>
      <c r="A305" s="32"/>
      <c r="B305" s="32"/>
      <c r="C305" s="209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>
      <c r="A306" s="32"/>
      <c r="B306" s="32"/>
      <c r="C306" s="209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>
      <c r="A307" s="32"/>
      <c r="B307" s="32"/>
      <c r="C307" s="209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>
      <c r="A308" s="32"/>
      <c r="B308" s="32"/>
      <c r="C308" s="209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>
      <c r="A309" s="32"/>
      <c r="B309" s="32"/>
      <c r="C309" s="209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>
      <c r="A310" s="32"/>
      <c r="B310" s="32"/>
      <c r="C310" s="209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>
      <c r="A311" s="32"/>
      <c r="B311" s="32"/>
      <c r="C311" s="209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>
      <c r="A312" s="32"/>
      <c r="B312" s="32"/>
      <c r="C312" s="209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>
      <c r="A313" s="32"/>
      <c r="B313" s="32"/>
      <c r="C313" s="209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>
      <c r="A314" s="32"/>
      <c r="B314" s="32"/>
      <c r="C314" s="209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>
      <c r="A315" s="32"/>
      <c r="B315" s="32"/>
      <c r="C315" s="209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>
      <c r="A316" s="32"/>
      <c r="B316" s="32"/>
      <c r="C316" s="209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>
      <c r="A317" s="32"/>
      <c r="B317" s="32"/>
      <c r="C317" s="209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>
      <c r="A318" s="32"/>
      <c r="B318" s="32"/>
      <c r="C318" s="209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>
      <c r="A319" s="32"/>
      <c r="B319" s="32"/>
      <c r="C319" s="209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>
      <c r="A320" s="32"/>
      <c r="B320" s="32"/>
      <c r="C320" s="209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>
      <c r="A321" s="32"/>
      <c r="B321" s="32"/>
      <c r="C321" s="209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>
      <c r="A322" s="32"/>
      <c r="B322" s="32"/>
      <c r="C322" s="209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>
      <c r="A323" s="32"/>
      <c r="B323" s="32"/>
      <c r="C323" s="209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>
      <c r="A324" s="32"/>
      <c r="B324" s="32"/>
      <c r="C324" s="209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>
      <c r="A325" s="32"/>
      <c r="B325" s="32"/>
      <c r="C325" s="209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>
      <c r="A326" s="32"/>
      <c r="B326" s="32"/>
      <c r="C326" s="209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>
      <c r="A327" s="32"/>
      <c r="B327" s="32"/>
      <c r="C327" s="209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>
      <c r="A328" s="32"/>
      <c r="B328" s="32"/>
      <c r="C328" s="209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>
      <c r="A329" s="32"/>
      <c r="B329" s="32"/>
      <c r="C329" s="209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>
      <c r="A330" s="32"/>
      <c r="B330" s="32"/>
      <c r="C330" s="209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>
      <c r="A331" s="32"/>
      <c r="B331" s="32"/>
      <c r="C331" s="209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>
      <c r="A332" s="32"/>
      <c r="B332" s="32"/>
      <c r="C332" s="209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>
      <c r="A333" s="32"/>
      <c r="B333" s="32"/>
      <c r="C333" s="209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>
      <c r="A334" s="32"/>
      <c r="B334" s="32"/>
      <c r="C334" s="209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>
      <c r="A335" s="32"/>
      <c r="B335" s="32"/>
      <c r="C335" s="209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>
      <c r="A336" s="32"/>
      <c r="B336" s="32"/>
      <c r="C336" s="209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>
      <c r="A337" s="32"/>
      <c r="B337" s="32"/>
      <c r="C337" s="209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>
      <c r="A338" s="32"/>
      <c r="B338" s="32"/>
      <c r="C338" s="209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>
      <c r="A339" s="32"/>
      <c r="B339" s="32"/>
      <c r="C339" s="209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>
      <c r="A340" s="32"/>
      <c r="B340" s="32"/>
      <c r="C340" s="209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>
      <c r="A341" s="32"/>
      <c r="B341" s="32"/>
      <c r="C341" s="209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>
      <c r="A342" s="32"/>
      <c r="B342" s="32"/>
      <c r="C342" s="209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>
      <c r="A343" s="32"/>
      <c r="B343" s="32"/>
      <c r="C343" s="209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>
      <c r="A344" s="32"/>
      <c r="B344" s="32"/>
      <c r="C344" s="209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>
      <c r="A345" s="32"/>
      <c r="B345" s="32"/>
      <c r="C345" s="209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>
      <c r="A346" s="32"/>
      <c r="B346" s="32"/>
      <c r="C346" s="209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>
      <c r="A347" s="32"/>
      <c r="B347" s="32"/>
      <c r="C347" s="209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>
      <c r="A348" s="32"/>
      <c r="B348" s="32"/>
      <c r="C348" s="209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>
      <c r="A349" s="32"/>
      <c r="B349" s="32"/>
      <c r="C349" s="209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>
      <c r="A350" s="32"/>
      <c r="B350" s="32"/>
      <c r="C350" s="209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>
      <c r="A351" s="32"/>
      <c r="B351" s="32"/>
      <c r="C351" s="209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>
      <c r="A352" s="32"/>
      <c r="B352" s="32"/>
      <c r="C352" s="209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>
      <c r="A353" s="32"/>
      <c r="B353" s="32"/>
      <c r="C353" s="209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>
      <c r="A354" s="32"/>
      <c r="B354" s="32"/>
      <c r="C354" s="209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>
      <c r="A355" s="32"/>
      <c r="B355" s="32"/>
      <c r="C355" s="209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>
      <c r="A356" s="32"/>
      <c r="B356" s="32"/>
      <c r="C356" s="209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>
      <c r="A357" s="32"/>
      <c r="B357" s="32"/>
      <c r="C357" s="209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>
      <c r="A358" s="32"/>
      <c r="B358" s="32"/>
      <c r="C358" s="209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>
      <c r="A359" s="32"/>
      <c r="B359" s="32"/>
      <c r="C359" s="209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>
      <c r="A360" s="32"/>
      <c r="B360" s="32"/>
      <c r="C360" s="209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>
      <c r="A361" s="32"/>
      <c r="B361" s="32"/>
      <c r="C361" s="209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>
      <c r="A362" s="32"/>
      <c r="B362" s="32"/>
      <c r="C362" s="209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>
      <c r="A363" s="32"/>
      <c r="B363" s="32"/>
      <c r="C363" s="209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>
      <c r="A364" s="32"/>
      <c r="B364" s="32"/>
      <c r="C364" s="209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>
      <c r="A365" s="32"/>
      <c r="B365" s="32"/>
      <c r="C365" s="209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>
      <c r="A366" s="32"/>
      <c r="B366" s="32"/>
      <c r="C366" s="209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>
      <c r="A367" s="32"/>
      <c r="B367" s="32"/>
      <c r="C367" s="209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>
      <c r="A368" s="32"/>
      <c r="B368" s="32"/>
      <c r="C368" s="209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>
      <c r="A369" s="32"/>
      <c r="B369" s="32"/>
      <c r="C369" s="209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>
      <c r="A370" s="32"/>
      <c r="B370" s="32"/>
      <c r="C370" s="209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>
      <c r="A371" s="32"/>
      <c r="B371" s="32"/>
      <c r="C371" s="209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>
      <c r="A372" s="32"/>
      <c r="B372" s="32"/>
      <c r="C372" s="209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>
      <c r="A373" s="32"/>
      <c r="B373" s="32"/>
      <c r="C373" s="209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>
      <c r="A374" s="32"/>
      <c r="B374" s="32"/>
      <c r="C374" s="209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>
      <c r="A375" s="32"/>
      <c r="B375" s="32"/>
      <c r="C375" s="209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>
      <c r="A376" s="32"/>
      <c r="B376" s="32"/>
      <c r="C376" s="209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>
      <c r="A377" s="32"/>
      <c r="B377" s="32"/>
      <c r="C377" s="209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>
      <c r="A378" s="32"/>
      <c r="B378" s="32"/>
      <c r="C378" s="209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>
      <c r="A379" s="32"/>
      <c r="B379" s="32"/>
      <c r="C379" s="209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>
      <c r="A380" s="32"/>
      <c r="B380" s="32"/>
      <c r="C380" s="209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>
      <c r="A381" s="32"/>
      <c r="B381" s="32"/>
      <c r="C381" s="209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>
      <c r="A382" s="32"/>
      <c r="B382" s="32"/>
      <c r="C382" s="209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>
      <c r="A383" s="32"/>
      <c r="B383" s="32"/>
      <c r="C383" s="209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>
      <c r="A384" s="32"/>
      <c r="B384" s="32"/>
      <c r="C384" s="209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>
      <c r="A385" s="32"/>
      <c r="B385" s="32"/>
      <c r="C385" s="209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>
      <c r="A386" s="32"/>
      <c r="B386" s="32"/>
      <c r="C386" s="209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>
      <c r="A387" s="32"/>
      <c r="B387" s="32"/>
      <c r="C387" s="209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>
      <c r="A388" s="32"/>
      <c r="B388" s="32"/>
      <c r="C388" s="209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>
      <c r="A389" s="32"/>
      <c r="B389" s="32"/>
      <c r="C389" s="209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>
      <c r="A390" s="32"/>
      <c r="B390" s="32"/>
      <c r="C390" s="209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>
      <c r="A391" s="32"/>
      <c r="B391" s="32"/>
      <c r="C391" s="209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>
      <c r="A392" s="32"/>
      <c r="B392" s="32"/>
      <c r="C392" s="209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>
      <c r="A393" s="32"/>
      <c r="B393" s="32"/>
      <c r="C393" s="209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>
      <c r="A394" s="32"/>
      <c r="B394" s="32"/>
      <c r="C394" s="209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>
      <c r="A395" s="32"/>
      <c r="B395" s="32"/>
      <c r="C395" s="209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>
      <c r="A396" s="32"/>
      <c r="B396" s="32"/>
      <c r="C396" s="209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>
      <c r="A397" s="32"/>
      <c r="B397" s="32"/>
      <c r="C397" s="209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>
      <c r="A398" s="32"/>
      <c r="B398" s="32"/>
      <c r="C398" s="209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>
      <c r="A399" s="32"/>
      <c r="B399" s="32"/>
      <c r="C399" s="209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>
      <c r="A400" s="32"/>
      <c r="B400" s="32"/>
      <c r="C400" s="209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>
      <c r="A401" s="32"/>
      <c r="B401" s="32"/>
      <c r="C401" s="209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>
      <c r="A402" s="32"/>
      <c r="B402" s="32"/>
      <c r="C402" s="209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>
      <c r="A403" s="32"/>
      <c r="B403" s="32"/>
      <c r="C403" s="209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>
      <c r="A404" s="32"/>
      <c r="B404" s="32"/>
      <c r="C404" s="209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>
      <c r="A405" s="32"/>
      <c r="B405" s="32"/>
      <c r="C405" s="209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>
      <c r="A406" s="32"/>
      <c r="B406" s="32"/>
      <c r="C406" s="209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>
      <c r="A407" s="32"/>
      <c r="B407" s="32"/>
      <c r="C407" s="209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>
      <c r="A408" s="32"/>
      <c r="B408" s="32"/>
      <c r="C408" s="209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>
      <c r="A409" s="32"/>
      <c r="B409" s="32"/>
      <c r="C409" s="209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>
      <c r="A410" s="32"/>
      <c r="B410" s="32"/>
      <c r="C410" s="209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>
      <c r="A411" s="32"/>
      <c r="B411" s="32"/>
      <c r="C411" s="209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>
      <c r="A412" s="32"/>
      <c r="B412" s="32"/>
      <c r="C412" s="209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>
      <c r="A413" s="32"/>
      <c r="B413" s="32"/>
      <c r="C413" s="209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>
      <c r="A414" s="32"/>
      <c r="B414" s="32"/>
      <c r="C414" s="209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>
      <c r="A415" s="32"/>
      <c r="B415" s="32"/>
      <c r="C415" s="209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>
      <c r="A416" s="32"/>
      <c r="B416" s="32"/>
      <c r="C416" s="209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>
      <c r="A417" s="32"/>
      <c r="B417" s="32"/>
      <c r="C417" s="209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>
      <c r="A418" s="32"/>
      <c r="B418" s="32"/>
      <c r="C418" s="209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>
      <c r="A419" s="32"/>
      <c r="B419" s="32"/>
      <c r="C419" s="209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>
      <c r="A420" s="32"/>
      <c r="B420" s="32"/>
      <c r="C420" s="209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>
      <c r="A421" s="32"/>
      <c r="B421" s="32"/>
      <c r="C421" s="209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>
      <c r="A422" s="32"/>
      <c r="B422" s="32"/>
      <c r="C422" s="209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>
      <c r="A423" s="32"/>
      <c r="B423" s="32"/>
      <c r="C423" s="209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>
      <c r="A424" s="32"/>
      <c r="B424" s="32"/>
      <c r="C424" s="209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>
      <c r="A425" s="32"/>
      <c r="B425" s="32"/>
      <c r="C425" s="209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>
      <c r="A426" s="32"/>
      <c r="B426" s="32"/>
      <c r="C426" s="209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>
      <c r="A427" s="32"/>
      <c r="B427" s="32"/>
      <c r="C427" s="209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>
      <c r="A428" s="32"/>
      <c r="B428" s="32"/>
      <c r="C428" s="209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>
      <c r="A429" s="32"/>
      <c r="B429" s="32"/>
      <c r="C429" s="209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>
      <c r="A430" s="32"/>
      <c r="B430" s="32"/>
      <c r="C430" s="209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>
      <c r="A431" s="32"/>
      <c r="B431" s="32"/>
      <c r="C431" s="209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>
      <c r="A432" s="32"/>
      <c r="B432" s="32"/>
      <c r="C432" s="209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>
      <c r="A433" s="32"/>
      <c r="B433" s="32"/>
      <c r="C433" s="209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>
      <c r="A434" s="32"/>
      <c r="B434" s="32"/>
      <c r="C434" s="209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>
      <c r="A435" s="32"/>
      <c r="B435" s="32"/>
      <c r="C435" s="209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>
      <c r="A436" s="32"/>
      <c r="B436" s="32"/>
      <c r="C436" s="209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>
      <c r="A437" s="32"/>
      <c r="B437" s="32"/>
      <c r="C437" s="209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>
      <c r="A438" s="32"/>
      <c r="B438" s="32"/>
      <c r="C438" s="209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>
      <c r="A439" s="32"/>
      <c r="B439" s="32"/>
      <c r="C439" s="209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>
      <c r="A440" s="32"/>
      <c r="B440" s="32"/>
      <c r="C440" s="209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>
      <c r="A441" s="32"/>
      <c r="B441" s="32"/>
      <c r="C441" s="209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>
      <c r="A442" s="32"/>
      <c r="B442" s="32"/>
      <c r="C442" s="209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>
      <c r="A443" s="32"/>
      <c r="B443" s="32"/>
      <c r="C443" s="209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>
      <c r="A444" s="32"/>
      <c r="B444" s="32"/>
      <c r="C444" s="209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>
      <c r="A445" s="32"/>
      <c r="B445" s="32"/>
      <c r="C445" s="209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>
      <c r="A446" s="32"/>
      <c r="B446" s="32"/>
      <c r="C446" s="209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>
      <c r="A447" s="32"/>
      <c r="B447" s="32"/>
      <c r="C447" s="209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>
      <c r="A448" s="32"/>
      <c r="B448" s="32"/>
      <c r="C448" s="209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>
      <c r="A449" s="32"/>
      <c r="B449" s="32"/>
      <c r="C449" s="209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>
      <c r="A450" s="32"/>
      <c r="B450" s="32"/>
      <c r="C450" s="209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>
      <c r="A451" s="32"/>
      <c r="B451" s="32"/>
      <c r="C451" s="209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>
      <c r="A452" s="32"/>
      <c r="B452" s="32"/>
      <c r="C452" s="209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>
      <c r="A453" s="32"/>
      <c r="B453" s="32"/>
      <c r="C453" s="209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>
      <c r="A454" s="32"/>
      <c r="B454" s="32"/>
      <c r="C454" s="209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>
      <c r="A455" s="32"/>
      <c r="B455" s="32"/>
      <c r="C455" s="209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>
      <c r="A456" s="32"/>
      <c r="B456" s="32"/>
      <c r="C456" s="209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>
      <c r="A457" s="32"/>
      <c r="B457" s="32"/>
      <c r="C457" s="209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>
      <c r="A458" s="32"/>
      <c r="B458" s="32"/>
      <c r="C458" s="209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>
      <c r="A459" s="32"/>
      <c r="B459" s="32"/>
      <c r="C459" s="209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>
      <c r="A460" s="32"/>
      <c r="B460" s="32"/>
      <c r="C460" s="209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>
      <c r="A461" s="32"/>
      <c r="B461" s="32"/>
      <c r="C461" s="209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>
      <c r="A462" s="32"/>
      <c r="B462" s="32"/>
      <c r="C462" s="209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>
      <c r="A463" s="32"/>
      <c r="B463" s="32"/>
      <c r="C463" s="209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>
      <c r="A464" s="32"/>
      <c r="B464" s="32"/>
      <c r="C464" s="209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>
      <c r="A465" s="32"/>
      <c r="B465" s="32"/>
      <c r="C465" s="209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>
      <c r="A466" s="32"/>
      <c r="B466" s="32"/>
      <c r="C466" s="209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>
      <c r="A467" s="32"/>
      <c r="B467" s="32"/>
      <c r="C467" s="209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>
      <c r="A468" s="32"/>
      <c r="B468" s="32"/>
      <c r="C468" s="209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>
      <c r="A469" s="32"/>
      <c r="B469" s="32"/>
      <c r="C469" s="209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>
      <c r="A470" s="32"/>
      <c r="B470" s="32"/>
      <c r="C470" s="209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>
      <c r="A471" s="32"/>
      <c r="B471" s="32"/>
      <c r="C471" s="209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>
      <c r="A472" s="32"/>
      <c r="B472" s="32"/>
      <c r="C472" s="209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>
      <c r="A473" s="32"/>
      <c r="B473" s="32"/>
      <c r="C473" s="209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>
      <c r="A474" s="32"/>
      <c r="B474" s="32"/>
      <c r="C474" s="209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>
      <c r="A475" s="32"/>
      <c r="B475" s="32"/>
      <c r="C475" s="209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>
      <c r="A476" s="32"/>
      <c r="B476" s="32"/>
      <c r="C476" s="209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>
      <c r="A477" s="32"/>
      <c r="B477" s="32"/>
      <c r="C477" s="209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>
      <c r="A478" s="32"/>
      <c r="B478" s="32"/>
      <c r="C478" s="209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>
      <c r="A479" s="32"/>
      <c r="B479" s="32"/>
      <c r="C479" s="209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>
      <c r="A480" s="32"/>
      <c r="B480" s="32"/>
      <c r="C480" s="209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>
      <c r="A481" s="32"/>
      <c r="B481" s="32"/>
      <c r="C481" s="209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>
      <c r="A482" s="32"/>
      <c r="B482" s="32"/>
      <c r="C482" s="209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>
      <c r="A483" s="32"/>
      <c r="B483" s="32"/>
      <c r="C483" s="209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>
      <c r="A484" s="32"/>
      <c r="B484" s="32"/>
      <c r="C484" s="209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>
      <c r="A485" s="32"/>
      <c r="B485" s="32"/>
      <c r="C485" s="209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>
      <c r="A486" s="32"/>
      <c r="B486" s="32"/>
      <c r="C486" s="209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>
      <c r="A487" s="32"/>
      <c r="B487" s="32"/>
      <c r="C487" s="209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>
      <c r="A488" s="32"/>
      <c r="B488" s="32"/>
      <c r="C488" s="209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>
      <c r="A489" s="32"/>
      <c r="B489" s="32"/>
      <c r="C489" s="209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>
      <c r="A490" s="32"/>
      <c r="B490" s="32"/>
      <c r="C490" s="209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>
      <c r="A491" s="32"/>
      <c r="B491" s="32"/>
      <c r="C491" s="209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>
      <c r="A492" s="32"/>
      <c r="B492" s="32"/>
      <c r="C492" s="209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>
      <c r="A493" s="32"/>
      <c r="B493" s="32"/>
      <c r="C493" s="209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>
      <c r="A494" s="32"/>
      <c r="B494" s="32"/>
      <c r="C494" s="209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>
      <c r="A495" s="32"/>
      <c r="B495" s="32"/>
      <c r="C495" s="209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>
      <c r="A496" s="32"/>
      <c r="B496" s="32"/>
      <c r="C496" s="209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>
      <c r="A497" s="32"/>
      <c r="B497" s="32"/>
      <c r="C497" s="209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>
      <c r="A498" s="32"/>
      <c r="B498" s="32"/>
      <c r="C498" s="209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>
      <c r="A499" s="32"/>
      <c r="B499" s="32"/>
      <c r="C499" s="209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>
      <c r="A500" s="32"/>
      <c r="B500" s="32"/>
      <c r="C500" s="209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>
      <c r="A501" s="32"/>
      <c r="B501" s="32"/>
      <c r="C501" s="209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>
      <c r="A502" s="32"/>
      <c r="B502" s="32"/>
      <c r="C502" s="209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>
      <c r="A503" s="32"/>
      <c r="B503" s="32"/>
      <c r="C503" s="209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>
      <c r="A504" s="32"/>
      <c r="B504" s="32"/>
      <c r="C504" s="209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>
      <c r="A505" s="32"/>
      <c r="B505" s="32"/>
      <c r="C505" s="209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>
      <c r="A506" s="32"/>
      <c r="B506" s="32"/>
      <c r="C506" s="209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>
      <c r="A507" s="32"/>
      <c r="B507" s="32"/>
      <c r="C507" s="209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>
      <c r="A508" s="32"/>
      <c r="B508" s="32"/>
      <c r="C508" s="209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>
      <c r="A509" s="32"/>
      <c r="B509" s="32"/>
      <c r="C509" s="209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>
      <c r="A510" s="32"/>
      <c r="B510" s="32"/>
      <c r="C510" s="209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>
      <c r="A511" s="32"/>
      <c r="B511" s="32"/>
      <c r="C511" s="209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>
      <c r="A512" s="32"/>
      <c r="B512" s="32"/>
      <c r="C512" s="209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>
      <c r="A513" s="32"/>
      <c r="B513" s="32"/>
      <c r="C513" s="209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>
      <c r="A514" s="32"/>
      <c r="B514" s="32"/>
      <c r="C514" s="209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>
      <c r="A515" s="32"/>
      <c r="B515" s="32"/>
      <c r="C515" s="209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>
      <c r="A516" s="32"/>
      <c r="B516" s="32"/>
      <c r="C516" s="209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>
      <c r="A517" s="32"/>
      <c r="B517" s="32"/>
      <c r="C517" s="209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>
      <c r="A518" s="32"/>
      <c r="B518" s="32"/>
      <c r="C518" s="209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>
      <c r="A519" s="32"/>
      <c r="B519" s="32"/>
      <c r="C519" s="209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>
      <c r="A520" s="32"/>
      <c r="B520" s="32"/>
      <c r="C520" s="209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>
      <c r="A521" s="32"/>
      <c r="B521" s="32"/>
      <c r="C521" s="209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>
      <c r="A522" s="32"/>
      <c r="B522" s="32"/>
      <c r="C522" s="209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>
      <c r="A523" s="32"/>
      <c r="B523" s="32"/>
      <c r="C523" s="209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>
      <c r="A524" s="32"/>
      <c r="B524" s="32"/>
      <c r="C524" s="209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>
      <c r="A525" s="32"/>
      <c r="B525" s="32"/>
      <c r="C525" s="209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>
      <c r="A526" s="32"/>
      <c r="B526" s="32"/>
      <c r="C526" s="209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>
      <c r="A527" s="32"/>
      <c r="B527" s="32"/>
      <c r="C527" s="209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>
      <c r="A528" s="32"/>
      <c r="B528" s="32"/>
      <c r="C528" s="209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>
      <c r="A529" s="32"/>
      <c r="B529" s="32"/>
      <c r="C529" s="209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>
      <c r="A530" s="32"/>
      <c r="B530" s="32"/>
      <c r="C530" s="209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>
      <c r="A531" s="32"/>
      <c r="B531" s="32"/>
      <c r="C531" s="209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>
      <c r="A532" s="32"/>
      <c r="B532" s="32"/>
      <c r="C532" s="209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>
      <c r="A533" s="32"/>
      <c r="B533" s="32"/>
      <c r="C533" s="209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>
      <c r="A534" s="32"/>
      <c r="B534" s="32"/>
      <c r="C534" s="209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>
      <c r="A535" s="32"/>
      <c r="B535" s="32"/>
      <c r="C535" s="209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>
      <c r="A536" s="32"/>
      <c r="B536" s="32"/>
      <c r="C536" s="209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>
      <c r="A537" s="32"/>
      <c r="B537" s="32"/>
      <c r="C537" s="209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>
      <c r="A538" s="32"/>
      <c r="B538" s="32"/>
      <c r="C538" s="209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>
      <c r="A539" s="32"/>
      <c r="B539" s="32"/>
      <c r="C539" s="209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>
      <c r="A540" s="32"/>
      <c r="B540" s="32"/>
      <c r="C540" s="209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>
      <c r="A541" s="32"/>
      <c r="B541" s="32"/>
      <c r="C541" s="209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>
      <c r="A542" s="32"/>
      <c r="B542" s="32"/>
      <c r="C542" s="209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>
      <c r="A543" s="32"/>
      <c r="B543" s="32"/>
      <c r="C543" s="209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>
      <c r="A544" s="32"/>
      <c r="B544" s="32"/>
      <c r="C544" s="209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>
      <c r="A545" s="32"/>
      <c r="B545" s="32"/>
      <c r="C545" s="209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>
      <c r="A546" s="32"/>
      <c r="B546" s="32"/>
      <c r="C546" s="209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>
      <c r="A547" s="32"/>
      <c r="B547" s="32"/>
      <c r="C547" s="209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>
      <c r="A548" s="32"/>
      <c r="B548" s="32"/>
      <c r="C548" s="209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>
      <c r="A549" s="32"/>
      <c r="B549" s="32"/>
      <c r="C549" s="209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>
      <c r="A550" s="32"/>
      <c r="B550" s="32"/>
      <c r="C550" s="209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>
      <c r="A551" s="32"/>
      <c r="B551" s="32"/>
      <c r="C551" s="209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>
      <c r="A552" s="32"/>
      <c r="B552" s="32"/>
      <c r="C552" s="209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>
      <c r="A553" s="32"/>
      <c r="B553" s="32"/>
      <c r="C553" s="209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>
      <c r="A554" s="32"/>
      <c r="B554" s="32"/>
      <c r="C554" s="209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>
      <c r="A555" s="32"/>
      <c r="B555" s="32"/>
      <c r="C555" s="209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>
      <c r="A556" s="32"/>
      <c r="B556" s="32"/>
      <c r="C556" s="209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>
      <c r="A557" s="32"/>
      <c r="B557" s="32"/>
      <c r="C557" s="209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>
      <c r="A558" s="32"/>
      <c r="B558" s="32"/>
      <c r="C558" s="209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>
      <c r="A559" s="32"/>
      <c r="B559" s="32"/>
      <c r="C559" s="209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>
      <c r="A560" s="32"/>
      <c r="B560" s="32"/>
      <c r="C560" s="209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>
      <c r="A561" s="32"/>
      <c r="B561" s="32"/>
      <c r="C561" s="209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>
      <c r="A562" s="32"/>
      <c r="B562" s="32"/>
      <c r="C562" s="209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>
      <c r="A563" s="32"/>
      <c r="B563" s="32"/>
      <c r="C563" s="209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>
      <c r="A564" s="32"/>
      <c r="B564" s="32"/>
      <c r="C564" s="209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>
      <c r="A565" s="32"/>
      <c r="B565" s="32"/>
      <c r="C565" s="209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>
      <c r="A566" s="32"/>
      <c r="B566" s="32"/>
      <c r="C566" s="209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>
      <c r="A567" s="32"/>
      <c r="B567" s="32"/>
      <c r="C567" s="209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>
      <c r="A568" s="32"/>
      <c r="B568" s="32"/>
      <c r="C568" s="209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>
      <c r="A569" s="32"/>
      <c r="B569" s="32"/>
      <c r="C569" s="209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>
      <c r="A570" s="32"/>
      <c r="B570" s="32"/>
      <c r="C570" s="209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>
      <c r="A571" s="32"/>
      <c r="B571" s="32"/>
      <c r="C571" s="209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>
      <c r="A572" s="32"/>
      <c r="B572" s="32"/>
      <c r="C572" s="209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>
      <c r="A573" s="32"/>
      <c r="B573" s="32"/>
      <c r="C573" s="209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>
      <c r="A574" s="32"/>
      <c r="B574" s="32"/>
      <c r="C574" s="209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>
      <c r="A575" s="32"/>
      <c r="B575" s="32"/>
      <c r="C575" s="209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>
      <c r="A576" s="32"/>
      <c r="B576" s="32"/>
      <c r="C576" s="209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>
      <c r="A577" s="32"/>
      <c r="B577" s="32"/>
      <c r="C577" s="209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>
      <c r="A578" s="32"/>
      <c r="B578" s="32"/>
      <c r="C578" s="209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>
      <c r="A579" s="32"/>
      <c r="B579" s="32"/>
      <c r="C579" s="209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>
      <c r="A580" s="32"/>
      <c r="B580" s="32"/>
      <c r="C580" s="209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>
      <c r="A581" s="32"/>
      <c r="B581" s="32"/>
      <c r="C581" s="209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>
      <c r="A582" s="32"/>
      <c r="B582" s="32"/>
      <c r="C582" s="209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>
      <c r="A583" s="32"/>
      <c r="B583" s="32"/>
      <c r="C583" s="209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>
      <c r="A584" s="32"/>
      <c r="B584" s="32"/>
      <c r="C584" s="209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>
      <c r="A585" s="32"/>
      <c r="B585" s="32"/>
      <c r="C585" s="209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>
      <c r="A586" s="32"/>
      <c r="B586" s="32"/>
      <c r="C586" s="209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>
      <c r="A587" s="32"/>
      <c r="B587" s="32"/>
      <c r="C587" s="209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>
      <c r="A588" s="32"/>
      <c r="B588" s="32"/>
      <c r="C588" s="209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>
      <c r="A589" s="32"/>
      <c r="B589" s="32"/>
      <c r="C589" s="209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>
      <c r="A590" s="32"/>
      <c r="B590" s="32"/>
      <c r="C590" s="209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>
      <c r="A591" s="32"/>
      <c r="B591" s="32"/>
      <c r="C591" s="209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>
      <c r="A592" s="32"/>
      <c r="B592" s="32"/>
      <c r="C592" s="209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>
      <c r="A593" s="32"/>
      <c r="B593" s="32"/>
      <c r="C593" s="209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>
      <c r="A594" s="32"/>
      <c r="B594" s="32"/>
      <c r="C594" s="209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>
      <c r="A595" s="32"/>
      <c r="B595" s="32"/>
      <c r="C595" s="209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>
      <c r="A596" s="32"/>
      <c r="B596" s="32"/>
      <c r="C596" s="209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>
      <c r="A597" s="32"/>
      <c r="B597" s="32"/>
      <c r="C597" s="209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>
      <c r="A598" s="32"/>
      <c r="B598" s="32"/>
      <c r="C598" s="209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>
      <c r="A599" s="32"/>
      <c r="B599" s="32"/>
      <c r="C599" s="209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>
      <c r="A600" s="32"/>
      <c r="B600" s="32"/>
      <c r="C600" s="209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>
      <c r="A601" s="32"/>
      <c r="B601" s="32"/>
      <c r="C601" s="209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>
      <c r="A602" s="32"/>
      <c r="B602" s="32"/>
      <c r="C602" s="209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>
      <c r="A603" s="32"/>
      <c r="B603" s="32"/>
      <c r="C603" s="209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>
      <c r="A604" s="32"/>
      <c r="B604" s="32"/>
      <c r="C604" s="209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>
      <c r="A605" s="32"/>
      <c r="B605" s="32"/>
      <c r="C605" s="209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>
      <c r="A606" s="32"/>
      <c r="B606" s="32"/>
      <c r="C606" s="209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>
      <c r="A607" s="32"/>
      <c r="B607" s="32"/>
      <c r="C607" s="209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>
      <c r="A608" s="32"/>
      <c r="B608" s="32"/>
      <c r="C608" s="209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>
      <c r="A609" s="32"/>
      <c r="B609" s="32"/>
      <c r="C609" s="209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>
      <c r="A610" s="32"/>
      <c r="B610" s="32"/>
      <c r="C610" s="209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>
      <c r="A611" s="32"/>
      <c r="B611" s="32"/>
      <c r="C611" s="209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>
      <c r="A612" s="32"/>
      <c r="B612" s="32"/>
      <c r="C612" s="209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>
      <c r="A613" s="32"/>
      <c r="B613" s="32"/>
      <c r="C613" s="209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>
      <c r="A614" s="32"/>
      <c r="B614" s="32"/>
      <c r="C614" s="209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>
      <c r="A615" s="32"/>
      <c r="B615" s="32"/>
      <c r="C615" s="209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>
      <c r="A616" s="32"/>
      <c r="B616" s="32"/>
      <c r="C616" s="209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>
      <c r="A617" s="32"/>
      <c r="B617" s="32"/>
      <c r="C617" s="209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>
      <c r="A618" s="32"/>
      <c r="B618" s="32"/>
      <c r="C618" s="209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>
      <c r="A619" s="32"/>
      <c r="B619" s="32"/>
      <c r="C619" s="209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>
      <c r="A620" s="32"/>
      <c r="B620" s="32"/>
      <c r="C620" s="209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>
      <c r="A621" s="32"/>
      <c r="B621" s="32"/>
      <c r="C621" s="209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>
      <c r="A622" s="32"/>
      <c r="B622" s="32"/>
      <c r="C622" s="209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>
      <c r="A623" s="32"/>
      <c r="B623" s="32"/>
      <c r="C623" s="209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>
      <c r="A624" s="32"/>
      <c r="B624" s="32"/>
      <c r="C624" s="209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>
      <c r="A625" s="32"/>
      <c r="B625" s="32"/>
      <c r="C625" s="209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>
      <c r="A626" s="32"/>
      <c r="B626" s="32"/>
      <c r="C626" s="209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>
      <c r="A627" s="32"/>
      <c r="B627" s="32"/>
      <c r="C627" s="209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>
      <c r="A628" s="32"/>
      <c r="B628" s="32"/>
      <c r="C628" s="209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>
      <c r="A629" s="32"/>
      <c r="B629" s="32"/>
      <c r="C629" s="209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>
      <c r="A630" s="32"/>
      <c r="B630" s="32"/>
      <c r="C630" s="209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>
      <c r="A631" s="32"/>
      <c r="B631" s="32"/>
      <c r="C631" s="209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>
      <c r="A632" s="32"/>
      <c r="B632" s="32"/>
      <c r="C632" s="209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>
      <c r="A633" s="32"/>
      <c r="B633" s="32"/>
      <c r="C633" s="209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>
      <c r="A634" s="32"/>
      <c r="B634" s="32"/>
      <c r="C634" s="209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>
      <c r="A635" s="32"/>
      <c r="B635" s="32"/>
      <c r="C635" s="209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>
      <c r="A636" s="32"/>
      <c r="B636" s="32"/>
      <c r="C636" s="209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>
      <c r="A637" s="32"/>
      <c r="B637" s="32"/>
      <c r="C637" s="209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>
      <c r="A638" s="32"/>
      <c r="B638" s="32"/>
      <c r="C638" s="209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>
      <c r="A639" s="32"/>
      <c r="B639" s="32"/>
      <c r="C639" s="209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>
      <c r="A640" s="32"/>
      <c r="B640" s="32"/>
      <c r="C640" s="209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>
      <c r="A641" s="32"/>
      <c r="B641" s="32"/>
      <c r="C641" s="209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>
      <c r="A642" s="32"/>
      <c r="B642" s="32"/>
      <c r="C642" s="209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>
      <c r="A643" s="32"/>
      <c r="B643" s="32"/>
      <c r="C643" s="209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>
      <c r="A644" s="32"/>
      <c r="B644" s="32"/>
      <c r="C644" s="209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>
      <c r="A645" s="32"/>
      <c r="B645" s="32"/>
      <c r="C645" s="209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>
      <c r="A646" s="32"/>
      <c r="B646" s="32"/>
      <c r="C646" s="209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>
      <c r="A647" s="32"/>
      <c r="B647" s="32"/>
      <c r="C647" s="209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>
      <c r="A648" s="32"/>
      <c r="B648" s="32"/>
      <c r="C648" s="209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>
      <c r="A649" s="32"/>
      <c r="B649" s="32"/>
      <c r="C649" s="209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>
      <c r="A650" s="32"/>
      <c r="B650" s="32"/>
      <c r="C650" s="209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>
      <c r="A651" s="32"/>
      <c r="B651" s="32"/>
      <c r="C651" s="209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>
      <c r="A652" s="32"/>
      <c r="B652" s="32"/>
      <c r="C652" s="209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>
      <c r="A653" s="32"/>
      <c r="B653" s="32"/>
      <c r="C653" s="209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>
      <c r="A654" s="32"/>
      <c r="B654" s="32"/>
      <c r="C654" s="209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>
      <c r="A655" s="32"/>
      <c r="B655" s="32"/>
      <c r="C655" s="209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>
      <c r="A656" s="32"/>
      <c r="B656" s="32"/>
      <c r="C656" s="209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>
      <c r="A657" s="32"/>
      <c r="B657" s="32"/>
      <c r="C657" s="209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>
      <c r="A658" s="32"/>
      <c r="B658" s="32"/>
      <c r="C658" s="209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>
      <c r="A659" s="32"/>
      <c r="B659" s="32"/>
      <c r="C659" s="209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>
      <c r="A660" s="32"/>
      <c r="B660" s="32"/>
      <c r="C660" s="209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>
      <c r="A661" s="32"/>
      <c r="B661" s="32"/>
      <c r="C661" s="209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>
      <c r="A662" s="32"/>
      <c r="B662" s="32"/>
      <c r="C662" s="209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>
      <c r="A663" s="32"/>
      <c r="B663" s="32"/>
      <c r="C663" s="209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>
      <c r="A664" s="32"/>
      <c r="B664" s="32"/>
      <c r="C664" s="209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>
      <c r="A665" s="32"/>
      <c r="B665" s="32"/>
      <c r="C665" s="209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>
      <c r="A666" s="32"/>
      <c r="B666" s="32"/>
      <c r="C666" s="209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>
      <c r="A667" s="32"/>
      <c r="B667" s="32"/>
      <c r="C667" s="209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>
      <c r="A668" s="32"/>
      <c r="B668" s="32"/>
      <c r="C668" s="209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>
      <c r="A669" s="32"/>
      <c r="B669" s="32"/>
      <c r="C669" s="209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>
      <c r="A670" s="32"/>
      <c r="B670" s="32"/>
      <c r="C670" s="209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>
      <c r="A671" s="32"/>
      <c r="B671" s="32"/>
      <c r="C671" s="209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>
      <c r="A672" s="32"/>
      <c r="B672" s="32"/>
      <c r="C672" s="209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>
      <c r="A673" s="32"/>
      <c r="B673" s="32"/>
      <c r="C673" s="209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>
      <c r="A674" s="32"/>
      <c r="B674" s="32"/>
      <c r="C674" s="209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>
      <c r="A675" s="32"/>
      <c r="B675" s="32"/>
      <c r="C675" s="209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>
      <c r="A676" s="32"/>
      <c r="B676" s="32"/>
      <c r="C676" s="209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>
      <c r="A677" s="32"/>
      <c r="B677" s="32"/>
      <c r="C677" s="209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>
      <c r="A678" s="32"/>
      <c r="B678" s="32"/>
      <c r="C678" s="209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>
      <c r="A679" s="32"/>
      <c r="B679" s="32"/>
      <c r="C679" s="209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>
      <c r="A680" s="32"/>
      <c r="B680" s="32"/>
      <c r="C680" s="209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>
      <c r="A681" s="32"/>
      <c r="B681" s="32"/>
      <c r="C681" s="209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>
      <c r="A682" s="32"/>
      <c r="B682" s="32"/>
      <c r="C682" s="209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>
      <c r="A683" s="32"/>
      <c r="B683" s="32"/>
      <c r="C683" s="209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>
      <c r="A684" s="32"/>
      <c r="B684" s="32"/>
      <c r="C684" s="209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>
      <c r="A685" s="32"/>
      <c r="B685" s="32"/>
      <c r="C685" s="209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>
      <c r="A686" s="32"/>
      <c r="B686" s="32"/>
      <c r="C686" s="209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>
      <c r="A687" s="32"/>
      <c r="B687" s="32"/>
      <c r="C687" s="209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>
      <c r="A688" s="32"/>
      <c r="B688" s="32"/>
      <c r="C688" s="209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>
      <c r="A689" s="32"/>
      <c r="B689" s="32"/>
      <c r="C689" s="209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>
      <c r="A690" s="32"/>
      <c r="B690" s="32"/>
      <c r="C690" s="209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>
      <c r="A691" s="32"/>
      <c r="B691" s="32"/>
      <c r="C691" s="209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>
      <c r="A692" s="32"/>
      <c r="B692" s="32"/>
      <c r="C692" s="209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>
      <c r="A693" s="32"/>
      <c r="B693" s="32"/>
      <c r="C693" s="209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>
      <c r="A694" s="32"/>
      <c r="B694" s="32"/>
      <c r="C694" s="209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>
      <c r="A695" s="32"/>
      <c r="B695" s="32"/>
      <c r="C695" s="209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>
      <c r="A696" s="32"/>
      <c r="B696" s="32"/>
      <c r="C696" s="209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>
      <c r="A697" s="32"/>
      <c r="B697" s="32"/>
      <c r="C697" s="209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>
      <c r="A698" s="32"/>
      <c r="B698" s="32"/>
      <c r="C698" s="209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>
      <c r="A699" s="32"/>
      <c r="B699" s="32"/>
      <c r="C699" s="209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>
      <c r="A700" s="32"/>
      <c r="B700" s="32"/>
      <c r="C700" s="209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>
      <c r="A701" s="32"/>
      <c r="B701" s="32"/>
      <c r="C701" s="209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>
      <c r="A702" s="32"/>
      <c r="B702" s="32"/>
      <c r="C702" s="209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>
      <c r="A703" s="32"/>
      <c r="B703" s="32"/>
      <c r="C703" s="209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>
      <c r="A704" s="32"/>
      <c r="B704" s="32"/>
      <c r="C704" s="209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>
      <c r="A705" s="32"/>
      <c r="B705" s="32"/>
      <c r="C705" s="209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>
      <c r="A706" s="32"/>
      <c r="B706" s="32"/>
      <c r="C706" s="209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>
      <c r="A707" s="32"/>
      <c r="B707" s="32"/>
      <c r="C707" s="209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>
      <c r="A708" s="32"/>
      <c r="B708" s="32"/>
      <c r="C708" s="209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>
      <c r="A709" s="32"/>
      <c r="B709" s="32"/>
      <c r="C709" s="209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>
      <c r="A710" s="32"/>
      <c r="B710" s="32"/>
      <c r="C710" s="209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>
      <c r="A711" s="32"/>
      <c r="B711" s="32"/>
      <c r="C711" s="209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>
      <c r="A712" s="32"/>
      <c r="B712" s="32"/>
      <c r="C712" s="209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>
      <c r="A713" s="32"/>
      <c r="B713" s="32"/>
      <c r="C713" s="209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>
      <c r="A714" s="32"/>
      <c r="B714" s="32"/>
      <c r="C714" s="209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>
      <c r="A715" s="32"/>
      <c r="B715" s="32"/>
      <c r="C715" s="209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>
      <c r="A716" s="32"/>
      <c r="B716" s="32"/>
      <c r="C716" s="209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>
      <c r="A717" s="32"/>
      <c r="B717" s="32"/>
      <c r="C717" s="209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>
      <c r="A718" s="32"/>
      <c r="B718" s="32"/>
      <c r="C718" s="209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>
      <c r="A719" s="32"/>
      <c r="B719" s="32"/>
      <c r="C719" s="209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>
      <c r="A720" s="32"/>
      <c r="B720" s="32"/>
      <c r="C720" s="209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>
      <c r="A721" s="32"/>
      <c r="B721" s="32"/>
      <c r="C721" s="209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>
      <c r="A722" s="32"/>
      <c r="B722" s="32"/>
      <c r="C722" s="209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>
      <c r="A723" s="32"/>
      <c r="B723" s="32"/>
      <c r="C723" s="209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>
      <c r="A724" s="32"/>
      <c r="B724" s="32"/>
      <c r="C724" s="209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>
      <c r="A725" s="32"/>
      <c r="B725" s="32"/>
      <c r="C725" s="209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>
      <c r="A726" s="32"/>
      <c r="B726" s="32"/>
      <c r="C726" s="209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>
      <c r="A727" s="32"/>
      <c r="B727" s="32"/>
      <c r="C727" s="209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>
      <c r="A728" s="32"/>
      <c r="B728" s="32"/>
      <c r="C728" s="209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>
      <c r="A729" s="32"/>
      <c r="B729" s="32"/>
      <c r="C729" s="209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>
      <c r="A730" s="32"/>
      <c r="B730" s="32"/>
      <c r="C730" s="209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>
      <c r="A731" s="32"/>
      <c r="B731" s="32"/>
      <c r="C731" s="209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>
      <c r="A732" s="32"/>
      <c r="B732" s="32"/>
      <c r="C732" s="209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>
      <c r="A733" s="32"/>
      <c r="B733" s="32"/>
      <c r="C733" s="209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>
      <c r="A734" s="32"/>
      <c r="B734" s="32"/>
      <c r="C734" s="209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>
      <c r="A735" s="32"/>
      <c r="B735" s="32"/>
      <c r="C735" s="209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>
      <c r="A736" s="32"/>
      <c r="B736" s="32"/>
      <c r="C736" s="209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>
      <c r="A737" s="32"/>
      <c r="B737" s="32"/>
      <c r="C737" s="209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>
      <c r="A738" s="32"/>
      <c r="B738" s="32"/>
      <c r="C738" s="209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>
      <c r="A739" s="32"/>
      <c r="B739" s="32"/>
      <c r="C739" s="209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>
      <c r="A740" s="32"/>
      <c r="B740" s="32"/>
      <c r="C740" s="209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>
      <c r="A741" s="32"/>
      <c r="B741" s="32"/>
      <c r="C741" s="209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>
      <c r="A742" s="32"/>
      <c r="B742" s="32"/>
      <c r="C742" s="209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>
      <c r="A743" s="32"/>
      <c r="B743" s="32"/>
      <c r="C743" s="209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>
      <c r="A744" s="32"/>
      <c r="B744" s="32"/>
      <c r="C744" s="209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>
      <c r="A745" s="32"/>
      <c r="B745" s="32"/>
      <c r="C745" s="209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>
      <c r="A746" s="32"/>
      <c r="B746" s="32"/>
      <c r="C746" s="209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>
      <c r="A747" s="32"/>
      <c r="B747" s="32"/>
      <c r="C747" s="209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>
      <c r="A748" s="32"/>
      <c r="B748" s="32"/>
      <c r="C748" s="209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>
      <c r="A749" s="32"/>
      <c r="B749" s="32"/>
      <c r="C749" s="209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>
      <c r="A750" s="32"/>
      <c r="B750" s="32"/>
      <c r="C750" s="209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>
      <c r="A751" s="32"/>
      <c r="B751" s="32"/>
      <c r="C751" s="209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>
      <c r="A752" s="32"/>
      <c r="B752" s="32"/>
      <c r="C752" s="209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>
      <c r="A753" s="32"/>
      <c r="B753" s="32"/>
      <c r="C753" s="209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>
      <c r="A754" s="32"/>
      <c r="B754" s="32"/>
      <c r="C754" s="209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>
      <c r="A755" s="32"/>
      <c r="B755" s="32"/>
      <c r="C755" s="209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>
      <c r="A756" s="32"/>
      <c r="B756" s="32"/>
      <c r="C756" s="209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>
      <c r="A757" s="32"/>
      <c r="B757" s="32"/>
      <c r="C757" s="209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>
      <c r="A758" s="32"/>
      <c r="B758" s="32"/>
      <c r="C758" s="209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>
      <c r="A759" s="32"/>
      <c r="B759" s="32"/>
      <c r="C759" s="209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>
      <c r="A760" s="32"/>
      <c r="B760" s="32"/>
      <c r="C760" s="209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>
      <c r="A761" s="32"/>
      <c r="B761" s="32"/>
      <c r="C761" s="209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>
      <c r="A762" s="32"/>
      <c r="B762" s="32"/>
      <c r="C762" s="209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>
      <c r="A763" s="32"/>
      <c r="B763" s="32"/>
      <c r="C763" s="209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>
      <c r="A764" s="32"/>
      <c r="B764" s="32"/>
      <c r="C764" s="209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>
      <c r="A765" s="32"/>
      <c r="B765" s="32"/>
      <c r="C765" s="209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>
      <c r="A766" s="32"/>
      <c r="B766" s="32"/>
      <c r="C766" s="209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>
      <c r="A767" s="32"/>
      <c r="B767" s="32"/>
      <c r="C767" s="209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>
      <c r="A768" s="32"/>
      <c r="B768" s="32"/>
      <c r="C768" s="209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>
      <c r="A769" s="32"/>
      <c r="B769" s="32"/>
      <c r="C769" s="209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>
      <c r="A770" s="32"/>
      <c r="B770" s="32"/>
      <c r="C770" s="209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>
      <c r="A771" s="32"/>
      <c r="B771" s="32"/>
      <c r="C771" s="209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>
      <c r="A772" s="32"/>
      <c r="B772" s="32"/>
      <c r="C772" s="209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>
      <c r="A773" s="32"/>
      <c r="B773" s="32"/>
      <c r="C773" s="209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>
      <c r="A774" s="32"/>
      <c r="B774" s="32"/>
      <c r="C774" s="209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>
      <c r="A775" s="32"/>
      <c r="B775" s="32"/>
      <c r="C775" s="209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>
      <c r="A776" s="32"/>
      <c r="B776" s="32"/>
      <c r="C776" s="209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>
      <c r="A777" s="32"/>
      <c r="B777" s="32"/>
      <c r="C777" s="209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>
      <c r="A778" s="32"/>
      <c r="B778" s="32"/>
      <c r="C778" s="209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>
      <c r="A779" s="32"/>
      <c r="B779" s="32"/>
      <c r="C779" s="209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>
      <c r="A780" s="32"/>
      <c r="B780" s="32"/>
      <c r="C780" s="209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>
      <c r="A781" s="32"/>
      <c r="B781" s="32"/>
      <c r="C781" s="209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>
      <c r="A782" s="32"/>
      <c r="B782" s="32"/>
      <c r="C782" s="209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>
      <c r="A783" s="32"/>
      <c r="B783" s="32"/>
      <c r="C783" s="209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>
      <c r="A784" s="32"/>
      <c r="B784" s="32"/>
      <c r="C784" s="209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>
      <c r="A785" s="32"/>
      <c r="B785" s="32"/>
      <c r="C785" s="209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>
      <c r="A786" s="32"/>
      <c r="B786" s="32"/>
      <c r="C786" s="209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>
      <c r="A787" s="32"/>
      <c r="B787" s="32"/>
      <c r="C787" s="209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>
      <c r="A788" s="32"/>
      <c r="B788" s="32"/>
      <c r="C788" s="209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>
      <c r="A789" s="32"/>
      <c r="B789" s="32"/>
      <c r="C789" s="209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>
      <c r="A790" s="32"/>
      <c r="B790" s="32"/>
      <c r="C790" s="209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>
      <c r="A791" s="32"/>
      <c r="B791" s="32"/>
      <c r="C791" s="209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>
      <c r="A792" s="32"/>
      <c r="B792" s="32"/>
      <c r="C792" s="209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>
      <c r="A793" s="32"/>
      <c r="B793" s="32"/>
      <c r="C793" s="209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>
      <c r="A794" s="32"/>
      <c r="B794" s="32"/>
      <c r="C794" s="209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>
      <c r="A795" s="32"/>
      <c r="B795" s="32"/>
      <c r="C795" s="209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>
      <c r="A796" s="32"/>
      <c r="B796" s="32"/>
      <c r="C796" s="209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>
      <c r="A797" s="32"/>
      <c r="B797" s="32"/>
      <c r="C797" s="209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>
      <c r="A798" s="32"/>
      <c r="B798" s="32"/>
      <c r="C798" s="209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>
      <c r="A799" s="32"/>
      <c r="B799" s="32"/>
      <c r="C799" s="209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>
      <c r="A800" s="32"/>
      <c r="B800" s="32"/>
      <c r="C800" s="209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>
      <c r="A801" s="32"/>
      <c r="B801" s="32"/>
      <c r="C801" s="209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>
      <c r="A802" s="32"/>
      <c r="B802" s="32"/>
      <c r="C802" s="209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>
      <c r="A803" s="32"/>
      <c r="B803" s="32"/>
      <c r="C803" s="209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>
      <c r="A804" s="32"/>
      <c r="B804" s="32"/>
      <c r="C804" s="209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>
      <c r="A805" s="32"/>
      <c r="B805" s="32"/>
      <c r="C805" s="209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>
      <c r="A806" s="32"/>
      <c r="B806" s="32"/>
      <c r="C806" s="209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>
      <c r="A807" s="32"/>
      <c r="B807" s="32"/>
      <c r="C807" s="209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>
      <c r="A808" s="32"/>
      <c r="B808" s="32"/>
      <c r="C808" s="209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>
      <c r="A809" s="32"/>
      <c r="B809" s="32"/>
      <c r="C809" s="209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>
      <c r="A810" s="32"/>
      <c r="B810" s="32"/>
      <c r="C810" s="209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>
      <c r="A811" s="32"/>
      <c r="B811" s="32"/>
      <c r="C811" s="209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>
      <c r="A812" s="32"/>
      <c r="B812" s="32"/>
      <c r="C812" s="209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>
      <c r="A813" s="32"/>
      <c r="B813" s="32"/>
      <c r="C813" s="209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>
      <c r="A814" s="32"/>
      <c r="B814" s="32"/>
      <c r="C814" s="209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>
      <c r="A815" s="32"/>
      <c r="B815" s="32"/>
      <c r="C815" s="209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>
      <c r="A816" s="32"/>
      <c r="B816" s="32"/>
      <c r="C816" s="209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>
      <c r="A817" s="32"/>
      <c r="B817" s="32"/>
      <c r="C817" s="209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>
      <c r="A818" s="32"/>
      <c r="B818" s="32"/>
      <c r="C818" s="209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>
      <c r="A819" s="32"/>
      <c r="B819" s="32"/>
      <c r="C819" s="209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>
      <c r="A820" s="32"/>
      <c r="B820" s="32"/>
      <c r="C820" s="209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>
      <c r="A821" s="32"/>
      <c r="B821" s="32"/>
      <c r="C821" s="209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>
      <c r="A822" s="32"/>
      <c r="B822" s="32"/>
      <c r="C822" s="209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>
      <c r="A823" s="32"/>
      <c r="B823" s="32"/>
      <c r="C823" s="209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>
      <c r="A824" s="32"/>
      <c r="B824" s="32"/>
      <c r="C824" s="209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>
      <c r="A825" s="32"/>
      <c r="B825" s="32"/>
      <c r="C825" s="209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>
      <c r="A826" s="32"/>
      <c r="B826" s="32"/>
      <c r="C826" s="209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>
      <c r="A827" s="32"/>
      <c r="B827" s="32"/>
      <c r="C827" s="209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>
      <c r="A828" s="32"/>
      <c r="B828" s="32"/>
      <c r="C828" s="209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>
      <c r="A829" s="32"/>
      <c r="B829" s="32"/>
      <c r="C829" s="209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>
      <c r="A830" s="32"/>
      <c r="B830" s="32"/>
      <c r="C830" s="209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>
      <c r="A831" s="32"/>
      <c r="B831" s="32"/>
      <c r="C831" s="209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>
      <c r="A832" s="32"/>
      <c r="B832" s="32"/>
      <c r="C832" s="209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>
      <c r="A833" s="32"/>
      <c r="B833" s="32"/>
      <c r="C833" s="209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>
      <c r="A834" s="32"/>
      <c r="B834" s="32"/>
      <c r="C834" s="209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>
      <c r="A835" s="32"/>
      <c r="B835" s="32"/>
      <c r="C835" s="209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>
      <c r="A836" s="32"/>
      <c r="B836" s="32"/>
      <c r="C836" s="209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>
      <c r="A837" s="32"/>
      <c r="B837" s="32"/>
      <c r="C837" s="209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>
      <c r="A838" s="32"/>
      <c r="B838" s="32"/>
      <c r="C838" s="209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>
      <c r="A839" s="32"/>
      <c r="B839" s="32"/>
      <c r="C839" s="209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>
      <c r="A840" s="32"/>
      <c r="B840" s="32"/>
      <c r="C840" s="209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>
      <c r="A841" s="32"/>
      <c r="B841" s="32"/>
      <c r="C841" s="209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>
      <c r="A842" s="32"/>
      <c r="B842" s="32"/>
      <c r="C842" s="209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>
      <c r="A843" s="32"/>
      <c r="B843" s="32"/>
      <c r="C843" s="209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>
      <c r="A844" s="32"/>
      <c r="B844" s="32"/>
      <c r="C844" s="209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>
      <c r="A845" s="32"/>
      <c r="B845" s="32"/>
      <c r="C845" s="209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>
      <c r="A846" s="32"/>
      <c r="B846" s="32"/>
      <c r="C846" s="209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>
      <c r="A847" s="32"/>
      <c r="B847" s="32"/>
      <c r="C847" s="209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>
      <c r="A848" s="32"/>
      <c r="B848" s="32"/>
      <c r="C848" s="209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>
      <c r="A849" s="32"/>
      <c r="B849" s="32"/>
      <c r="C849" s="209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>
      <c r="A850" s="32"/>
      <c r="B850" s="32"/>
      <c r="C850" s="209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>
      <c r="A851" s="32"/>
      <c r="B851" s="32"/>
      <c r="C851" s="209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>
      <c r="A852" s="32"/>
      <c r="B852" s="32"/>
      <c r="C852" s="209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>
      <c r="A853" s="32"/>
      <c r="B853" s="32"/>
      <c r="C853" s="209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>
      <c r="A854" s="32"/>
      <c r="B854" s="32"/>
      <c r="C854" s="209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>
      <c r="A855" s="32"/>
      <c r="B855" s="32"/>
      <c r="C855" s="209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>
      <c r="A856" s="32"/>
      <c r="B856" s="32"/>
      <c r="C856" s="209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>
      <c r="A857" s="32"/>
      <c r="B857" s="32"/>
      <c r="C857" s="209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>
      <c r="A858" s="32"/>
      <c r="B858" s="32"/>
      <c r="C858" s="209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>
      <c r="A859" s="32"/>
      <c r="B859" s="32"/>
      <c r="C859" s="209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>
      <c r="A860" s="32"/>
      <c r="B860" s="32"/>
      <c r="C860" s="209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>
      <c r="A861" s="32"/>
      <c r="B861" s="32"/>
      <c r="C861" s="209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>
      <c r="A862" s="32"/>
      <c r="B862" s="32"/>
      <c r="C862" s="209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>
      <c r="A863" s="32"/>
      <c r="B863" s="32"/>
      <c r="C863" s="209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>
      <c r="A864" s="32"/>
      <c r="B864" s="32"/>
      <c r="C864" s="209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>
      <c r="A865" s="32"/>
      <c r="B865" s="32"/>
      <c r="C865" s="209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>
      <c r="A866" s="32"/>
      <c r="B866" s="32"/>
      <c r="C866" s="209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>
      <c r="A867" s="32"/>
      <c r="B867" s="32"/>
      <c r="C867" s="209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>
      <c r="A868" s="32"/>
      <c r="B868" s="32"/>
      <c r="C868" s="209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>
      <c r="A869" s="32"/>
      <c r="B869" s="32"/>
      <c r="C869" s="209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>
      <c r="A870" s="32"/>
      <c r="B870" s="32"/>
      <c r="C870" s="209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>
      <c r="A871" s="32"/>
      <c r="B871" s="32"/>
      <c r="C871" s="209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>
      <c r="A872" s="32"/>
      <c r="B872" s="32"/>
      <c r="C872" s="209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>
      <c r="A873" s="32"/>
      <c r="B873" s="32"/>
      <c r="C873" s="209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>
      <c r="A874" s="32"/>
      <c r="B874" s="32"/>
      <c r="C874" s="209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>
      <c r="A875" s="32"/>
      <c r="B875" s="32"/>
      <c r="C875" s="209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>
      <c r="A876" s="32"/>
      <c r="B876" s="32"/>
      <c r="C876" s="209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>
      <c r="A877" s="32"/>
      <c r="B877" s="32"/>
      <c r="C877" s="209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>
      <c r="A878" s="32"/>
      <c r="B878" s="32"/>
      <c r="C878" s="209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>
      <c r="A879" s="32"/>
      <c r="B879" s="32"/>
      <c r="C879" s="209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>
      <c r="A880" s="32"/>
      <c r="B880" s="32"/>
      <c r="C880" s="209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>
      <c r="A881" s="32"/>
      <c r="B881" s="32"/>
      <c r="C881" s="209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>
      <c r="A882" s="32"/>
      <c r="B882" s="32"/>
      <c r="C882" s="209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>
      <c r="A883" s="32"/>
      <c r="B883" s="32"/>
      <c r="C883" s="209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>
      <c r="A884" s="32"/>
      <c r="B884" s="32"/>
      <c r="C884" s="209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>
      <c r="A885" s="32"/>
      <c r="B885" s="32"/>
      <c r="C885" s="209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>
      <c r="A886" s="32"/>
      <c r="B886" s="32"/>
      <c r="C886" s="209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>
      <c r="A887" s="32"/>
      <c r="B887" s="32"/>
      <c r="C887" s="209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>
      <c r="A888" s="32"/>
      <c r="B888" s="32"/>
      <c r="C888" s="209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>
      <c r="A889" s="32"/>
      <c r="B889" s="32"/>
      <c r="C889" s="209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>
      <c r="A890" s="32"/>
      <c r="B890" s="32"/>
      <c r="C890" s="209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>
      <c r="A891" s="32"/>
      <c r="B891" s="32"/>
      <c r="C891" s="209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>
      <c r="A892" s="32"/>
      <c r="B892" s="32"/>
      <c r="C892" s="209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>
      <c r="A893" s="32"/>
      <c r="B893" s="32"/>
      <c r="C893" s="209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>
      <c r="A894" s="32"/>
      <c r="B894" s="32"/>
      <c r="C894" s="209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>
      <c r="A895" s="32"/>
      <c r="B895" s="32"/>
      <c r="C895" s="209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>
      <c r="A896" s="32"/>
      <c r="B896" s="32"/>
      <c r="C896" s="209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>
      <c r="A897" s="32"/>
      <c r="B897" s="32"/>
      <c r="C897" s="209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>
      <c r="A898" s="32"/>
      <c r="B898" s="32"/>
      <c r="C898" s="209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>
      <c r="A899" s="32"/>
      <c r="B899" s="32"/>
      <c r="C899" s="209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>
      <c r="A900" s="32"/>
      <c r="B900" s="32"/>
      <c r="C900" s="209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>
      <c r="A901" s="32"/>
      <c r="B901" s="32"/>
      <c r="C901" s="209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>
      <c r="A902" s="32"/>
      <c r="B902" s="32"/>
      <c r="C902" s="209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>
      <c r="A903" s="32"/>
      <c r="B903" s="32"/>
      <c r="C903" s="209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>
      <c r="A904" s="32"/>
      <c r="B904" s="32"/>
      <c r="C904" s="209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>
      <c r="A905" s="32"/>
      <c r="B905" s="32"/>
      <c r="C905" s="209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>
      <c r="A906" s="32"/>
      <c r="B906" s="32"/>
      <c r="C906" s="209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>
      <c r="A907" s="32"/>
      <c r="B907" s="32"/>
      <c r="C907" s="209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>
      <c r="A908" s="32"/>
      <c r="B908" s="32"/>
      <c r="C908" s="209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>
      <c r="A909" s="32"/>
      <c r="B909" s="32"/>
      <c r="C909" s="209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>
      <c r="A910" s="32"/>
      <c r="B910" s="32"/>
      <c r="C910" s="209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>
      <c r="A911" s="32"/>
      <c r="B911" s="32"/>
      <c r="C911" s="209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>
      <c r="A912" s="32"/>
      <c r="B912" s="32"/>
      <c r="C912" s="209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>
      <c r="A913" s="32"/>
      <c r="B913" s="32"/>
      <c r="C913" s="209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>
      <c r="A914" s="32"/>
      <c r="B914" s="32"/>
      <c r="C914" s="209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>
      <c r="A915" s="32"/>
      <c r="B915" s="32"/>
      <c r="C915" s="209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>
      <c r="A916" s="32"/>
      <c r="B916" s="32"/>
      <c r="C916" s="209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>
      <c r="A917" s="32"/>
      <c r="B917" s="32"/>
      <c r="C917" s="209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>
      <c r="A918" s="32"/>
      <c r="B918" s="32"/>
      <c r="C918" s="209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>
      <c r="A919" s="32"/>
      <c r="B919" s="32"/>
      <c r="C919" s="209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>
      <c r="A920" s="32"/>
      <c r="B920" s="32"/>
      <c r="C920" s="209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>
      <c r="A921" s="32"/>
      <c r="B921" s="32"/>
      <c r="C921" s="209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>
      <c r="A922" s="32"/>
      <c r="B922" s="32"/>
      <c r="C922" s="209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>
      <c r="A923" s="32"/>
      <c r="B923" s="32"/>
      <c r="C923" s="209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>
      <c r="A924" s="32"/>
      <c r="B924" s="32"/>
      <c r="C924" s="209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>
      <c r="A925" s="32"/>
      <c r="B925" s="32"/>
      <c r="C925" s="209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>
      <c r="A926" s="32"/>
      <c r="B926" s="32"/>
      <c r="C926" s="209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>
      <c r="A927" s="32"/>
      <c r="B927" s="32"/>
      <c r="C927" s="209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>
      <c r="A928" s="32"/>
      <c r="B928" s="32"/>
      <c r="C928" s="209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>
      <c r="A929" s="32"/>
      <c r="B929" s="32"/>
      <c r="C929" s="209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>
      <c r="A930" s="32"/>
      <c r="B930" s="32"/>
      <c r="C930" s="209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>
      <c r="A931" s="32"/>
      <c r="B931" s="32"/>
      <c r="C931" s="209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>
      <c r="A932" s="32"/>
      <c r="B932" s="32"/>
      <c r="C932" s="209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>
      <c r="A933" s="32"/>
      <c r="B933" s="32"/>
      <c r="C933" s="209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>
      <c r="A934" s="32"/>
      <c r="B934" s="32"/>
      <c r="C934" s="209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>
      <c r="A935" s="32"/>
      <c r="B935" s="32"/>
      <c r="C935" s="209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>
      <c r="A936" s="32"/>
      <c r="B936" s="32"/>
      <c r="C936" s="209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>
      <c r="A937" s="32"/>
      <c r="B937" s="32"/>
      <c r="C937" s="209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>
      <c r="A938" s="32"/>
      <c r="B938" s="32"/>
      <c r="C938" s="209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>
      <c r="A939" s="32"/>
      <c r="B939" s="32"/>
      <c r="C939" s="209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>
      <c r="A940" s="32"/>
      <c r="B940" s="32"/>
      <c r="C940" s="209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>
      <c r="A941" s="32"/>
      <c r="B941" s="32"/>
      <c r="C941" s="209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>
      <c r="A942" s="32"/>
      <c r="B942" s="32"/>
      <c r="C942" s="209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>
      <c r="A943" s="32"/>
      <c r="B943" s="32"/>
      <c r="C943" s="209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>
      <c r="A944" s="32"/>
      <c r="B944" s="32"/>
      <c r="C944" s="209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>
      <c r="A945" s="32"/>
      <c r="B945" s="32"/>
      <c r="C945" s="209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>
      <c r="A946" s="32"/>
      <c r="B946" s="32"/>
      <c r="C946" s="209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>
      <c r="A947" s="32"/>
      <c r="B947" s="32"/>
      <c r="C947" s="209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>
      <c r="A948" s="32"/>
      <c r="B948" s="32"/>
      <c r="C948" s="209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>
      <c r="A949" s="32"/>
      <c r="B949" s="32"/>
      <c r="C949" s="209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>
      <c r="A950" s="32"/>
      <c r="B950" s="32"/>
      <c r="C950" s="209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>
      <c r="A951" s="32"/>
      <c r="B951" s="32"/>
      <c r="C951" s="209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>
      <c r="A952" s="32"/>
      <c r="B952" s="32"/>
      <c r="C952" s="209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>
      <c r="A953" s="32"/>
      <c r="B953" s="32"/>
      <c r="C953" s="209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>
      <c r="A954" s="32"/>
      <c r="B954" s="32"/>
      <c r="C954" s="209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>
      <c r="A955" s="32"/>
      <c r="B955" s="32"/>
      <c r="C955" s="209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>
      <c r="A956" s="32"/>
      <c r="B956" s="32"/>
      <c r="C956" s="209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>
      <c r="A957" s="32"/>
      <c r="B957" s="32"/>
      <c r="C957" s="209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>
      <c r="A958" s="32"/>
      <c r="B958" s="32"/>
      <c r="C958" s="209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>
      <c r="A959" s="32"/>
      <c r="B959" s="32"/>
      <c r="C959" s="209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>
      <c r="A960" s="32"/>
      <c r="B960" s="32"/>
      <c r="C960" s="209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>
      <c r="A961" s="32"/>
      <c r="B961" s="32"/>
      <c r="C961" s="209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>
      <c r="A962" s="32"/>
      <c r="B962" s="32"/>
      <c r="C962" s="209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>
      <c r="A963" s="32"/>
      <c r="B963" s="32"/>
      <c r="C963" s="209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>
      <c r="A964" s="32"/>
      <c r="B964" s="32"/>
      <c r="C964" s="209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>
      <c r="A965" s="32"/>
      <c r="B965" s="32"/>
      <c r="C965" s="209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>
      <c r="A966" s="32"/>
      <c r="B966" s="32"/>
      <c r="C966" s="209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>
      <c r="A967" s="32"/>
      <c r="B967" s="32"/>
      <c r="C967" s="209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>
      <c r="A968" s="32"/>
      <c r="B968" s="32"/>
      <c r="C968" s="209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>
      <c r="A969" s="32"/>
      <c r="B969" s="32"/>
      <c r="C969" s="209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>
      <c r="A970" s="32"/>
      <c r="B970" s="32"/>
      <c r="C970" s="209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>
      <c r="A971" s="32"/>
      <c r="B971" s="32"/>
      <c r="C971" s="209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>
      <c r="A972" s="32"/>
      <c r="B972" s="32"/>
      <c r="C972" s="209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>
      <c r="A973" s="32"/>
      <c r="B973" s="32"/>
      <c r="C973" s="209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>
      <c r="A974" s="32"/>
      <c r="B974" s="32"/>
      <c r="C974" s="209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>
      <c r="A975" s="32"/>
      <c r="B975" s="32"/>
      <c r="C975" s="209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>
      <c r="A976" s="32"/>
      <c r="B976" s="32"/>
      <c r="C976" s="209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>
      <c r="A977" s="32"/>
      <c r="B977" s="32"/>
      <c r="C977" s="209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>
      <c r="A978" s="32"/>
      <c r="B978" s="32"/>
      <c r="C978" s="209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>
      <c r="A979" s="32"/>
      <c r="B979" s="32"/>
      <c r="C979" s="209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>
      <c r="A980" s="32"/>
      <c r="B980" s="32"/>
      <c r="C980" s="209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>
      <c r="A981" s="32"/>
      <c r="B981" s="32"/>
      <c r="C981" s="209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>
      <c r="A982" s="32"/>
      <c r="B982" s="32"/>
      <c r="C982" s="209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>
      <c r="A983" s="32"/>
      <c r="B983" s="32"/>
      <c r="C983" s="209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>
      <c r="A984" s="32"/>
      <c r="B984" s="32"/>
      <c r="C984" s="209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>
      <c r="A985" s="32"/>
      <c r="B985" s="32"/>
      <c r="C985" s="209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>
      <c r="A986" s="32"/>
      <c r="B986" s="32"/>
      <c r="C986" s="209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>
      <c r="A987" s="32"/>
      <c r="B987" s="32"/>
      <c r="C987" s="209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>
      <c r="A988" s="32"/>
      <c r="B988" s="32"/>
      <c r="C988" s="209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>
      <c r="A989" s="32"/>
      <c r="B989" s="32"/>
      <c r="C989" s="209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>
      <c r="A990" s="32"/>
      <c r="B990" s="32"/>
      <c r="C990" s="209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>
      <c r="A991" s="32"/>
      <c r="B991" s="32"/>
      <c r="C991" s="209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>
      <c r="A992" s="32"/>
      <c r="B992" s="32"/>
      <c r="C992" s="209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>
      <c r="A993" s="32"/>
      <c r="B993" s="32"/>
      <c r="C993" s="209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>
      <c r="A994" s="32"/>
      <c r="B994" s="32"/>
      <c r="C994" s="209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>
      <c r="A995" s="32"/>
      <c r="B995" s="32"/>
      <c r="C995" s="209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>
      <c r="A996" s="32"/>
      <c r="B996" s="32"/>
      <c r="C996" s="209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>
      <c r="A997" s="32"/>
      <c r="B997" s="32"/>
      <c r="C997" s="209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>
      <c r="A998" s="32"/>
      <c r="B998" s="32"/>
      <c r="C998" s="209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>
      <c r="A999" s="32"/>
      <c r="B999" s="32"/>
      <c r="C999" s="209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>
      <c r="A1000" s="32"/>
      <c r="B1000" s="32"/>
      <c r="C1000" s="209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  <row r="1001" spans="1:26" ht="15.75" customHeight="1">
      <c r="A1001" s="32"/>
      <c r="B1001" s="32"/>
      <c r="C1001" s="209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</row>
    <row r="1002" spans="1:26" ht="15.75" customHeight="1">
      <c r="A1002" s="32"/>
      <c r="B1002" s="32"/>
      <c r="C1002" s="209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X1002" s="32"/>
      <c r="Y1002" s="32"/>
      <c r="Z1002" s="32"/>
    </row>
    <row r="1003" spans="1:26" ht="15.75" customHeight="1">
      <c r="A1003" s="32"/>
      <c r="B1003" s="32"/>
      <c r="C1003" s="209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X1003" s="32"/>
      <c r="Y1003" s="32"/>
      <c r="Z1003" s="32"/>
    </row>
    <row r="1004" spans="1:26" ht="15.75" customHeight="1">
      <c r="A1004" s="32"/>
      <c r="B1004" s="32"/>
      <c r="C1004" s="209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X1004" s="32"/>
      <c r="Y1004" s="32"/>
      <c r="Z1004" s="32"/>
    </row>
    <row r="1005" spans="1:26" ht="15.75" customHeight="1">
      <c r="A1005" s="32"/>
      <c r="B1005" s="32"/>
      <c r="C1005" s="209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X1005" s="32"/>
      <c r="Y1005" s="32"/>
      <c r="Z1005" s="32"/>
    </row>
  </sheetData>
  <autoFilter ref="A8:N69" xr:uid="{00000000-0009-0000-0000-000000000000}">
    <filterColumn colId="2">
      <filters>
        <filter val="Slots"/>
      </filters>
    </filterColumn>
  </autoFilter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C10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ColWidth="11.1640625" defaultRowHeight="15" customHeight="1"/>
  <cols>
    <col min="1" max="1" width="20.83203125" customWidth="1"/>
    <col min="2" max="2" width="17.1640625" customWidth="1"/>
    <col min="3" max="3" width="12.83203125" customWidth="1"/>
    <col min="4" max="4" width="16.33203125" customWidth="1"/>
    <col min="5" max="5" width="11.5" customWidth="1"/>
    <col min="6" max="6" width="11.83203125" customWidth="1"/>
    <col min="7" max="7" width="15.1640625" customWidth="1"/>
    <col min="8" max="8" width="15.33203125" customWidth="1"/>
    <col min="9" max="9" width="12.5" customWidth="1"/>
    <col min="10" max="10" width="19.5" customWidth="1"/>
    <col min="11" max="11" width="20.1640625" customWidth="1"/>
    <col min="12" max="12" width="13.1640625" customWidth="1"/>
    <col min="13" max="13" width="15.6640625" customWidth="1"/>
    <col min="14" max="14" width="15.1640625" customWidth="1"/>
    <col min="15" max="15" width="13.5" customWidth="1"/>
    <col min="16" max="16" width="17.1640625" customWidth="1"/>
    <col min="17" max="17" width="14.1640625" customWidth="1"/>
    <col min="18" max="18" width="17.1640625" customWidth="1"/>
    <col min="19" max="19" width="17.33203125" customWidth="1"/>
    <col min="20" max="20" width="16.33203125" customWidth="1"/>
    <col min="21" max="21" width="13.1640625" customWidth="1"/>
    <col min="22" max="22" width="12.33203125" customWidth="1"/>
    <col min="23" max="23" width="13.1640625" customWidth="1"/>
    <col min="24" max="24" width="22.5" customWidth="1"/>
    <col min="25" max="25" width="12.1640625" customWidth="1"/>
    <col min="26" max="26" width="13.33203125" customWidth="1"/>
    <col min="27" max="27" width="11.6640625" customWidth="1"/>
    <col min="28" max="28" width="11.33203125" customWidth="1"/>
    <col min="29" max="29" width="13.5" customWidth="1"/>
    <col min="30" max="30" width="19.1640625" customWidth="1"/>
    <col min="31" max="31" width="11.5" customWidth="1"/>
    <col min="32" max="32" width="13.5" customWidth="1"/>
    <col min="33" max="33" width="15.5" customWidth="1"/>
    <col min="34" max="34" width="19" customWidth="1"/>
    <col min="35" max="35" width="18.6640625" customWidth="1"/>
    <col min="36" max="36" width="17.33203125" customWidth="1"/>
    <col min="37" max="37" width="18.33203125" customWidth="1"/>
    <col min="38" max="38" width="13.5" customWidth="1"/>
    <col min="39" max="39" width="12.33203125" customWidth="1"/>
    <col min="40" max="40" width="16.83203125" customWidth="1"/>
    <col min="41" max="41" width="13" customWidth="1"/>
    <col min="42" max="42" width="13.83203125" customWidth="1"/>
    <col min="43" max="43" width="17.1640625" customWidth="1"/>
    <col min="44" max="44" width="17" customWidth="1"/>
    <col min="45" max="45" width="13.1640625" customWidth="1"/>
    <col min="46" max="46" width="18" customWidth="1"/>
    <col min="47" max="47" width="13.33203125" customWidth="1"/>
    <col min="48" max="48" width="13.83203125" customWidth="1"/>
    <col min="49" max="49" width="13.6640625" customWidth="1"/>
    <col min="50" max="50" width="13.5" customWidth="1"/>
    <col min="51" max="51" width="16.5" customWidth="1"/>
    <col min="52" max="52" width="13.6640625" customWidth="1"/>
    <col min="53" max="55" width="15.83203125" customWidth="1"/>
  </cols>
  <sheetData>
    <row r="1" spans="1:55" ht="16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5.75" customHeight="1">
      <c r="A2" s="2" t="s">
        <v>1</v>
      </c>
      <c r="B2" s="4"/>
      <c r="C2" s="4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</row>
    <row r="3" spans="1:55" ht="15.7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</row>
    <row r="4" spans="1:55" ht="15.75" customHeight="1">
      <c r="A4" s="12" t="s">
        <v>4</v>
      </c>
      <c r="B4" s="14" t="s">
        <v>5</v>
      </c>
      <c r="C4" s="14" t="s">
        <v>6</v>
      </c>
      <c r="D4" s="14" t="s">
        <v>7</v>
      </c>
      <c r="E4" s="16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15</v>
      </c>
      <c r="M4" s="14" t="s">
        <v>16</v>
      </c>
      <c r="N4" s="14" t="s">
        <v>17</v>
      </c>
      <c r="O4" s="14" t="s">
        <v>18</v>
      </c>
      <c r="P4" s="14" t="s">
        <v>19</v>
      </c>
      <c r="Q4" s="14" t="s">
        <v>20</v>
      </c>
      <c r="R4" s="14" t="s">
        <v>21</v>
      </c>
      <c r="S4" s="14" t="s">
        <v>22</v>
      </c>
      <c r="T4" s="14" t="s">
        <v>23</v>
      </c>
      <c r="U4" s="14" t="s">
        <v>24</v>
      </c>
      <c r="V4" s="14" t="s">
        <v>25</v>
      </c>
      <c r="W4" s="14" t="s">
        <v>26</v>
      </c>
      <c r="X4" s="14" t="s">
        <v>27</v>
      </c>
      <c r="Y4" s="14" t="s">
        <v>28</v>
      </c>
      <c r="Z4" s="14" t="s">
        <v>29</v>
      </c>
      <c r="AA4" s="14" t="s">
        <v>30</v>
      </c>
      <c r="AB4" s="14" t="s">
        <v>31</v>
      </c>
      <c r="AC4" s="14" t="s">
        <v>32</v>
      </c>
      <c r="AD4" s="14" t="s">
        <v>33</v>
      </c>
      <c r="AE4" s="14" t="s">
        <v>34</v>
      </c>
      <c r="AF4" s="14" t="s">
        <v>35</v>
      </c>
      <c r="AG4" s="14" t="s">
        <v>36</v>
      </c>
      <c r="AH4" s="14" t="s">
        <v>37</v>
      </c>
      <c r="AI4" s="14" t="s">
        <v>38</v>
      </c>
      <c r="AJ4" s="14" t="s">
        <v>39</v>
      </c>
      <c r="AK4" s="14" t="s">
        <v>40</v>
      </c>
      <c r="AL4" s="14" t="s">
        <v>41</v>
      </c>
      <c r="AM4" s="14" t="s">
        <v>42</v>
      </c>
      <c r="AN4" s="14" t="s">
        <v>43</v>
      </c>
      <c r="AO4" s="14" t="s">
        <v>44</v>
      </c>
      <c r="AP4" s="14" t="s">
        <v>45</v>
      </c>
      <c r="AQ4" s="14" t="s">
        <v>46</v>
      </c>
      <c r="AR4" s="14" t="s">
        <v>47</v>
      </c>
      <c r="AS4" s="14" t="s">
        <v>48</v>
      </c>
      <c r="AT4" s="14" t="s">
        <v>49</v>
      </c>
      <c r="AU4" s="14" t="s">
        <v>50</v>
      </c>
      <c r="AV4" s="14" t="s">
        <v>51</v>
      </c>
      <c r="AW4" s="14" t="s">
        <v>52</v>
      </c>
      <c r="AX4" s="14" t="s">
        <v>53</v>
      </c>
      <c r="AY4" s="14" t="s">
        <v>54</v>
      </c>
      <c r="AZ4" s="14" t="s">
        <v>55</v>
      </c>
      <c r="BA4" s="14" t="s">
        <v>56</v>
      </c>
      <c r="BB4" s="14" t="s">
        <v>57</v>
      </c>
      <c r="BC4" s="14" t="s">
        <v>58</v>
      </c>
    </row>
    <row r="5" spans="1:55" ht="15.75" customHeight="1">
      <c r="A5" s="20" t="s">
        <v>59</v>
      </c>
      <c r="B5" s="27" t="s">
        <v>60</v>
      </c>
      <c r="C5" s="27" t="s">
        <v>60</v>
      </c>
      <c r="D5" s="27" t="s">
        <v>60</v>
      </c>
      <c r="E5" s="27" t="s">
        <v>60</v>
      </c>
      <c r="F5" s="27" t="s">
        <v>60</v>
      </c>
      <c r="G5" s="29" t="s">
        <v>62</v>
      </c>
      <c r="H5" s="27" t="s">
        <v>60</v>
      </c>
      <c r="I5" s="27" t="s">
        <v>63</v>
      </c>
      <c r="J5" s="27" t="s">
        <v>64</v>
      </c>
      <c r="K5" s="27" t="s">
        <v>65</v>
      </c>
      <c r="L5" s="27" t="s">
        <v>66</v>
      </c>
      <c r="M5" s="27" t="s">
        <v>67</v>
      </c>
      <c r="N5" s="27" t="s">
        <v>68</v>
      </c>
      <c r="O5" s="27" t="s">
        <v>69</v>
      </c>
      <c r="P5" s="27" t="s">
        <v>70</v>
      </c>
      <c r="Q5" s="27" t="s">
        <v>60</v>
      </c>
      <c r="R5" s="27" t="s">
        <v>71</v>
      </c>
      <c r="S5" s="27" t="s">
        <v>72</v>
      </c>
      <c r="T5" s="27" t="s">
        <v>60</v>
      </c>
      <c r="U5" s="27" t="s">
        <v>60</v>
      </c>
      <c r="V5" s="27" t="s">
        <v>73</v>
      </c>
      <c r="W5" s="27" t="s">
        <v>74</v>
      </c>
      <c r="X5" s="27" t="s">
        <v>75</v>
      </c>
      <c r="Y5" s="27" t="s">
        <v>74</v>
      </c>
      <c r="Z5" s="27" t="s">
        <v>60</v>
      </c>
      <c r="AA5" s="27" t="s">
        <v>74</v>
      </c>
      <c r="AB5" s="27" t="s">
        <v>74</v>
      </c>
      <c r="AC5" s="27" t="s">
        <v>76</v>
      </c>
      <c r="AD5" s="27" t="s">
        <v>77</v>
      </c>
      <c r="AE5" s="27" t="s">
        <v>73</v>
      </c>
      <c r="AF5" s="27" t="s">
        <v>78</v>
      </c>
      <c r="AG5" s="27" t="s">
        <v>79</v>
      </c>
      <c r="AH5" s="27" t="s">
        <v>80</v>
      </c>
      <c r="AI5" s="27" t="s">
        <v>81</v>
      </c>
      <c r="AJ5" s="27" t="s">
        <v>82</v>
      </c>
      <c r="AK5" s="34" t="s">
        <v>60</v>
      </c>
      <c r="AL5" s="27" t="s">
        <v>60</v>
      </c>
      <c r="AM5" s="27" t="s">
        <v>74</v>
      </c>
      <c r="AN5" s="27" t="s">
        <v>74</v>
      </c>
      <c r="AO5" s="27" t="s">
        <v>60</v>
      </c>
      <c r="AP5" s="27" t="s">
        <v>74</v>
      </c>
      <c r="AQ5" s="34" t="s">
        <v>60</v>
      </c>
      <c r="AR5" s="34" t="s">
        <v>84</v>
      </c>
      <c r="AS5" s="34" t="s">
        <v>85</v>
      </c>
      <c r="AT5" s="27" t="s">
        <v>74</v>
      </c>
      <c r="AU5" s="27" t="s">
        <v>86</v>
      </c>
      <c r="AV5" s="27" t="s">
        <v>74</v>
      </c>
      <c r="AW5" s="27" t="s">
        <v>74</v>
      </c>
      <c r="AX5" s="27" t="s">
        <v>74</v>
      </c>
      <c r="AY5" s="27" t="s">
        <v>74</v>
      </c>
      <c r="AZ5" s="27" t="s">
        <v>74</v>
      </c>
      <c r="BA5" s="34" t="s">
        <v>87</v>
      </c>
      <c r="BB5" s="34" t="s">
        <v>88</v>
      </c>
      <c r="BC5" s="34" t="s">
        <v>74</v>
      </c>
    </row>
    <row r="6" spans="1:55" ht="15.75" customHeight="1">
      <c r="A6" s="46">
        <v>1</v>
      </c>
      <c r="B6" s="48">
        <v>751000</v>
      </c>
      <c r="C6" s="48">
        <v>251000</v>
      </c>
      <c r="D6" s="50">
        <v>15000</v>
      </c>
      <c r="E6" s="48">
        <v>1200</v>
      </c>
      <c r="F6" s="52">
        <v>24000</v>
      </c>
      <c r="G6" s="52">
        <v>250</v>
      </c>
      <c r="H6" s="52">
        <v>1404000</v>
      </c>
      <c r="I6" s="52">
        <v>50000</v>
      </c>
      <c r="J6" s="52">
        <v>185000</v>
      </c>
      <c r="K6" s="52">
        <v>100000</v>
      </c>
      <c r="L6" s="52">
        <v>300</v>
      </c>
      <c r="M6" s="52">
        <v>375000</v>
      </c>
      <c r="N6" s="52">
        <v>121800</v>
      </c>
      <c r="O6" s="52">
        <v>9500</v>
      </c>
      <c r="P6" s="52">
        <v>160000</v>
      </c>
      <c r="Q6" s="52">
        <v>12000</v>
      </c>
      <c r="R6" s="52">
        <v>1200000</v>
      </c>
      <c r="S6" s="52">
        <v>640000</v>
      </c>
      <c r="T6" s="52">
        <v>160000</v>
      </c>
      <c r="U6" s="52" t="s">
        <v>93</v>
      </c>
      <c r="V6" s="52">
        <v>360000</v>
      </c>
      <c r="W6" s="52">
        <v>500</v>
      </c>
      <c r="X6" s="52">
        <v>400000</v>
      </c>
      <c r="Y6" s="52">
        <v>30000</v>
      </c>
      <c r="Z6" s="52">
        <v>1040</v>
      </c>
      <c r="AA6" s="52">
        <v>80000</v>
      </c>
      <c r="AB6" s="52">
        <v>1500</v>
      </c>
      <c r="AC6" s="52">
        <v>8200</v>
      </c>
      <c r="AD6" s="52">
        <v>1000</v>
      </c>
      <c r="AE6" s="52">
        <v>630000</v>
      </c>
      <c r="AF6" s="52">
        <v>250</v>
      </c>
      <c r="AG6" s="52">
        <v>2000</v>
      </c>
      <c r="AH6" s="52">
        <v>490000</v>
      </c>
      <c r="AI6" s="52">
        <v>800000</v>
      </c>
      <c r="AJ6" s="52">
        <v>10000</v>
      </c>
      <c r="AK6" s="52">
        <v>2</v>
      </c>
      <c r="AL6" s="52">
        <f>2*AL49*Inputs!AM49</f>
        <v>59.88</v>
      </c>
      <c r="AM6" s="52">
        <f>150+(2*$AM$44*Inputs!$AN$49)</f>
        <v>226.76923076923077</v>
      </c>
      <c r="AN6" s="52">
        <v>20</v>
      </c>
      <c r="AO6" s="52">
        <f>2*AO44*Inputs!AP49</f>
        <v>3.4597333333333333</v>
      </c>
      <c r="AP6" s="52">
        <v>14</v>
      </c>
      <c r="AQ6" s="52">
        <v>5</v>
      </c>
      <c r="AR6" s="52">
        <v>10000</v>
      </c>
      <c r="AS6" s="52">
        <v>148500</v>
      </c>
      <c r="AT6" s="52">
        <v>1000</v>
      </c>
      <c r="AU6" s="52">
        <v>60000</v>
      </c>
      <c r="AV6" s="52">
        <v>10000</v>
      </c>
      <c r="AW6" s="52">
        <v>2000</v>
      </c>
      <c r="AX6" s="52">
        <v>522</v>
      </c>
      <c r="AY6" s="52">
        <v>500000</v>
      </c>
      <c r="AZ6" s="52">
        <v>25000</v>
      </c>
      <c r="BA6" s="52">
        <v>175000</v>
      </c>
      <c r="BB6" s="52">
        <v>20</v>
      </c>
      <c r="BC6" s="52">
        <v>250000</v>
      </c>
    </row>
    <row r="7" spans="1:55" ht="15.75" customHeight="1">
      <c r="A7" s="46">
        <v>2</v>
      </c>
      <c r="B7" s="48">
        <v>502000</v>
      </c>
      <c r="C7" s="48">
        <v>127000</v>
      </c>
      <c r="D7" s="50">
        <v>35000</v>
      </c>
      <c r="E7" s="48">
        <v>6000</v>
      </c>
      <c r="F7" s="52">
        <v>31000</v>
      </c>
      <c r="G7" s="52">
        <v>180</v>
      </c>
      <c r="H7" s="52">
        <v>852000</v>
      </c>
      <c r="I7" s="52">
        <f>30*5000</f>
        <v>150000</v>
      </c>
      <c r="J7" s="52">
        <v>245000</v>
      </c>
      <c r="K7" s="52">
        <v>125000</v>
      </c>
      <c r="L7" s="52">
        <v>500</v>
      </c>
      <c r="M7" s="52">
        <v>787500</v>
      </c>
      <c r="N7" s="52">
        <v>457000</v>
      </c>
      <c r="O7" s="52">
        <v>9500</v>
      </c>
      <c r="P7" s="52">
        <v>210000</v>
      </c>
      <c r="Q7" s="52">
        <v>19200</v>
      </c>
      <c r="R7" s="52">
        <v>1200000</v>
      </c>
      <c r="S7" s="52">
        <v>640000</v>
      </c>
      <c r="T7" s="52">
        <v>220000</v>
      </c>
      <c r="U7" s="52" t="s">
        <v>98</v>
      </c>
      <c r="V7" s="52">
        <v>180000</v>
      </c>
      <c r="W7" s="52">
        <v>1000</v>
      </c>
      <c r="X7" s="52">
        <v>1100000</v>
      </c>
      <c r="Y7" s="52">
        <v>30000</v>
      </c>
      <c r="Z7" s="52">
        <v>580</v>
      </c>
      <c r="AA7" s="52">
        <v>85000</v>
      </c>
      <c r="AB7" s="52">
        <v>152</v>
      </c>
      <c r="AC7" s="52">
        <v>4900</v>
      </c>
      <c r="AD7" s="52">
        <v>1000</v>
      </c>
      <c r="AE7" s="52">
        <v>210000</v>
      </c>
      <c r="AF7" s="52">
        <v>700</v>
      </c>
      <c r="AG7" s="52">
        <v>4000</v>
      </c>
      <c r="AH7" s="52">
        <v>500000</v>
      </c>
      <c r="AI7" s="52">
        <v>90000</v>
      </c>
      <c r="AJ7" s="52">
        <v>20000</v>
      </c>
      <c r="AK7" s="52">
        <f>2000*AK44*Inputs!AL49</f>
        <v>22.681818181818183</v>
      </c>
      <c r="AL7" s="52">
        <v>3</v>
      </c>
      <c r="AM7" s="52">
        <f>150+(2*$AM$44*Inputs!$AN$49)</f>
        <v>226.76923076923077</v>
      </c>
      <c r="AN7" s="52">
        <v>20</v>
      </c>
      <c r="AO7" s="52">
        <v>5</v>
      </c>
      <c r="AP7" s="52">
        <v>14</v>
      </c>
      <c r="AQ7" s="52">
        <v>12</v>
      </c>
      <c r="AR7" s="52">
        <v>20000</v>
      </c>
      <c r="AS7" s="52">
        <v>93600</v>
      </c>
      <c r="AT7" s="52">
        <v>1000</v>
      </c>
      <c r="AU7" s="52">
        <v>30000</v>
      </c>
      <c r="AV7" s="52">
        <v>15000</v>
      </c>
      <c r="AW7" s="52">
        <v>3000</v>
      </c>
      <c r="AX7" s="52">
        <v>522</v>
      </c>
      <c r="AY7" s="52">
        <f>(530286+((35*AY44)*Inputs!AZ49))</f>
        <v>1578186</v>
      </c>
      <c r="AZ7" s="52">
        <v>35000</v>
      </c>
      <c r="BA7" s="52">
        <v>150000</v>
      </c>
      <c r="BB7" s="52">
        <v>20</v>
      </c>
      <c r="BC7" s="52">
        <v>500000</v>
      </c>
    </row>
    <row r="8" spans="1:55" ht="15.75" customHeight="1">
      <c r="A8" s="46">
        <v>3</v>
      </c>
      <c r="B8" s="48">
        <v>778000</v>
      </c>
      <c r="C8" s="48">
        <v>53000</v>
      </c>
      <c r="D8" s="50">
        <v>40000</v>
      </c>
      <c r="E8" s="48">
        <v>20250</v>
      </c>
      <c r="F8" s="52">
        <v>7000</v>
      </c>
      <c r="G8" s="52">
        <v>500</v>
      </c>
      <c r="H8" s="52">
        <v>876000</v>
      </c>
      <c r="I8" s="52">
        <f>35*5200</f>
        <v>182000</v>
      </c>
      <c r="J8" s="52">
        <v>330000</v>
      </c>
      <c r="K8" s="52">
        <v>130000</v>
      </c>
      <c r="L8" s="52">
        <v>300</v>
      </c>
      <c r="M8" s="52">
        <v>1406250</v>
      </c>
      <c r="N8" s="52">
        <v>99000</v>
      </c>
      <c r="O8" s="52">
        <v>9500</v>
      </c>
      <c r="P8" s="52">
        <v>290000</v>
      </c>
      <c r="Q8" s="52">
        <v>25200</v>
      </c>
      <c r="R8" s="52">
        <v>1200000</v>
      </c>
      <c r="S8" s="52">
        <v>640000</v>
      </c>
      <c r="T8" s="52">
        <v>280000</v>
      </c>
      <c r="U8" s="52" t="s">
        <v>116</v>
      </c>
      <c r="V8" s="52">
        <v>360000</v>
      </c>
      <c r="W8" s="52">
        <v>1500</v>
      </c>
      <c r="X8" s="52">
        <v>900000</v>
      </c>
      <c r="Y8" s="52">
        <v>30000</v>
      </c>
      <c r="Z8" s="52">
        <v>1620</v>
      </c>
      <c r="AA8" s="52">
        <v>65000</v>
      </c>
      <c r="AB8" s="52">
        <v>197</v>
      </c>
      <c r="AC8" s="52">
        <v>7400</v>
      </c>
      <c r="AD8" s="52">
        <v>1000</v>
      </c>
      <c r="AE8" s="52">
        <v>630000</v>
      </c>
      <c r="AF8" s="52">
        <v>600</v>
      </c>
      <c r="AG8" s="52">
        <v>2500</v>
      </c>
      <c r="AH8" s="52">
        <v>510000</v>
      </c>
      <c r="AI8" s="52">
        <v>100000</v>
      </c>
      <c r="AJ8" s="52">
        <v>30000</v>
      </c>
      <c r="AK8" s="52">
        <f>2*AK54*Inputs!AL49</f>
        <v>5</v>
      </c>
      <c r="AL8" s="52">
        <f>5000*AL44*Inputs!AM49</f>
        <v>49.95</v>
      </c>
      <c r="AM8" s="52">
        <f>150+(2*$AM$44*Inputs!$AN$49)</f>
        <v>226.76923076923077</v>
      </c>
      <c r="AN8" s="52">
        <v>20</v>
      </c>
      <c r="AO8" s="52">
        <v>3</v>
      </c>
      <c r="AP8" s="52">
        <v>14</v>
      </c>
      <c r="AQ8" s="52">
        <v>5</v>
      </c>
      <c r="AR8" s="52">
        <v>40000</v>
      </c>
      <c r="AS8" s="52">
        <v>487500</v>
      </c>
      <c r="AT8" s="52">
        <v>1000</v>
      </c>
      <c r="AU8" s="52">
        <v>60000</v>
      </c>
      <c r="AV8" s="52">
        <v>22500</v>
      </c>
      <c r="AW8" s="52">
        <v>5000</v>
      </c>
      <c r="AX8" s="52">
        <v>522</v>
      </c>
      <c r="AY8" s="52">
        <v>1000000</v>
      </c>
      <c r="AZ8" s="52">
        <v>45000</v>
      </c>
      <c r="BA8" s="52">
        <v>340000</v>
      </c>
      <c r="BB8" s="52">
        <v>20</v>
      </c>
      <c r="BC8" s="52">
        <v>250000</v>
      </c>
    </row>
    <row r="9" spans="1:55" ht="15.75" customHeight="1">
      <c r="A9" s="46">
        <v>4</v>
      </c>
      <c r="B9" s="48">
        <v>504000</v>
      </c>
      <c r="C9" s="48">
        <v>254000</v>
      </c>
      <c r="D9" s="50">
        <v>73000</v>
      </c>
      <c r="E9" s="48">
        <v>13500</v>
      </c>
      <c r="F9" s="52">
        <v>81000</v>
      </c>
      <c r="G9" s="52">
        <v>500</v>
      </c>
      <c r="H9" s="52">
        <v>916000</v>
      </c>
      <c r="I9" s="52">
        <f>40*5000</f>
        <v>200000</v>
      </c>
      <c r="J9" s="52">
        <v>445000</v>
      </c>
      <c r="K9" s="52">
        <v>140000</v>
      </c>
      <c r="L9" s="52">
        <v>2500</v>
      </c>
      <c r="M9" s="52">
        <v>1350000</v>
      </c>
      <c r="N9" s="52">
        <v>161000</v>
      </c>
      <c r="O9" s="52">
        <v>9500</v>
      </c>
      <c r="P9" s="52">
        <v>390000</v>
      </c>
      <c r="Q9" s="52">
        <v>79543</v>
      </c>
      <c r="R9" s="52">
        <v>1200000</v>
      </c>
      <c r="S9" s="52">
        <v>640000</v>
      </c>
      <c r="T9" s="52">
        <v>240000</v>
      </c>
      <c r="U9" s="52" t="s">
        <v>129</v>
      </c>
      <c r="V9" s="52">
        <v>360000</v>
      </c>
      <c r="W9" s="52">
        <v>2000</v>
      </c>
      <c r="X9" s="52">
        <v>4400000</v>
      </c>
      <c r="Y9" s="52">
        <v>30000</v>
      </c>
      <c r="Z9" s="52">
        <v>1660</v>
      </c>
      <c r="AA9" s="52">
        <v>85000</v>
      </c>
      <c r="AB9" s="52">
        <v>360</v>
      </c>
      <c r="AC9" s="52">
        <v>7400</v>
      </c>
      <c r="AD9" s="52">
        <v>1000</v>
      </c>
      <c r="AE9" s="52">
        <v>420000</v>
      </c>
      <c r="AF9" s="52">
        <v>350</v>
      </c>
      <c r="AG9" s="52">
        <v>3500</v>
      </c>
      <c r="AH9" s="52">
        <v>525000</v>
      </c>
      <c r="AI9" s="52">
        <v>100000</v>
      </c>
      <c r="AJ9" s="52">
        <v>40000</v>
      </c>
      <c r="AK9" s="52">
        <f>1*AK54*Inputs!AL49</f>
        <v>2.5</v>
      </c>
      <c r="AL9" s="52">
        <v>3</v>
      </c>
      <c r="AM9" s="52">
        <f>150+(2*$AM$44*Inputs!$AN$49)</f>
        <v>226.76923076923077</v>
      </c>
      <c r="AN9" s="52">
        <v>20</v>
      </c>
      <c r="AO9" s="52">
        <v>5</v>
      </c>
      <c r="AP9" s="52">
        <v>14</v>
      </c>
      <c r="AQ9" s="52">
        <f>1000*AQ44*Inputs!AR49</f>
        <v>9.98</v>
      </c>
      <c r="AR9" s="52">
        <v>50000</v>
      </c>
      <c r="AS9" s="52">
        <v>380625</v>
      </c>
      <c r="AT9" s="52">
        <v>1000</v>
      </c>
      <c r="AU9" s="52">
        <v>90000</v>
      </c>
      <c r="AV9" s="52">
        <v>30000</v>
      </c>
      <c r="AW9" s="52">
        <v>7000</v>
      </c>
      <c r="AX9" s="52">
        <v>522</v>
      </c>
      <c r="AY9" s="52">
        <v>1400000</v>
      </c>
      <c r="AZ9" s="52">
        <v>55000</v>
      </c>
      <c r="BA9" s="52">
        <v>300000</v>
      </c>
      <c r="BB9" s="52">
        <v>20</v>
      </c>
      <c r="BC9" s="52">
        <v>250000</v>
      </c>
    </row>
    <row r="10" spans="1:55" ht="15.75" customHeight="1">
      <c r="A10" s="46">
        <v>5</v>
      </c>
      <c r="B10" s="48">
        <v>1505000</v>
      </c>
      <c r="C10" s="48">
        <v>205000</v>
      </c>
      <c r="D10" s="50">
        <v>50000</v>
      </c>
      <c r="E10" s="48">
        <v>13500</v>
      </c>
      <c r="F10" s="52">
        <v>66000</v>
      </c>
      <c r="G10" s="52">
        <v>500</v>
      </c>
      <c r="H10" s="52">
        <v>964000</v>
      </c>
      <c r="I10" s="52">
        <f>40*7000</f>
        <v>280000</v>
      </c>
      <c r="J10" s="52">
        <v>600000</v>
      </c>
      <c r="K10" s="52">
        <v>155000</v>
      </c>
      <c r="L10" s="52">
        <v>300</v>
      </c>
      <c r="M10" s="52">
        <v>2343750</v>
      </c>
      <c r="N10" s="52">
        <v>102500</v>
      </c>
      <c r="O10" s="52">
        <v>9500</v>
      </c>
      <c r="P10" s="52">
        <v>520000</v>
      </c>
      <c r="Q10" s="52">
        <v>65100</v>
      </c>
      <c r="R10" s="52">
        <v>1200000</v>
      </c>
      <c r="S10" s="52">
        <v>640000</v>
      </c>
      <c r="T10" s="52">
        <v>1050000</v>
      </c>
      <c r="U10" s="52" t="s">
        <v>150</v>
      </c>
      <c r="V10" s="52">
        <v>540000</v>
      </c>
      <c r="W10" s="52">
        <v>2500</v>
      </c>
      <c r="X10" s="52">
        <v>1700000</v>
      </c>
      <c r="Y10" s="52">
        <v>30000</v>
      </c>
      <c r="Z10" s="52">
        <v>1200</v>
      </c>
      <c r="AA10" s="52">
        <v>157500</v>
      </c>
      <c r="AB10" s="52">
        <v>225</v>
      </c>
      <c r="AC10" s="52">
        <v>6200</v>
      </c>
      <c r="AD10" s="52">
        <v>1000</v>
      </c>
      <c r="AE10" s="52">
        <v>420000</v>
      </c>
      <c r="AF10" s="52">
        <v>900</v>
      </c>
      <c r="AG10" s="52">
        <v>5000</v>
      </c>
      <c r="AH10" s="52">
        <v>545000</v>
      </c>
      <c r="AI10" s="52">
        <v>20000</v>
      </c>
      <c r="AJ10" s="52">
        <v>50000</v>
      </c>
      <c r="AK10" s="52">
        <f>1*AK49*Inputs!AL49</f>
        <v>1.4925000000000002</v>
      </c>
      <c r="AL10" s="52">
        <f>5*AL49*Inputs!AM49</f>
        <v>149.70000000000002</v>
      </c>
      <c r="AM10" s="52">
        <f>150+(2*AM44*Inputs!AN49)</f>
        <v>226.76923076923077</v>
      </c>
      <c r="AN10" s="52">
        <v>20</v>
      </c>
      <c r="AO10" s="52">
        <v>3</v>
      </c>
      <c r="AP10" s="52">
        <v>14</v>
      </c>
      <c r="AQ10" s="52">
        <v>50</v>
      </c>
      <c r="AR10" s="52">
        <v>50000</v>
      </c>
      <c r="AS10" s="52">
        <v>720000</v>
      </c>
      <c r="AT10" s="52">
        <v>1000</v>
      </c>
      <c r="AU10" s="52">
        <v>90000</v>
      </c>
      <c r="AV10" s="52">
        <v>100000</v>
      </c>
      <c r="AW10" s="52">
        <v>10000</v>
      </c>
      <c r="AX10" s="52">
        <v>522</v>
      </c>
      <c r="AY10" s="52">
        <f>40*AY44*Inputs!AZ49</f>
        <v>1197600.0000000002</v>
      </c>
      <c r="AZ10" s="52">
        <v>90000</v>
      </c>
      <c r="BA10" s="52">
        <v>200000</v>
      </c>
      <c r="BB10" s="52">
        <v>20</v>
      </c>
      <c r="BC10" s="52">
        <v>250000</v>
      </c>
    </row>
    <row r="11" spans="1:55" ht="15.75" customHeight="1">
      <c r="A11" s="46"/>
      <c r="B11" s="80"/>
      <c r="C11" s="80"/>
      <c r="D11" s="80"/>
      <c r="E11" s="80"/>
      <c r="F11" s="82"/>
      <c r="G11" s="80"/>
      <c r="H11" s="80"/>
      <c r="I11" s="82"/>
      <c r="J11" s="82"/>
      <c r="K11" s="80"/>
      <c r="L11" s="80"/>
      <c r="M11" s="85"/>
      <c r="N11" s="82"/>
      <c r="O11" s="85"/>
      <c r="P11" s="82"/>
      <c r="Q11" s="80"/>
      <c r="R11" s="82"/>
      <c r="S11" s="82"/>
      <c r="T11" s="82"/>
      <c r="U11" s="80"/>
      <c r="V11" s="80"/>
      <c r="W11" s="80"/>
      <c r="X11" s="80"/>
      <c r="Y11" s="82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2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5"/>
      <c r="BA11" s="85"/>
      <c r="BB11" s="85"/>
      <c r="BC11" s="85"/>
    </row>
    <row r="12" spans="1:55" ht="15.75" customHeight="1">
      <c r="A12" s="86" t="s">
        <v>160</v>
      </c>
      <c r="B12" s="29" t="s">
        <v>161</v>
      </c>
      <c r="C12" s="29" t="s">
        <v>162</v>
      </c>
      <c r="D12" s="29" t="s">
        <v>163</v>
      </c>
      <c r="E12" s="29" t="s">
        <v>164</v>
      </c>
      <c r="F12" s="29" t="s">
        <v>165</v>
      </c>
      <c r="G12" s="27" t="s">
        <v>166</v>
      </c>
      <c r="H12" s="29" t="s">
        <v>167</v>
      </c>
      <c r="I12" s="29" t="s">
        <v>168</v>
      </c>
      <c r="J12" s="29" t="s">
        <v>169</v>
      </c>
      <c r="K12" s="29" t="s">
        <v>170</v>
      </c>
      <c r="L12" s="29" t="s">
        <v>171</v>
      </c>
      <c r="M12" s="88" t="s">
        <v>172</v>
      </c>
      <c r="N12" s="29" t="s">
        <v>173</v>
      </c>
      <c r="O12" s="88" t="s">
        <v>174</v>
      </c>
      <c r="P12" s="29" t="s">
        <v>175</v>
      </c>
      <c r="Q12" s="29" t="s">
        <v>176</v>
      </c>
      <c r="R12" s="29" t="s">
        <v>177</v>
      </c>
      <c r="S12" s="89" t="s">
        <v>178</v>
      </c>
      <c r="T12" s="29" t="s">
        <v>163</v>
      </c>
      <c r="U12" s="29" t="s">
        <v>179</v>
      </c>
      <c r="V12" s="29" t="s">
        <v>173</v>
      </c>
      <c r="W12" s="29" t="s">
        <v>180</v>
      </c>
      <c r="X12" s="29" t="s">
        <v>181</v>
      </c>
      <c r="Y12" s="29" t="s">
        <v>165</v>
      </c>
      <c r="Z12" s="29" t="s">
        <v>182</v>
      </c>
      <c r="AA12" s="29" t="s">
        <v>183</v>
      </c>
      <c r="AB12" s="89" t="s">
        <v>184</v>
      </c>
      <c r="AC12" s="29" t="s">
        <v>165</v>
      </c>
      <c r="AD12" s="29" t="s">
        <v>185</v>
      </c>
      <c r="AE12" s="29" t="s">
        <v>165</v>
      </c>
      <c r="AF12" s="29" t="s">
        <v>186</v>
      </c>
      <c r="AG12" s="29" t="s">
        <v>180</v>
      </c>
      <c r="AH12" s="29" t="s">
        <v>167</v>
      </c>
      <c r="AI12" s="29" t="s">
        <v>187</v>
      </c>
      <c r="AJ12" s="29" t="s">
        <v>188</v>
      </c>
      <c r="AK12" s="29" t="s">
        <v>74</v>
      </c>
      <c r="AL12" s="90" t="s">
        <v>189</v>
      </c>
      <c r="AM12" s="29" t="s">
        <v>162</v>
      </c>
      <c r="AN12" s="29" t="s">
        <v>190</v>
      </c>
      <c r="AO12" s="29" t="s">
        <v>191</v>
      </c>
      <c r="AP12" s="29" t="s">
        <v>162</v>
      </c>
      <c r="AQ12" s="89" t="s">
        <v>192</v>
      </c>
      <c r="AR12" s="27" t="s">
        <v>172</v>
      </c>
      <c r="AS12" s="92" t="s">
        <v>162</v>
      </c>
      <c r="AT12" s="29" t="s">
        <v>193</v>
      </c>
      <c r="AU12" s="29" t="s">
        <v>82</v>
      </c>
      <c r="AV12" s="29" t="s">
        <v>194</v>
      </c>
      <c r="AW12" s="29" t="s">
        <v>162</v>
      </c>
      <c r="AX12" s="29" t="s">
        <v>162</v>
      </c>
      <c r="AY12" s="29" t="s">
        <v>195</v>
      </c>
      <c r="AZ12" s="29" t="s">
        <v>196</v>
      </c>
      <c r="BA12" s="29" t="s">
        <v>162</v>
      </c>
      <c r="BB12" s="29" t="s">
        <v>197</v>
      </c>
      <c r="BC12" s="29" t="s">
        <v>198</v>
      </c>
    </row>
    <row r="13" spans="1:55" ht="15.75" customHeight="1">
      <c r="A13" s="46">
        <v>1</v>
      </c>
      <c r="B13" s="48">
        <v>100000</v>
      </c>
      <c r="C13" s="48" t="s">
        <v>199</v>
      </c>
      <c r="D13" s="50">
        <v>7700</v>
      </c>
      <c r="E13" s="50">
        <v>25000</v>
      </c>
      <c r="F13" s="52">
        <v>30000</v>
      </c>
      <c r="G13" s="50">
        <v>280</v>
      </c>
      <c r="H13" s="48">
        <v>50000</v>
      </c>
      <c r="I13" s="50">
        <v>70000</v>
      </c>
      <c r="J13" s="50">
        <v>600000</v>
      </c>
      <c r="K13" s="52">
        <v>500000</v>
      </c>
      <c r="L13" s="50">
        <v>1000</v>
      </c>
      <c r="M13" s="48">
        <v>500000</v>
      </c>
      <c r="N13" s="50">
        <v>55000</v>
      </c>
      <c r="O13" s="50">
        <v>11550</v>
      </c>
      <c r="P13" s="52">
        <v>980000</v>
      </c>
      <c r="Q13" s="50">
        <v>8000</v>
      </c>
      <c r="R13" s="48">
        <v>0</v>
      </c>
      <c r="S13" s="50" t="s">
        <v>199</v>
      </c>
      <c r="T13" s="50">
        <v>200000</v>
      </c>
      <c r="U13" s="52">
        <v>2000</v>
      </c>
      <c r="V13" s="50">
        <v>1166000</v>
      </c>
      <c r="W13" s="48">
        <v>500</v>
      </c>
      <c r="X13" s="50">
        <v>2793750</v>
      </c>
      <c r="Y13" s="50">
        <v>7500</v>
      </c>
      <c r="Z13" s="52">
        <v>60</v>
      </c>
      <c r="AA13" s="50">
        <v>120000</v>
      </c>
      <c r="AB13" s="48">
        <v>200</v>
      </c>
      <c r="AC13" s="50">
        <v>4140</v>
      </c>
      <c r="AD13" s="50">
        <v>1500</v>
      </c>
      <c r="AE13" s="52">
        <v>1534000</v>
      </c>
      <c r="AF13" s="50">
        <v>500</v>
      </c>
      <c r="AG13" s="48">
        <v>100</v>
      </c>
      <c r="AH13" s="50">
        <v>150000</v>
      </c>
      <c r="AI13" s="50">
        <v>20000</v>
      </c>
      <c r="AJ13" s="52">
        <v>30000</v>
      </c>
      <c r="AK13" s="50">
        <v>16</v>
      </c>
      <c r="AL13" s="48">
        <f>17+(600*$AL$44*Inputs!$AM$49)</f>
        <v>22.994</v>
      </c>
      <c r="AM13" s="50" t="s">
        <v>199</v>
      </c>
      <c r="AN13" s="50">
        <f>5*$AN$44*Inputs!$AO$49</f>
        <v>1.37225</v>
      </c>
      <c r="AO13" s="52">
        <v>5</v>
      </c>
      <c r="AP13" s="50" t="s">
        <v>199</v>
      </c>
      <c r="AQ13" s="48">
        <f>18+(500*$AQ$44*Inputs!$AR$49)</f>
        <v>22.990000000000002</v>
      </c>
      <c r="AR13" s="50">
        <v>600000</v>
      </c>
      <c r="AS13" s="50" t="s">
        <v>199</v>
      </c>
      <c r="AT13" s="52">
        <v>7200</v>
      </c>
      <c r="AU13" s="50">
        <v>1000000</v>
      </c>
      <c r="AV13" s="48">
        <v>15000</v>
      </c>
      <c r="AW13" s="50" t="s">
        <v>199</v>
      </c>
      <c r="AX13" s="50" t="s">
        <v>199</v>
      </c>
      <c r="AY13" s="52">
        <v>250000</v>
      </c>
      <c r="AZ13" s="52">
        <v>25000</v>
      </c>
      <c r="BA13" s="48" t="s">
        <v>199</v>
      </c>
      <c r="BB13" s="48">
        <v>160</v>
      </c>
      <c r="BC13" s="48">
        <f>5*$BC$44*Inputs!$BD$49</f>
        <v>89107.142857142855</v>
      </c>
    </row>
    <row r="14" spans="1:55" ht="15.75" customHeight="1">
      <c r="A14" s="46">
        <v>2</v>
      </c>
      <c r="B14" s="48">
        <v>100000</v>
      </c>
      <c r="C14" s="48" t="s">
        <v>199</v>
      </c>
      <c r="D14" s="50">
        <v>7000</v>
      </c>
      <c r="E14" s="50">
        <v>2500</v>
      </c>
      <c r="F14" s="52">
        <v>30000</v>
      </c>
      <c r="G14" s="50">
        <v>560</v>
      </c>
      <c r="H14" s="48">
        <v>50000</v>
      </c>
      <c r="I14" s="50">
        <v>70000</v>
      </c>
      <c r="J14" s="50">
        <v>600000</v>
      </c>
      <c r="K14" s="52">
        <v>400000</v>
      </c>
      <c r="L14" s="50">
        <v>1000</v>
      </c>
      <c r="M14" s="48">
        <v>500000</v>
      </c>
      <c r="N14" s="50">
        <v>60000</v>
      </c>
      <c r="O14" s="50">
        <v>13750</v>
      </c>
      <c r="P14" s="52">
        <v>1100000</v>
      </c>
      <c r="Q14" s="50">
        <v>8000</v>
      </c>
      <c r="R14" s="48">
        <v>150000</v>
      </c>
      <c r="S14" s="50" t="s">
        <v>199</v>
      </c>
      <c r="T14" s="50">
        <v>193750</v>
      </c>
      <c r="U14" s="52">
        <v>2000</v>
      </c>
      <c r="V14" s="50">
        <v>1189000</v>
      </c>
      <c r="W14" s="48">
        <v>500</v>
      </c>
      <c r="X14" s="50">
        <v>930000</v>
      </c>
      <c r="Y14" s="50">
        <v>7500</v>
      </c>
      <c r="Z14" s="52">
        <v>60</v>
      </c>
      <c r="AA14" s="50">
        <v>120000</v>
      </c>
      <c r="AB14" s="48">
        <v>200</v>
      </c>
      <c r="AC14" s="50">
        <v>4140</v>
      </c>
      <c r="AD14" s="50">
        <v>2000</v>
      </c>
      <c r="AE14" s="52">
        <v>1520000</v>
      </c>
      <c r="AF14" s="50">
        <v>500</v>
      </c>
      <c r="AG14" s="48">
        <v>100</v>
      </c>
      <c r="AH14" s="50">
        <v>150000</v>
      </c>
      <c r="AI14" s="50">
        <v>45000</v>
      </c>
      <c r="AJ14" s="52">
        <v>160000</v>
      </c>
      <c r="AK14" s="50">
        <v>16</v>
      </c>
      <c r="AL14" s="48">
        <f>17+(600*$AL$44*Inputs!$AM$49)</f>
        <v>22.994</v>
      </c>
      <c r="AM14" s="50" t="s">
        <v>199</v>
      </c>
      <c r="AN14" s="50">
        <f>5*$AN$44*Inputs!$AO$49</f>
        <v>1.37225</v>
      </c>
      <c r="AO14" s="52">
        <v>6</v>
      </c>
      <c r="AP14" s="50" t="s">
        <v>199</v>
      </c>
      <c r="AQ14" s="48">
        <f>18+(500*$AQ$44*Inputs!$AR$49)</f>
        <v>22.990000000000002</v>
      </c>
      <c r="AR14" s="50">
        <v>400000</v>
      </c>
      <c r="AS14" s="50" t="s">
        <v>199</v>
      </c>
      <c r="AT14" s="52">
        <v>9300</v>
      </c>
      <c r="AU14" s="50">
        <v>13500000</v>
      </c>
      <c r="AV14" s="48">
        <v>30000</v>
      </c>
      <c r="AW14" s="50" t="s">
        <v>199</v>
      </c>
      <c r="AX14" s="50" t="s">
        <v>199</v>
      </c>
      <c r="AY14" s="52">
        <v>500000</v>
      </c>
      <c r="AZ14" s="52">
        <v>25000</v>
      </c>
      <c r="BA14" s="48" t="s">
        <v>199</v>
      </c>
      <c r="BB14" s="48">
        <v>160</v>
      </c>
      <c r="BC14" s="48">
        <f>5*$BC$44*Inputs!$BD$49</f>
        <v>89107.142857142855</v>
      </c>
    </row>
    <row r="15" spans="1:55" ht="15.75" customHeight="1">
      <c r="A15" s="46">
        <v>3</v>
      </c>
      <c r="B15" s="48">
        <v>100000</v>
      </c>
      <c r="C15" s="48" t="s">
        <v>199</v>
      </c>
      <c r="D15" s="50">
        <v>7350</v>
      </c>
      <c r="E15" s="50">
        <v>500</v>
      </c>
      <c r="F15" s="52">
        <v>30000</v>
      </c>
      <c r="G15" s="50">
        <v>490</v>
      </c>
      <c r="H15" s="48">
        <v>50000</v>
      </c>
      <c r="I15" s="50">
        <v>70000</v>
      </c>
      <c r="J15" s="50">
        <v>600000</v>
      </c>
      <c r="K15" s="52">
        <v>300000</v>
      </c>
      <c r="L15" s="50">
        <v>1000</v>
      </c>
      <c r="M15" s="48">
        <v>750000</v>
      </c>
      <c r="N15" s="50">
        <v>75000</v>
      </c>
      <c r="O15" s="50">
        <v>13750</v>
      </c>
      <c r="P15" s="52">
        <v>1300000</v>
      </c>
      <c r="Q15" s="50">
        <v>8000</v>
      </c>
      <c r="R15" s="48">
        <v>300000</v>
      </c>
      <c r="S15" s="50" t="s">
        <v>199</v>
      </c>
      <c r="T15" s="50">
        <v>181250</v>
      </c>
      <c r="U15" s="52">
        <v>2000</v>
      </c>
      <c r="V15" s="50">
        <v>867000</v>
      </c>
      <c r="W15" s="48">
        <v>500</v>
      </c>
      <c r="X15" s="50">
        <v>1390000</v>
      </c>
      <c r="Y15" s="50">
        <v>7500</v>
      </c>
      <c r="Z15" s="52">
        <v>60</v>
      </c>
      <c r="AA15" s="50">
        <v>120000</v>
      </c>
      <c r="AB15" s="48">
        <v>200</v>
      </c>
      <c r="AC15" s="50">
        <v>4140</v>
      </c>
      <c r="AD15" s="50">
        <v>1000</v>
      </c>
      <c r="AE15" s="52">
        <v>484000</v>
      </c>
      <c r="AF15" s="50">
        <v>500</v>
      </c>
      <c r="AG15" s="48">
        <v>100</v>
      </c>
      <c r="AH15" s="50">
        <v>150000</v>
      </c>
      <c r="AI15" s="50">
        <v>35000</v>
      </c>
      <c r="AJ15" s="52">
        <v>450000</v>
      </c>
      <c r="AK15" s="50">
        <v>16</v>
      </c>
      <c r="AL15" s="48">
        <f>17+(600*$AL$44*Inputs!$AM$49)</f>
        <v>22.994</v>
      </c>
      <c r="AM15" s="50" t="s">
        <v>199</v>
      </c>
      <c r="AN15" s="50">
        <f>5*$AN$44*Inputs!$AO$49</f>
        <v>1.37225</v>
      </c>
      <c r="AO15" s="52">
        <v>7</v>
      </c>
      <c r="AP15" s="50" t="s">
        <v>199</v>
      </c>
      <c r="AQ15" s="48">
        <f>18+(500*$AQ$44*Inputs!$AR$49)</f>
        <v>22.990000000000002</v>
      </c>
      <c r="AR15" s="50">
        <v>150000</v>
      </c>
      <c r="AS15" s="50" t="s">
        <v>199</v>
      </c>
      <c r="AT15" s="52">
        <v>7200</v>
      </c>
      <c r="AU15" s="50">
        <v>1600000</v>
      </c>
      <c r="AV15" s="48">
        <v>15000</v>
      </c>
      <c r="AW15" s="50" t="s">
        <v>199</v>
      </c>
      <c r="AX15" s="50" t="s">
        <v>199</v>
      </c>
      <c r="AY15" s="52">
        <v>400000</v>
      </c>
      <c r="AZ15" s="52">
        <v>25000</v>
      </c>
      <c r="BA15" s="48" t="s">
        <v>199</v>
      </c>
      <c r="BB15" s="48">
        <v>160</v>
      </c>
      <c r="BC15" s="48">
        <f>5*$BC$44*Inputs!$BD$49</f>
        <v>89107.142857142855</v>
      </c>
    </row>
    <row r="16" spans="1:55" ht="15.75" customHeight="1">
      <c r="A16" s="46">
        <v>4</v>
      </c>
      <c r="B16" s="48">
        <v>100000</v>
      </c>
      <c r="C16" s="48" t="s">
        <v>199</v>
      </c>
      <c r="D16" s="50">
        <v>7350</v>
      </c>
      <c r="E16" s="50">
        <v>100</v>
      </c>
      <c r="F16" s="52">
        <v>30000</v>
      </c>
      <c r="G16" s="50">
        <v>350</v>
      </c>
      <c r="H16" s="48">
        <v>50000</v>
      </c>
      <c r="I16" s="50">
        <v>100000</v>
      </c>
      <c r="J16" s="50">
        <v>600000</v>
      </c>
      <c r="K16" s="52">
        <v>600000</v>
      </c>
      <c r="L16" s="50">
        <v>1000</v>
      </c>
      <c r="M16" s="48">
        <v>500000</v>
      </c>
      <c r="N16" s="50">
        <v>55000</v>
      </c>
      <c r="O16" s="50">
        <v>14725</v>
      </c>
      <c r="P16" s="52">
        <f>5*P83</f>
        <v>3500000</v>
      </c>
      <c r="Q16" s="50">
        <v>8000</v>
      </c>
      <c r="R16" s="48">
        <v>450000</v>
      </c>
      <c r="S16" s="50" t="s">
        <v>199</v>
      </c>
      <c r="T16" s="50">
        <v>193750</v>
      </c>
      <c r="U16" s="52">
        <v>2000</v>
      </c>
      <c r="V16" s="50">
        <v>1027000</v>
      </c>
      <c r="W16" s="48">
        <v>500</v>
      </c>
      <c r="X16" s="50">
        <v>1820000</v>
      </c>
      <c r="Y16" s="50">
        <v>7500</v>
      </c>
      <c r="Z16" s="52">
        <v>60</v>
      </c>
      <c r="AA16" s="50">
        <v>120000</v>
      </c>
      <c r="AB16" s="48">
        <v>200</v>
      </c>
      <c r="AC16" s="50">
        <v>4140</v>
      </c>
      <c r="AD16" s="50">
        <v>3000</v>
      </c>
      <c r="AE16" s="52">
        <v>722000</v>
      </c>
      <c r="AF16" s="50">
        <v>500</v>
      </c>
      <c r="AG16" s="48">
        <v>100</v>
      </c>
      <c r="AH16" s="50">
        <v>150000</v>
      </c>
      <c r="AI16" s="50">
        <v>45000</v>
      </c>
      <c r="AJ16" s="52">
        <v>200000</v>
      </c>
      <c r="AK16" s="50">
        <v>16</v>
      </c>
      <c r="AL16" s="48">
        <f>17+(600*$AL$44*Inputs!$AM$49)</f>
        <v>22.994</v>
      </c>
      <c r="AM16" s="50" t="s">
        <v>199</v>
      </c>
      <c r="AN16" s="50">
        <f>5*$AN$44*Inputs!$AO$49</f>
        <v>1.37225</v>
      </c>
      <c r="AO16" s="52">
        <v>8</v>
      </c>
      <c r="AP16" s="50" t="s">
        <v>199</v>
      </c>
      <c r="AQ16" s="48">
        <f>18+(500*$AQ$44*Inputs!$AR$49)</f>
        <v>22.990000000000002</v>
      </c>
      <c r="AR16" s="50">
        <v>350000</v>
      </c>
      <c r="AS16" s="50" t="s">
        <v>199</v>
      </c>
      <c r="AT16" s="52">
        <v>5100</v>
      </c>
      <c r="AU16" s="50">
        <v>2250000</v>
      </c>
      <c r="AV16" s="48">
        <v>12000</v>
      </c>
      <c r="AW16" s="50" t="s">
        <v>199</v>
      </c>
      <c r="AX16" s="50" t="s">
        <v>199</v>
      </c>
      <c r="AY16" s="52">
        <v>300000</v>
      </c>
      <c r="AZ16" s="52">
        <v>25000</v>
      </c>
      <c r="BA16" s="48" t="s">
        <v>199</v>
      </c>
      <c r="BB16" s="48">
        <v>160</v>
      </c>
      <c r="BC16" s="48">
        <f>5*$BC$44*Inputs!$BD$49</f>
        <v>89107.142857142855</v>
      </c>
    </row>
    <row r="17" spans="1:55" ht="15.75" customHeight="1">
      <c r="A17" s="46">
        <v>5</v>
      </c>
      <c r="B17" s="48">
        <v>100000</v>
      </c>
      <c r="C17" s="48" t="s">
        <v>199</v>
      </c>
      <c r="D17" s="50">
        <v>7350</v>
      </c>
      <c r="E17" s="50">
        <v>1000</v>
      </c>
      <c r="F17" s="52">
        <v>30000</v>
      </c>
      <c r="G17" s="50">
        <v>280</v>
      </c>
      <c r="H17" s="48">
        <v>50000</v>
      </c>
      <c r="I17" s="50">
        <v>100000</v>
      </c>
      <c r="J17" s="50">
        <v>600000</v>
      </c>
      <c r="K17" s="52">
        <v>630000</v>
      </c>
      <c r="L17" s="50">
        <v>1000</v>
      </c>
      <c r="M17" s="48">
        <v>500000</v>
      </c>
      <c r="N17" s="50">
        <v>95000</v>
      </c>
      <c r="O17" s="50">
        <v>48450</v>
      </c>
      <c r="P17" s="52">
        <v>1500000</v>
      </c>
      <c r="Q17" s="50">
        <v>8000</v>
      </c>
      <c r="R17" s="48">
        <v>600000</v>
      </c>
      <c r="S17" s="50" t="s">
        <v>199</v>
      </c>
      <c r="T17" s="50">
        <v>200000</v>
      </c>
      <c r="U17" s="52">
        <v>2000</v>
      </c>
      <c r="V17" s="50">
        <v>663000</v>
      </c>
      <c r="W17" s="48">
        <v>500</v>
      </c>
      <c r="X17" s="50">
        <v>1160000</v>
      </c>
      <c r="Y17" s="50">
        <v>7500</v>
      </c>
      <c r="Z17" s="52">
        <v>60</v>
      </c>
      <c r="AA17" s="50">
        <v>120000</v>
      </c>
      <c r="AB17" s="48">
        <v>200</v>
      </c>
      <c r="AC17" s="50">
        <v>4140</v>
      </c>
      <c r="AD17" s="50">
        <v>2500</v>
      </c>
      <c r="AE17" s="52">
        <v>2815000</v>
      </c>
      <c r="AF17" s="50">
        <v>500</v>
      </c>
      <c r="AG17" s="48">
        <v>100</v>
      </c>
      <c r="AH17" s="50">
        <v>150000</v>
      </c>
      <c r="AI17" s="50">
        <v>45000</v>
      </c>
      <c r="AJ17" s="52">
        <v>500000</v>
      </c>
      <c r="AK17" s="50">
        <v>16</v>
      </c>
      <c r="AL17" s="48">
        <f>17+(600*$AL$44*Inputs!$AM$49)</f>
        <v>22.994</v>
      </c>
      <c r="AM17" s="50" t="s">
        <v>199</v>
      </c>
      <c r="AN17" s="50">
        <f>5*$AN$44*Inputs!$AO$49</f>
        <v>1.37225</v>
      </c>
      <c r="AO17" s="52">
        <v>9</v>
      </c>
      <c r="AP17" s="50" t="s">
        <v>199</v>
      </c>
      <c r="AQ17" s="48">
        <f>18+(500*$AQ$44*Inputs!$AR$49)</f>
        <v>22.990000000000002</v>
      </c>
      <c r="AR17" s="50">
        <v>125000</v>
      </c>
      <c r="AS17" s="50" t="s">
        <v>199</v>
      </c>
      <c r="AT17" s="52">
        <v>8400</v>
      </c>
      <c r="AU17" s="50">
        <v>2100000</v>
      </c>
      <c r="AV17" s="48">
        <v>40000</v>
      </c>
      <c r="AW17" s="50" t="s">
        <v>199</v>
      </c>
      <c r="AX17" s="50" t="s">
        <v>199</v>
      </c>
      <c r="AY17" s="52">
        <v>200000</v>
      </c>
      <c r="AZ17" s="52">
        <v>25000</v>
      </c>
      <c r="BA17" s="48" t="s">
        <v>199</v>
      </c>
      <c r="BB17" s="48">
        <v>160</v>
      </c>
      <c r="BC17" s="48">
        <f>5*$BC$44*Inputs!$BD$49</f>
        <v>89107.142857142855</v>
      </c>
    </row>
    <row r="18" spans="1:55" ht="15.75" customHeight="1">
      <c r="A18" s="46"/>
      <c r="B18" s="80"/>
      <c r="C18" s="80"/>
      <c r="D18" s="80"/>
      <c r="E18" s="80"/>
      <c r="F18" s="82"/>
      <c r="G18" s="80"/>
      <c r="H18" s="80"/>
      <c r="I18" s="82"/>
      <c r="J18" s="82"/>
      <c r="K18" s="80"/>
      <c r="L18" s="80"/>
      <c r="M18" s="85"/>
      <c r="N18" s="82"/>
      <c r="O18" s="85"/>
      <c r="P18" s="82"/>
      <c r="Q18" s="80"/>
      <c r="R18" s="82"/>
      <c r="S18" s="82"/>
      <c r="T18" s="82"/>
      <c r="U18" s="80"/>
      <c r="V18" s="82"/>
      <c r="W18" s="82"/>
      <c r="X18" s="80"/>
      <c r="Y18" s="82"/>
      <c r="Z18" s="82"/>
      <c r="AA18" s="80"/>
      <c r="AB18" s="82"/>
      <c r="AC18" s="80"/>
      <c r="AD18" s="80"/>
      <c r="AE18" s="82"/>
      <c r="AF18" s="82"/>
      <c r="AG18" s="82"/>
      <c r="AH18" s="82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5"/>
      <c r="BA18" s="82"/>
      <c r="BB18" s="82"/>
      <c r="BC18" s="82"/>
    </row>
    <row r="19" spans="1:55" ht="15.75" customHeight="1">
      <c r="A19" s="86" t="s">
        <v>203</v>
      </c>
      <c r="B19" s="29" t="s">
        <v>204</v>
      </c>
      <c r="C19" s="29" t="s">
        <v>162</v>
      </c>
      <c r="D19" s="29" t="s">
        <v>205</v>
      </c>
      <c r="E19" s="29" t="s">
        <v>162</v>
      </c>
      <c r="F19" s="29" t="s">
        <v>162</v>
      </c>
      <c r="G19" s="29" t="s">
        <v>167</v>
      </c>
      <c r="H19" s="29" t="s">
        <v>162</v>
      </c>
      <c r="I19" s="29" t="s">
        <v>206</v>
      </c>
      <c r="J19" s="29" t="s">
        <v>207</v>
      </c>
      <c r="K19" s="29" t="s">
        <v>162</v>
      </c>
      <c r="L19" s="29" t="s">
        <v>172</v>
      </c>
      <c r="M19" s="29" t="s">
        <v>165</v>
      </c>
      <c r="N19" s="89" t="s">
        <v>162</v>
      </c>
      <c r="O19" s="88" t="s">
        <v>71</v>
      </c>
      <c r="P19" s="29" t="s">
        <v>207</v>
      </c>
      <c r="Q19" s="29" t="s">
        <v>208</v>
      </c>
      <c r="R19" s="29" t="s">
        <v>209</v>
      </c>
      <c r="S19" s="29" t="s">
        <v>162</v>
      </c>
      <c r="T19" s="29" t="s">
        <v>210</v>
      </c>
      <c r="U19" s="29" t="s">
        <v>211</v>
      </c>
      <c r="V19" s="29" t="s">
        <v>162</v>
      </c>
      <c r="W19" s="29" t="s">
        <v>162</v>
      </c>
      <c r="X19" s="29" t="s">
        <v>165</v>
      </c>
      <c r="Y19" s="29" t="s">
        <v>162</v>
      </c>
      <c r="Z19" s="29" t="s">
        <v>162</v>
      </c>
      <c r="AA19" s="29" t="s">
        <v>162</v>
      </c>
      <c r="AB19" s="29" t="s">
        <v>162</v>
      </c>
      <c r="AC19" s="29" t="s">
        <v>162</v>
      </c>
      <c r="AD19" s="29" t="s">
        <v>212</v>
      </c>
      <c r="AE19" s="29" t="s">
        <v>162</v>
      </c>
      <c r="AF19" s="29" t="s">
        <v>162</v>
      </c>
      <c r="AG19" s="29" t="s">
        <v>162</v>
      </c>
      <c r="AH19" s="29" t="s">
        <v>162</v>
      </c>
      <c r="AI19" s="29" t="s">
        <v>213</v>
      </c>
      <c r="AJ19" s="29" t="s">
        <v>214</v>
      </c>
      <c r="AK19" s="29" t="s">
        <v>162</v>
      </c>
      <c r="AL19" s="29" t="s">
        <v>162</v>
      </c>
      <c r="AM19" s="29" t="s">
        <v>162</v>
      </c>
      <c r="AN19" s="29" t="s">
        <v>162</v>
      </c>
      <c r="AO19" s="29" t="s">
        <v>215</v>
      </c>
      <c r="AP19" s="29" t="s">
        <v>162</v>
      </c>
      <c r="AQ19" s="29" t="s">
        <v>162</v>
      </c>
      <c r="AR19" s="29" t="s">
        <v>167</v>
      </c>
      <c r="AS19" s="29" t="s">
        <v>162</v>
      </c>
      <c r="AT19" s="29" t="s">
        <v>216</v>
      </c>
      <c r="AU19" s="29" t="s">
        <v>180</v>
      </c>
      <c r="AV19" s="29" t="s">
        <v>217</v>
      </c>
      <c r="AW19" s="29" t="s">
        <v>162</v>
      </c>
      <c r="AX19" s="29" t="s">
        <v>162</v>
      </c>
      <c r="AY19" s="29" t="s">
        <v>162</v>
      </c>
      <c r="AZ19" s="29" t="s">
        <v>162</v>
      </c>
      <c r="BA19" s="29" t="s">
        <v>162</v>
      </c>
      <c r="BB19" s="29" t="s">
        <v>218</v>
      </c>
      <c r="BC19" s="29" t="s">
        <v>162</v>
      </c>
    </row>
    <row r="20" spans="1:55" ht="15.75" customHeight="1">
      <c r="A20" s="46">
        <v>1</v>
      </c>
      <c r="B20" s="48">
        <f>Inputs!$C$49*$B$44</f>
        <v>429565.21739130432</v>
      </c>
      <c r="C20" s="48" t="s">
        <v>199</v>
      </c>
      <c r="D20" s="50">
        <v>2500</v>
      </c>
      <c r="E20" s="48" t="s">
        <v>199</v>
      </c>
      <c r="F20" s="48" t="s">
        <v>199</v>
      </c>
      <c r="G20" s="50">
        <v>140</v>
      </c>
      <c r="H20" s="50" t="s">
        <v>199</v>
      </c>
      <c r="I20" s="48">
        <v>452000</v>
      </c>
      <c r="J20" s="48">
        <v>1200000</v>
      </c>
      <c r="K20" s="50" t="s">
        <v>199</v>
      </c>
      <c r="L20" s="50">
        <v>440</v>
      </c>
      <c r="M20" s="48">
        <v>250000</v>
      </c>
      <c r="N20" s="48" t="s">
        <v>199</v>
      </c>
      <c r="O20" s="50">
        <v>4400</v>
      </c>
      <c r="P20" s="50">
        <v>2500000</v>
      </c>
      <c r="Q20" s="48" t="e">
        <f>5*#REF!</f>
        <v>#REF!</v>
      </c>
      <c r="R20" s="48">
        <v>712857</v>
      </c>
      <c r="S20" s="50" t="s">
        <v>199</v>
      </c>
      <c r="T20" s="50">
        <v>94500</v>
      </c>
      <c r="U20" s="48">
        <v>33000</v>
      </c>
      <c r="V20" s="48" t="s">
        <v>199</v>
      </c>
      <c r="W20" s="50" t="s">
        <v>199</v>
      </c>
      <c r="X20" s="50">
        <v>400000</v>
      </c>
      <c r="Y20" s="48" t="s">
        <v>199</v>
      </c>
      <c r="Z20" s="48" t="s">
        <v>199</v>
      </c>
      <c r="AA20" s="50" t="s">
        <v>199</v>
      </c>
      <c r="AB20" s="50" t="s">
        <v>199</v>
      </c>
      <c r="AC20" s="48" t="s">
        <v>199</v>
      </c>
      <c r="AD20" s="48">
        <v>2800</v>
      </c>
      <c r="AE20" s="50" t="s">
        <v>199</v>
      </c>
      <c r="AF20" s="50" t="s">
        <v>199</v>
      </c>
      <c r="AG20" s="48" t="s">
        <v>199</v>
      </c>
      <c r="AH20" s="48" t="s">
        <v>199</v>
      </c>
      <c r="AI20" s="50">
        <v>44000</v>
      </c>
      <c r="AJ20" s="50">
        <v>20000</v>
      </c>
      <c r="AK20" s="48" t="s">
        <v>199</v>
      </c>
      <c r="AL20" s="48" t="s">
        <v>199</v>
      </c>
      <c r="AM20" s="50" t="s">
        <v>199</v>
      </c>
      <c r="AN20" s="50" t="s">
        <v>199</v>
      </c>
      <c r="AO20" s="48">
        <v>4</v>
      </c>
      <c r="AP20" s="48" t="s">
        <v>199</v>
      </c>
      <c r="AQ20" s="50" t="s">
        <v>199</v>
      </c>
      <c r="AR20" s="50">
        <v>50000</v>
      </c>
      <c r="AS20" s="48" t="s">
        <v>199</v>
      </c>
      <c r="AT20" s="48">
        <v>3300</v>
      </c>
      <c r="AU20" s="50">
        <v>181000</v>
      </c>
      <c r="AV20" s="50">
        <v>5000</v>
      </c>
      <c r="AW20" s="48" t="s">
        <v>199</v>
      </c>
      <c r="AX20" s="48" t="s">
        <v>199</v>
      </c>
      <c r="AY20" s="50" t="s">
        <v>199</v>
      </c>
      <c r="AZ20" s="48" t="s">
        <v>199</v>
      </c>
      <c r="BA20" s="48" t="s">
        <v>199</v>
      </c>
      <c r="BB20" s="48">
        <f>3*BB44*Inputs!BC49</f>
        <v>115.15384615384616</v>
      </c>
      <c r="BC20" s="48" t="s">
        <v>199</v>
      </c>
    </row>
    <row r="21" spans="1:55" ht="15.75" customHeight="1">
      <c r="A21" s="46">
        <v>2</v>
      </c>
      <c r="B21" s="48">
        <f>Inputs!$C$49*$B$44</f>
        <v>429565.21739130432</v>
      </c>
      <c r="C21" s="48" t="s">
        <v>199</v>
      </c>
      <c r="D21" s="50">
        <v>2500</v>
      </c>
      <c r="E21" s="48" t="s">
        <v>199</v>
      </c>
      <c r="F21" s="48" t="s">
        <v>199</v>
      </c>
      <c r="G21" s="50">
        <v>140</v>
      </c>
      <c r="H21" s="50" t="s">
        <v>199</v>
      </c>
      <c r="I21" s="48">
        <v>722000</v>
      </c>
      <c r="J21" s="48">
        <v>1200000</v>
      </c>
      <c r="K21" s="50" t="s">
        <v>199</v>
      </c>
      <c r="L21" s="50">
        <v>660</v>
      </c>
      <c r="M21" s="48">
        <v>250000</v>
      </c>
      <c r="N21" s="48" t="s">
        <v>199</v>
      </c>
      <c r="O21" s="50">
        <v>12000</v>
      </c>
      <c r="P21" s="50">
        <v>2500000</v>
      </c>
      <c r="Q21" s="48" t="e">
        <f>5*#REF!</f>
        <v>#REF!</v>
      </c>
      <c r="R21" s="48">
        <v>712857</v>
      </c>
      <c r="S21" s="50" t="s">
        <v>199</v>
      </c>
      <c r="T21" s="50">
        <v>90000</v>
      </c>
      <c r="U21" s="48">
        <v>33000</v>
      </c>
      <c r="V21" s="48" t="s">
        <v>199</v>
      </c>
      <c r="W21" s="50" t="s">
        <v>199</v>
      </c>
      <c r="X21" s="50">
        <v>400000</v>
      </c>
      <c r="Y21" s="48" t="s">
        <v>199</v>
      </c>
      <c r="Z21" s="48" t="s">
        <v>199</v>
      </c>
      <c r="AA21" s="50" t="s">
        <v>199</v>
      </c>
      <c r="AB21" s="50" t="s">
        <v>199</v>
      </c>
      <c r="AC21" s="48" t="s">
        <v>199</v>
      </c>
      <c r="AD21" s="48">
        <v>6000</v>
      </c>
      <c r="AE21" s="50" t="s">
        <v>199</v>
      </c>
      <c r="AF21" s="50" t="s">
        <v>199</v>
      </c>
      <c r="AG21" s="48" t="s">
        <v>199</v>
      </c>
      <c r="AH21" s="48" t="s">
        <v>199</v>
      </c>
      <c r="AI21" s="50">
        <v>38000</v>
      </c>
      <c r="AJ21" s="50">
        <v>20000</v>
      </c>
      <c r="AK21" s="48" t="s">
        <v>199</v>
      </c>
      <c r="AL21" s="48" t="s">
        <v>199</v>
      </c>
      <c r="AM21" s="50" t="s">
        <v>199</v>
      </c>
      <c r="AN21" s="50" t="s">
        <v>199</v>
      </c>
      <c r="AO21" s="48">
        <v>4</v>
      </c>
      <c r="AP21" s="48" t="s">
        <v>199</v>
      </c>
      <c r="AQ21" s="50" t="s">
        <v>199</v>
      </c>
      <c r="AR21" s="50">
        <v>50000</v>
      </c>
      <c r="AS21" s="48" t="s">
        <v>199</v>
      </c>
      <c r="AT21" s="48">
        <v>3300</v>
      </c>
      <c r="AU21" s="50">
        <v>55000</v>
      </c>
      <c r="AV21" s="50">
        <v>5000</v>
      </c>
      <c r="AW21" s="48" t="s">
        <v>199</v>
      </c>
      <c r="AX21" s="48" t="s">
        <v>199</v>
      </c>
      <c r="AY21" s="50" t="s">
        <v>199</v>
      </c>
      <c r="AZ21" s="48" t="s">
        <v>199</v>
      </c>
      <c r="BA21" s="48" t="s">
        <v>199</v>
      </c>
      <c r="BB21" s="48">
        <f>2*BB44*Inputs!BC49</f>
        <v>76.769230769230774</v>
      </c>
      <c r="BC21" s="48" t="s">
        <v>199</v>
      </c>
    </row>
    <row r="22" spans="1:55" ht="15.75" customHeight="1">
      <c r="A22" s="46">
        <v>3</v>
      </c>
      <c r="B22" s="48">
        <f>Inputs!$C$49*$B$44</f>
        <v>429565.21739130432</v>
      </c>
      <c r="C22" s="48" t="s">
        <v>199</v>
      </c>
      <c r="D22" s="50">
        <v>2400</v>
      </c>
      <c r="E22" s="48" t="s">
        <v>199</v>
      </c>
      <c r="F22" s="48" t="s">
        <v>199</v>
      </c>
      <c r="G22" s="50">
        <v>140</v>
      </c>
      <c r="H22" s="50" t="s">
        <v>199</v>
      </c>
      <c r="I22" s="48">
        <v>182000</v>
      </c>
      <c r="J22" s="48">
        <v>1200000</v>
      </c>
      <c r="K22" s="50" t="s">
        <v>199</v>
      </c>
      <c r="L22" s="50">
        <v>770</v>
      </c>
      <c r="M22" s="48">
        <v>250000</v>
      </c>
      <c r="N22" s="48" t="s">
        <v>199</v>
      </c>
      <c r="O22" s="50">
        <v>7600</v>
      </c>
      <c r="P22" s="50">
        <v>2500000</v>
      </c>
      <c r="Q22" s="48" t="e">
        <f>5*#REF!</f>
        <v>#REF!</v>
      </c>
      <c r="R22" s="48">
        <v>712857</v>
      </c>
      <c r="S22" s="50" t="s">
        <v>199</v>
      </c>
      <c r="T22" s="50">
        <v>96750</v>
      </c>
      <c r="U22" s="48">
        <v>33000</v>
      </c>
      <c r="V22" s="48" t="s">
        <v>199</v>
      </c>
      <c r="W22" s="50" t="s">
        <v>199</v>
      </c>
      <c r="X22" s="50">
        <v>400000</v>
      </c>
      <c r="Y22" s="48" t="s">
        <v>199</v>
      </c>
      <c r="Z22" s="48" t="s">
        <v>199</v>
      </c>
      <c r="AA22" s="50" t="s">
        <v>199</v>
      </c>
      <c r="AB22" s="50" t="s">
        <v>199</v>
      </c>
      <c r="AC22" s="48" t="s">
        <v>199</v>
      </c>
      <c r="AD22" s="48">
        <v>4000</v>
      </c>
      <c r="AE22" s="50" t="s">
        <v>199</v>
      </c>
      <c r="AF22" s="50" t="s">
        <v>199</v>
      </c>
      <c r="AG22" s="48" t="s">
        <v>199</v>
      </c>
      <c r="AH22" s="48" t="s">
        <v>199</v>
      </c>
      <c r="AI22" s="50">
        <v>20000</v>
      </c>
      <c r="AJ22" s="50">
        <v>20000</v>
      </c>
      <c r="AK22" s="48" t="s">
        <v>199</v>
      </c>
      <c r="AL22" s="48" t="s">
        <v>199</v>
      </c>
      <c r="AM22" s="50" t="s">
        <v>199</v>
      </c>
      <c r="AN22" s="50" t="s">
        <v>199</v>
      </c>
      <c r="AO22" s="48">
        <v>4</v>
      </c>
      <c r="AP22" s="48" t="s">
        <v>199</v>
      </c>
      <c r="AQ22" s="50" t="s">
        <v>199</v>
      </c>
      <c r="AR22" s="50">
        <v>50000</v>
      </c>
      <c r="AS22" s="48" t="s">
        <v>199</v>
      </c>
      <c r="AT22" s="48">
        <v>3300</v>
      </c>
      <c r="AU22" s="50">
        <v>85000</v>
      </c>
      <c r="AV22" s="50">
        <v>5000</v>
      </c>
      <c r="AW22" s="48" t="s">
        <v>199</v>
      </c>
      <c r="AX22" s="48" t="s">
        <v>199</v>
      </c>
      <c r="AY22" s="50" t="s">
        <v>199</v>
      </c>
      <c r="AZ22" s="48" t="s">
        <v>199</v>
      </c>
      <c r="BA22" s="48" t="s">
        <v>199</v>
      </c>
      <c r="BB22" s="48" t="s">
        <v>199</v>
      </c>
      <c r="BC22" s="48" t="s">
        <v>199</v>
      </c>
    </row>
    <row r="23" spans="1:55" ht="15.75" customHeight="1">
      <c r="A23" s="46">
        <v>4</v>
      </c>
      <c r="B23" s="48">
        <f>Inputs!$C$49*$B$44</f>
        <v>429565.21739130432</v>
      </c>
      <c r="C23" s="48" t="s">
        <v>199</v>
      </c>
      <c r="D23" s="50">
        <v>2500</v>
      </c>
      <c r="E23" s="48" t="s">
        <v>199</v>
      </c>
      <c r="F23" s="48" t="s">
        <v>199</v>
      </c>
      <c r="G23" s="50">
        <v>140</v>
      </c>
      <c r="H23" s="50" t="s">
        <v>199</v>
      </c>
      <c r="I23" s="48">
        <v>722000</v>
      </c>
      <c r="J23" s="48">
        <v>1200000</v>
      </c>
      <c r="K23" s="50" t="s">
        <v>199</v>
      </c>
      <c r="L23" s="50">
        <v>550</v>
      </c>
      <c r="M23" s="48">
        <v>250000</v>
      </c>
      <c r="N23" s="48" t="s">
        <v>199</v>
      </c>
      <c r="O23" s="50">
        <v>5200</v>
      </c>
      <c r="P23" s="50">
        <v>2500000</v>
      </c>
      <c r="Q23" s="48" t="e">
        <f>5*#REF!</f>
        <v>#REF!</v>
      </c>
      <c r="R23" s="48">
        <v>712857</v>
      </c>
      <c r="S23" s="50" t="s">
        <v>199</v>
      </c>
      <c r="T23" s="50">
        <v>78750</v>
      </c>
      <c r="U23" s="48">
        <v>33000</v>
      </c>
      <c r="V23" s="48" t="s">
        <v>199</v>
      </c>
      <c r="W23" s="50" t="s">
        <v>199</v>
      </c>
      <c r="X23" s="50">
        <v>400000</v>
      </c>
      <c r="Y23" s="48" t="s">
        <v>199</v>
      </c>
      <c r="Z23" s="48" t="s">
        <v>199</v>
      </c>
      <c r="AA23" s="50" t="s">
        <v>199</v>
      </c>
      <c r="AB23" s="50" t="s">
        <v>199</v>
      </c>
      <c r="AC23" s="48" t="s">
        <v>199</v>
      </c>
      <c r="AD23" s="48">
        <v>1400</v>
      </c>
      <c r="AE23" s="50" t="s">
        <v>199</v>
      </c>
      <c r="AF23" s="50" t="s">
        <v>199</v>
      </c>
      <c r="AG23" s="48" t="s">
        <v>199</v>
      </c>
      <c r="AH23" s="48" t="s">
        <v>199</v>
      </c>
      <c r="AI23" s="50">
        <v>70000</v>
      </c>
      <c r="AJ23" s="50">
        <v>20000</v>
      </c>
      <c r="AK23" s="48" t="s">
        <v>199</v>
      </c>
      <c r="AL23" s="48" t="s">
        <v>199</v>
      </c>
      <c r="AM23" s="50" t="s">
        <v>199</v>
      </c>
      <c r="AN23" s="50" t="s">
        <v>199</v>
      </c>
      <c r="AO23" s="48">
        <v>4</v>
      </c>
      <c r="AP23" s="48" t="s">
        <v>199</v>
      </c>
      <c r="AQ23" s="50" t="s">
        <v>199</v>
      </c>
      <c r="AR23" s="50">
        <v>50000</v>
      </c>
      <c r="AS23" s="48" t="s">
        <v>199</v>
      </c>
      <c r="AT23" s="48">
        <v>3300</v>
      </c>
      <c r="AU23" s="50">
        <v>41000</v>
      </c>
      <c r="AV23" s="50">
        <v>5000</v>
      </c>
      <c r="AW23" s="48" t="s">
        <v>199</v>
      </c>
      <c r="AX23" s="48" t="s">
        <v>199</v>
      </c>
      <c r="AY23" s="50" t="s">
        <v>199</v>
      </c>
      <c r="AZ23" s="48" t="s">
        <v>199</v>
      </c>
      <c r="BA23" s="48" t="s">
        <v>199</v>
      </c>
      <c r="BB23" s="48">
        <f>5*BB44*Inputs!BC49</f>
        <v>191.92307692307691</v>
      </c>
      <c r="BC23" s="48" t="s">
        <v>199</v>
      </c>
    </row>
    <row r="24" spans="1:55" ht="15.75" customHeight="1">
      <c r="A24" s="46">
        <v>5</v>
      </c>
      <c r="B24" s="48">
        <f>Inputs!$C$49*$B$44</f>
        <v>429565.21739130432</v>
      </c>
      <c r="C24" s="48" t="s">
        <v>199</v>
      </c>
      <c r="D24" s="50">
        <v>2600</v>
      </c>
      <c r="E24" s="48" t="s">
        <v>199</v>
      </c>
      <c r="F24" s="48" t="s">
        <v>199</v>
      </c>
      <c r="G24" s="50">
        <v>140</v>
      </c>
      <c r="H24" s="50" t="s">
        <v>199</v>
      </c>
      <c r="I24" s="48">
        <v>342000</v>
      </c>
      <c r="J24" s="48">
        <v>1200000</v>
      </c>
      <c r="K24" s="50" t="s">
        <v>199</v>
      </c>
      <c r="L24" s="50">
        <v>660</v>
      </c>
      <c r="M24" s="48">
        <v>250000</v>
      </c>
      <c r="N24" s="48" t="s">
        <v>199</v>
      </c>
      <c r="O24" s="50">
        <v>4400</v>
      </c>
      <c r="P24" s="50">
        <v>2500000</v>
      </c>
      <c r="Q24" s="48" t="e">
        <f>5*#REF!</f>
        <v>#REF!</v>
      </c>
      <c r="R24" s="48">
        <v>712857</v>
      </c>
      <c r="S24" s="50" t="s">
        <v>199</v>
      </c>
      <c r="T24" s="50">
        <v>78750</v>
      </c>
      <c r="U24" s="48">
        <v>33000</v>
      </c>
      <c r="V24" s="48" t="s">
        <v>199</v>
      </c>
      <c r="W24" s="50" t="s">
        <v>199</v>
      </c>
      <c r="X24" s="50">
        <v>400000</v>
      </c>
      <c r="Y24" s="48" t="s">
        <v>199</v>
      </c>
      <c r="Z24" s="48" t="s">
        <v>199</v>
      </c>
      <c r="AA24" s="50" t="s">
        <v>199</v>
      </c>
      <c r="AB24" s="50" t="s">
        <v>199</v>
      </c>
      <c r="AC24" s="48" t="s">
        <v>199</v>
      </c>
      <c r="AD24" s="48">
        <v>3200</v>
      </c>
      <c r="AE24" s="50" t="s">
        <v>199</v>
      </c>
      <c r="AF24" s="50" t="s">
        <v>199</v>
      </c>
      <c r="AG24" s="48" t="s">
        <v>199</v>
      </c>
      <c r="AH24" s="48" t="s">
        <v>199</v>
      </c>
      <c r="AI24" s="50">
        <v>20000</v>
      </c>
      <c r="AJ24" s="50">
        <v>20000</v>
      </c>
      <c r="AK24" s="48" t="s">
        <v>199</v>
      </c>
      <c r="AL24" s="48" t="s">
        <v>199</v>
      </c>
      <c r="AM24" s="50" t="s">
        <v>199</v>
      </c>
      <c r="AN24" s="50" t="s">
        <v>199</v>
      </c>
      <c r="AO24" s="48">
        <v>4</v>
      </c>
      <c r="AP24" s="48" t="s">
        <v>199</v>
      </c>
      <c r="AQ24" s="50" t="s">
        <v>199</v>
      </c>
      <c r="AR24" s="50">
        <v>50000</v>
      </c>
      <c r="AS24" s="48" t="s">
        <v>199</v>
      </c>
      <c r="AT24" s="48">
        <v>3300</v>
      </c>
      <c r="AU24" s="50">
        <v>99000</v>
      </c>
      <c r="AV24" s="50">
        <v>5000</v>
      </c>
      <c r="AW24" s="48" t="s">
        <v>199</v>
      </c>
      <c r="AX24" s="48" t="s">
        <v>199</v>
      </c>
      <c r="AY24" s="50" t="s">
        <v>199</v>
      </c>
      <c r="AZ24" s="48" t="s">
        <v>199</v>
      </c>
      <c r="BA24" s="48" t="s">
        <v>199</v>
      </c>
      <c r="BB24" s="48">
        <f>3*BB44*Inputs!BC49</f>
        <v>115.15384615384616</v>
      </c>
      <c r="BC24" s="48" t="s">
        <v>199</v>
      </c>
    </row>
    <row r="25" spans="1:55" ht="15.75" customHeight="1">
      <c r="A25" s="46"/>
      <c r="B25" s="80"/>
      <c r="C25" s="80"/>
      <c r="D25" s="80"/>
      <c r="E25" s="80"/>
      <c r="F25" s="82"/>
      <c r="G25" s="80"/>
      <c r="H25" s="82"/>
      <c r="I25" s="82"/>
      <c r="J25" s="82"/>
      <c r="K25" s="82"/>
      <c r="L25" s="80"/>
      <c r="M25" s="82"/>
      <c r="N25" s="82"/>
      <c r="O25" s="85"/>
      <c r="P25" s="82"/>
      <c r="Q25" s="80"/>
      <c r="R25" s="82"/>
      <c r="S25" s="82"/>
      <c r="T25" s="82"/>
      <c r="U25" s="80"/>
      <c r="V25" s="82"/>
      <c r="W25" s="82"/>
      <c r="X25" s="82"/>
      <c r="Y25" s="82"/>
      <c r="Z25" s="82"/>
      <c r="AA25" s="82"/>
      <c r="AB25" s="82"/>
      <c r="AC25" s="82"/>
      <c r="AD25" s="80"/>
      <c r="AE25" s="82"/>
      <c r="AF25" s="82"/>
      <c r="AG25" s="82"/>
      <c r="AH25" s="82"/>
      <c r="AI25" s="80"/>
      <c r="AJ25" s="82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2"/>
      <c r="BA25" s="82"/>
      <c r="BB25" s="82"/>
      <c r="BC25" s="82"/>
    </row>
    <row r="26" spans="1:55" ht="15.75" customHeight="1">
      <c r="A26" s="86" t="s">
        <v>220</v>
      </c>
      <c r="B26" s="29" t="s">
        <v>165</v>
      </c>
      <c r="C26" s="29" t="s">
        <v>162</v>
      </c>
      <c r="D26" s="29" t="s">
        <v>221</v>
      </c>
      <c r="E26" s="29" t="s">
        <v>162</v>
      </c>
      <c r="F26" s="29" t="s">
        <v>162</v>
      </c>
      <c r="G26" s="29" t="s">
        <v>162</v>
      </c>
      <c r="H26" s="29" t="s">
        <v>162</v>
      </c>
      <c r="I26" s="29" t="s">
        <v>162</v>
      </c>
      <c r="J26" s="29" t="s">
        <v>222</v>
      </c>
      <c r="K26" s="29" t="s">
        <v>162</v>
      </c>
      <c r="L26" s="29" t="s">
        <v>216</v>
      </c>
      <c r="M26" s="29" t="s">
        <v>162</v>
      </c>
      <c r="N26" s="29" t="s">
        <v>162</v>
      </c>
      <c r="O26" s="29" t="s">
        <v>165</v>
      </c>
      <c r="P26" s="29" t="s">
        <v>162</v>
      </c>
      <c r="Q26" s="29" t="s">
        <v>162</v>
      </c>
      <c r="R26" s="29" t="s">
        <v>165</v>
      </c>
      <c r="S26" s="29" t="s">
        <v>162</v>
      </c>
      <c r="T26" s="29" t="s">
        <v>221</v>
      </c>
      <c r="U26" s="29" t="s">
        <v>162</v>
      </c>
      <c r="V26" s="29" t="s">
        <v>162</v>
      </c>
      <c r="W26" s="29" t="s">
        <v>162</v>
      </c>
      <c r="X26" s="29" t="s">
        <v>162</v>
      </c>
      <c r="Y26" s="29" t="s">
        <v>162</v>
      </c>
      <c r="Z26" s="29" t="s">
        <v>162</v>
      </c>
      <c r="AA26" s="29" t="s">
        <v>162</v>
      </c>
      <c r="AB26" s="29" t="s">
        <v>162</v>
      </c>
      <c r="AC26" s="29" t="s">
        <v>162</v>
      </c>
      <c r="AD26" s="29" t="s">
        <v>165</v>
      </c>
      <c r="AE26" s="29" t="s">
        <v>162</v>
      </c>
      <c r="AF26" s="29" t="s">
        <v>162</v>
      </c>
      <c r="AG26" s="29" t="s">
        <v>162</v>
      </c>
      <c r="AH26" s="29" t="s">
        <v>162</v>
      </c>
      <c r="AI26" s="29" t="s">
        <v>162</v>
      </c>
      <c r="AJ26" s="29" t="s">
        <v>162</v>
      </c>
      <c r="AK26" s="29" t="s">
        <v>162</v>
      </c>
      <c r="AL26" s="29" t="s">
        <v>162</v>
      </c>
      <c r="AM26" s="29" t="s">
        <v>162</v>
      </c>
      <c r="AN26" s="29" t="s">
        <v>162</v>
      </c>
      <c r="AO26" s="29" t="s">
        <v>162</v>
      </c>
      <c r="AP26" s="29" t="s">
        <v>162</v>
      </c>
      <c r="AQ26" s="29" t="s">
        <v>162</v>
      </c>
      <c r="AR26" s="29" t="s">
        <v>162</v>
      </c>
      <c r="AS26" s="29" t="s">
        <v>162</v>
      </c>
      <c r="AT26" s="29" t="s">
        <v>162</v>
      </c>
      <c r="AU26" s="29" t="s">
        <v>162</v>
      </c>
      <c r="AV26" s="29" t="s">
        <v>162</v>
      </c>
      <c r="AW26" s="29" t="s">
        <v>162</v>
      </c>
      <c r="AX26" s="29" t="s">
        <v>162</v>
      </c>
      <c r="AY26" s="29" t="s">
        <v>162</v>
      </c>
      <c r="AZ26" s="29" t="s">
        <v>162</v>
      </c>
      <c r="BA26" s="29" t="s">
        <v>162</v>
      </c>
      <c r="BB26" s="29" t="s">
        <v>162</v>
      </c>
      <c r="BC26" s="29" t="s">
        <v>162</v>
      </c>
    </row>
    <row r="27" spans="1:55" ht="15.75" customHeight="1">
      <c r="A27" s="46">
        <v>1</v>
      </c>
      <c r="B27" s="48">
        <v>100000</v>
      </c>
      <c r="C27" s="48" t="s">
        <v>199</v>
      </c>
      <c r="D27" s="50">
        <v>2000</v>
      </c>
      <c r="E27" s="48" t="s">
        <v>199</v>
      </c>
      <c r="F27" s="48" t="s">
        <v>199</v>
      </c>
      <c r="G27" s="83" t="s">
        <v>199</v>
      </c>
      <c r="H27" s="50" t="s">
        <v>199</v>
      </c>
      <c r="I27" s="48" t="s">
        <v>199</v>
      </c>
      <c r="J27" s="48" t="s">
        <v>199</v>
      </c>
      <c r="K27" s="48" t="s">
        <v>199</v>
      </c>
      <c r="L27" s="48">
        <v>100</v>
      </c>
      <c r="M27" s="50" t="s">
        <v>199</v>
      </c>
      <c r="N27" s="48" t="s">
        <v>199</v>
      </c>
      <c r="O27" s="50">
        <v>1000</v>
      </c>
      <c r="P27" s="48" t="s">
        <v>199</v>
      </c>
      <c r="Q27" s="48" t="s">
        <v>199</v>
      </c>
      <c r="R27" s="50">
        <v>600000</v>
      </c>
      <c r="S27" s="48" t="s">
        <v>199</v>
      </c>
      <c r="T27" s="50">
        <v>61875</v>
      </c>
      <c r="U27" s="48" t="s">
        <v>199</v>
      </c>
      <c r="V27" s="48" t="s">
        <v>199</v>
      </c>
      <c r="W27" s="50" t="s">
        <v>199</v>
      </c>
      <c r="X27" s="48" t="s">
        <v>199</v>
      </c>
      <c r="Y27" s="50" t="s">
        <v>199</v>
      </c>
      <c r="Z27" s="48" t="s">
        <v>199</v>
      </c>
      <c r="AA27" s="48" t="s">
        <v>199</v>
      </c>
      <c r="AB27" s="50" t="s">
        <v>199</v>
      </c>
      <c r="AC27" s="48" t="s">
        <v>199</v>
      </c>
      <c r="AD27" s="50">
        <v>500</v>
      </c>
      <c r="AE27" s="48" t="s">
        <v>199</v>
      </c>
      <c r="AF27" s="48" t="s">
        <v>199</v>
      </c>
      <c r="AG27" s="50" t="s">
        <v>199</v>
      </c>
      <c r="AH27" s="48" t="s">
        <v>199</v>
      </c>
      <c r="AI27" s="50" t="s">
        <v>199</v>
      </c>
      <c r="AJ27" s="48" t="s">
        <v>199</v>
      </c>
      <c r="AK27" s="48" t="s">
        <v>199</v>
      </c>
      <c r="AL27" s="50" t="s">
        <v>199</v>
      </c>
      <c r="AM27" s="48" t="s">
        <v>199</v>
      </c>
      <c r="AN27" s="50" t="s">
        <v>199</v>
      </c>
      <c r="AO27" s="48" t="s">
        <v>199</v>
      </c>
      <c r="AP27" s="48" t="s">
        <v>199</v>
      </c>
      <c r="AQ27" s="50" t="s">
        <v>199</v>
      </c>
      <c r="AR27" s="48" t="s">
        <v>199</v>
      </c>
      <c r="AS27" s="50" t="s">
        <v>199</v>
      </c>
      <c r="AT27" s="48" t="s">
        <v>199</v>
      </c>
      <c r="AU27" s="48" t="s">
        <v>199</v>
      </c>
      <c r="AV27" s="50" t="s">
        <v>199</v>
      </c>
      <c r="AW27" s="48" t="s">
        <v>199</v>
      </c>
      <c r="AX27" s="50" t="s">
        <v>199</v>
      </c>
      <c r="AY27" s="48" t="s">
        <v>199</v>
      </c>
      <c r="AZ27" s="48" t="s">
        <v>199</v>
      </c>
      <c r="BA27" s="48" t="s">
        <v>199</v>
      </c>
      <c r="BB27" s="48" t="s">
        <v>199</v>
      </c>
      <c r="BC27" s="48" t="s">
        <v>199</v>
      </c>
    </row>
    <row r="28" spans="1:55" ht="15.75" customHeight="1">
      <c r="A28" s="46">
        <v>2</v>
      </c>
      <c r="B28" s="48">
        <v>100000</v>
      </c>
      <c r="C28" s="48" t="s">
        <v>199</v>
      </c>
      <c r="D28" s="50">
        <v>2800</v>
      </c>
      <c r="E28" s="48" t="s">
        <v>199</v>
      </c>
      <c r="F28" s="48" t="s">
        <v>199</v>
      </c>
      <c r="G28" s="83" t="s">
        <v>199</v>
      </c>
      <c r="H28" s="50" t="s">
        <v>199</v>
      </c>
      <c r="I28" s="48" t="s">
        <v>199</v>
      </c>
      <c r="J28" s="48" t="s">
        <v>199</v>
      </c>
      <c r="K28" s="48" t="s">
        <v>199</v>
      </c>
      <c r="L28" s="48">
        <v>100</v>
      </c>
      <c r="M28" s="50" t="s">
        <v>199</v>
      </c>
      <c r="N28" s="48" t="s">
        <v>199</v>
      </c>
      <c r="O28" s="50">
        <v>1000</v>
      </c>
      <c r="P28" s="48" t="s">
        <v>199</v>
      </c>
      <c r="Q28" s="48" t="s">
        <v>199</v>
      </c>
      <c r="R28" s="50">
        <v>600000</v>
      </c>
      <c r="S28" s="48" t="s">
        <v>199</v>
      </c>
      <c r="T28" s="50">
        <v>56250</v>
      </c>
      <c r="U28" s="48" t="s">
        <v>199</v>
      </c>
      <c r="V28" s="48" t="s">
        <v>199</v>
      </c>
      <c r="W28" s="50" t="s">
        <v>199</v>
      </c>
      <c r="X28" s="48" t="s">
        <v>199</v>
      </c>
      <c r="Y28" s="50" t="s">
        <v>199</v>
      </c>
      <c r="Z28" s="48" t="s">
        <v>199</v>
      </c>
      <c r="AA28" s="48" t="s">
        <v>199</v>
      </c>
      <c r="AB28" s="50" t="s">
        <v>199</v>
      </c>
      <c r="AC28" s="48" t="s">
        <v>199</v>
      </c>
      <c r="AD28" s="50">
        <v>500</v>
      </c>
      <c r="AE28" s="48" t="s">
        <v>199</v>
      </c>
      <c r="AF28" s="48" t="s">
        <v>199</v>
      </c>
      <c r="AG28" s="50" t="s">
        <v>199</v>
      </c>
      <c r="AH28" s="48" t="s">
        <v>199</v>
      </c>
      <c r="AI28" s="50" t="s">
        <v>199</v>
      </c>
      <c r="AJ28" s="48" t="s">
        <v>199</v>
      </c>
      <c r="AK28" s="48" t="s">
        <v>199</v>
      </c>
      <c r="AL28" s="50" t="s">
        <v>199</v>
      </c>
      <c r="AM28" s="48" t="s">
        <v>199</v>
      </c>
      <c r="AN28" s="50" t="s">
        <v>199</v>
      </c>
      <c r="AO28" s="48" t="s">
        <v>199</v>
      </c>
      <c r="AP28" s="48" t="s">
        <v>199</v>
      </c>
      <c r="AQ28" s="50" t="s">
        <v>199</v>
      </c>
      <c r="AR28" s="48" t="s">
        <v>199</v>
      </c>
      <c r="AS28" s="50" t="s">
        <v>199</v>
      </c>
      <c r="AT28" s="48" t="s">
        <v>199</v>
      </c>
      <c r="AU28" s="48" t="s">
        <v>199</v>
      </c>
      <c r="AV28" s="50" t="s">
        <v>199</v>
      </c>
      <c r="AW28" s="48" t="s">
        <v>199</v>
      </c>
      <c r="AX28" s="50" t="s">
        <v>199</v>
      </c>
      <c r="AY28" s="48" t="s">
        <v>199</v>
      </c>
      <c r="AZ28" s="48" t="s">
        <v>199</v>
      </c>
      <c r="BA28" s="48" t="s">
        <v>199</v>
      </c>
      <c r="BB28" s="48" t="s">
        <v>199</v>
      </c>
      <c r="BC28" s="48" t="s">
        <v>199</v>
      </c>
    </row>
    <row r="29" spans="1:55" ht="15.75" customHeight="1">
      <c r="A29" s="46">
        <v>3</v>
      </c>
      <c r="B29" s="48">
        <v>100000</v>
      </c>
      <c r="C29" s="48" t="s">
        <v>199</v>
      </c>
      <c r="D29" s="50">
        <v>2000</v>
      </c>
      <c r="E29" s="48" t="s">
        <v>199</v>
      </c>
      <c r="F29" s="48" t="s">
        <v>199</v>
      </c>
      <c r="G29" s="83" t="s">
        <v>199</v>
      </c>
      <c r="H29" s="50" t="s">
        <v>199</v>
      </c>
      <c r="I29" s="48" t="s">
        <v>199</v>
      </c>
      <c r="J29" s="48" t="s">
        <v>199</v>
      </c>
      <c r="K29" s="48" t="s">
        <v>199</v>
      </c>
      <c r="L29" s="48">
        <v>100</v>
      </c>
      <c r="M29" s="50" t="s">
        <v>199</v>
      </c>
      <c r="N29" s="48" t="s">
        <v>199</v>
      </c>
      <c r="O29" s="50">
        <v>1000</v>
      </c>
      <c r="P29" s="48" t="s">
        <v>199</v>
      </c>
      <c r="Q29" s="48" t="s">
        <v>199</v>
      </c>
      <c r="R29" s="50">
        <v>600000</v>
      </c>
      <c r="S29" s="48" t="s">
        <v>199</v>
      </c>
      <c r="T29" s="50">
        <v>39375</v>
      </c>
      <c r="U29" s="48" t="s">
        <v>199</v>
      </c>
      <c r="V29" s="48" t="s">
        <v>199</v>
      </c>
      <c r="W29" s="50" t="s">
        <v>199</v>
      </c>
      <c r="X29" s="48" t="s">
        <v>199</v>
      </c>
      <c r="Y29" s="50" t="s">
        <v>199</v>
      </c>
      <c r="Z29" s="48" t="s">
        <v>199</v>
      </c>
      <c r="AA29" s="48" t="s">
        <v>199</v>
      </c>
      <c r="AB29" s="50" t="s">
        <v>199</v>
      </c>
      <c r="AC29" s="48" t="s">
        <v>199</v>
      </c>
      <c r="AD29" s="50">
        <v>500</v>
      </c>
      <c r="AE29" s="48" t="s">
        <v>199</v>
      </c>
      <c r="AF29" s="48" t="s">
        <v>199</v>
      </c>
      <c r="AG29" s="50" t="s">
        <v>199</v>
      </c>
      <c r="AH29" s="48" t="s">
        <v>199</v>
      </c>
      <c r="AI29" s="50" t="s">
        <v>199</v>
      </c>
      <c r="AJ29" s="48" t="s">
        <v>199</v>
      </c>
      <c r="AK29" s="48" t="s">
        <v>199</v>
      </c>
      <c r="AL29" s="50" t="s">
        <v>199</v>
      </c>
      <c r="AM29" s="48" t="s">
        <v>199</v>
      </c>
      <c r="AN29" s="50" t="s">
        <v>199</v>
      </c>
      <c r="AO29" s="48" t="s">
        <v>199</v>
      </c>
      <c r="AP29" s="48" t="s">
        <v>199</v>
      </c>
      <c r="AQ29" s="50" t="s">
        <v>199</v>
      </c>
      <c r="AR29" s="48" t="s">
        <v>199</v>
      </c>
      <c r="AS29" s="50" t="s">
        <v>199</v>
      </c>
      <c r="AT29" s="48" t="s">
        <v>199</v>
      </c>
      <c r="AU29" s="48" t="s">
        <v>199</v>
      </c>
      <c r="AV29" s="50" t="s">
        <v>199</v>
      </c>
      <c r="AW29" s="48" t="s">
        <v>199</v>
      </c>
      <c r="AX29" s="50" t="s">
        <v>199</v>
      </c>
      <c r="AY29" s="48" t="s">
        <v>199</v>
      </c>
      <c r="AZ29" s="48" t="s">
        <v>199</v>
      </c>
      <c r="BA29" s="48" t="s">
        <v>199</v>
      </c>
      <c r="BB29" s="48" t="s">
        <v>199</v>
      </c>
      <c r="BC29" s="48" t="s">
        <v>199</v>
      </c>
    </row>
    <row r="30" spans="1:55" ht="15.75" customHeight="1">
      <c r="A30" s="46">
        <v>4</v>
      </c>
      <c r="B30" s="48">
        <v>100000</v>
      </c>
      <c r="C30" s="48" t="s">
        <v>199</v>
      </c>
      <c r="D30" s="50">
        <v>2000</v>
      </c>
      <c r="E30" s="48" t="s">
        <v>199</v>
      </c>
      <c r="F30" s="48" t="s">
        <v>199</v>
      </c>
      <c r="G30" s="83" t="s">
        <v>199</v>
      </c>
      <c r="H30" s="50" t="s">
        <v>199</v>
      </c>
      <c r="I30" s="48" t="s">
        <v>199</v>
      </c>
      <c r="J30" s="48" t="s">
        <v>199</v>
      </c>
      <c r="K30" s="48" t="s">
        <v>199</v>
      </c>
      <c r="L30" s="48">
        <v>100</v>
      </c>
      <c r="M30" s="50" t="s">
        <v>199</v>
      </c>
      <c r="N30" s="48" t="s">
        <v>199</v>
      </c>
      <c r="O30" s="50">
        <v>1000</v>
      </c>
      <c r="P30" s="48" t="s">
        <v>199</v>
      </c>
      <c r="Q30" s="48" t="s">
        <v>199</v>
      </c>
      <c r="R30" s="50">
        <v>600000</v>
      </c>
      <c r="S30" s="48" t="s">
        <v>199</v>
      </c>
      <c r="T30" s="50">
        <v>45000</v>
      </c>
      <c r="U30" s="48" t="s">
        <v>199</v>
      </c>
      <c r="V30" s="48" t="s">
        <v>199</v>
      </c>
      <c r="W30" s="50" t="s">
        <v>199</v>
      </c>
      <c r="X30" s="48" t="s">
        <v>199</v>
      </c>
      <c r="Y30" s="50" t="s">
        <v>199</v>
      </c>
      <c r="Z30" s="48" t="s">
        <v>199</v>
      </c>
      <c r="AA30" s="48" t="s">
        <v>199</v>
      </c>
      <c r="AB30" s="50" t="s">
        <v>199</v>
      </c>
      <c r="AC30" s="48" t="s">
        <v>199</v>
      </c>
      <c r="AD30" s="50">
        <v>500</v>
      </c>
      <c r="AE30" s="48" t="s">
        <v>199</v>
      </c>
      <c r="AF30" s="48" t="s">
        <v>199</v>
      </c>
      <c r="AG30" s="50" t="s">
        <v>199</v>
      </c>
      <c r="AH30" s="48" t="s">
        <v>199</v>
      </c>
      <c r="AI30" s="50" t="s">
        <v>199</v>
      </c>
      <c r="AJ30" s="48" t="s">
        <v>199</v>
      </c>
      <c r="AK30" s="48" t="s">
        <v>199</v>
      </c>
      <c r="AL30" s="50" t="s">
        <v>199</v>
      </c>
      <c r="AM30" s="48" t="s">
        <v>199</v>
      </c>
      <c r="AN30" s="50" t="s">
        <v>199</v>
      </c>
      <c r="AO30" s="48" t="s">
        <v>199</v>
      </c>
      <c r="AP30" s="48" t="s">
        <v>199</v>
      </c>
      <c r="AQ30" s="50" t="s">
        <v>199</v>
      </c>
      <c r="AR30" s="48" t="s">
        <v>199</v>
      </c>
      <c r="AS30" s="50" t="s">
        <v>199</v>
      </c>
      <c r="AT30" s="48" t="s">
        <v>199</v>
      </c>
      <c r="AU30" s="48" t="s">
        <v>199</v>
      </c>
      <c r="AV30" s="50" t="s">
        <v>199</v>
      </c>
      <c r="AW30" s="48" t="s">
        <v>199</v>
      </c>
      <c r="AX30" s="50" t="s">
        <v>199</v>
      </c>
      <c r="AY30" s="48" t="s">
        <v>199</v>
      </c>
      <c r="AZ30" s="48" t="s">
        <v>199</v>
      </c>
      <c r="BA30" s="48" t="s">
        <v>199</v>
      </c>
      <c r="BB30" s="48" t="s">
        <v>199</v>
      </c>
      <c r="BC30" s="48" t="s">
        <v>199</v>
      </c>
    </row>
    <row r="31" spans="1:55" ht="15.75" customHeight="1">
      <c r="A31" s="46">
        <v>5</v>
      </c>
      <c r="B31" s="48">
        <v>100000</v>
      </c>
      <c r="C31" s="48" t="s">
        <v>199</v>
      </c>
      <c r="D31" s="50">
        <v>1550</v>
      </c>
      <c r="E31" s="48" t="s">
        <v>199</v>
      </c>
      <c r="F31" s="48" t="s">
        <v>199</v>
      </c>
      <c r="G31" s="83" t="s">
        <v>199</v>
      </c>
      <c r="H31" s="50" t="s">
        <v>199</v>
      </c>
      <c r="I31" s="48" t="s">
        <v>199</v>
      </c>
      <c r="J31" s="48" t="s">
        <v>199</v>
      </c>
      <c r="K31" s="48" t="s">
        <v>199</v>
      </c>
      <c r="L31" s="48">
        <v>100</v>
      </c>
      <c r="M31" s="50" t="s">
        <v>199</v>
      </c>
      <c r="N31" s="48" t="s">
        <v>199</v>
      </c>
      <c r="O31" s="50">
        <v>1000</v>
      </c>
      <c r="P31" s="48" t="s">
        <v>199</v>
      </c>
      <c r="Q31" s="48" t="s">
        <v>199</v>
      </c>
      <c r="R31" s="50">
        <v>600000</v>
      </c>
      <c r="S31" s="48" t="s">
        <v>199</v>
      </c>
      <c r="T31" s="50">
        <v>45000</v>
      </c>
      <c r="U31" s="48" t="s">
        <v>199</v>
      </c>
      <c r="V31" s="48" t="s">
        <v>199</v>
      </c>
      <c r="W31" s="50" t="s">
        <v>199</v>
      </c>
      <c r="X31" s="48" t="s">
        <v>199</v>
      </c>
      <c r="Y31" s="50" t="s">
        <v>199</v>
      </c>
      <c r="Z31" s="48" t="s">
        <v>199</v>
      </c>
      <c r="AA31" s="48" t="s">
        <v>199</v>
      </c>
      <c r="AB31" s="50" t="s">
        <v>199</v>
      </c>
      <c r="AC31" s="48" t="s">
        <v>199</v>
      </c>
      <c r="AD31" s="50">
        <v>500</v>
      </c>
      <c r="AE31" s="48" t="s">
        <v>199</v>
      </c>
      <c r="AF31" s="48" t="s">
        <v>199</v>
      </c>
      <c r="AG31" s="50" t="s">
        <v>199</v>
      </c>
      <c r="AH31" s="48" t="s">
        <v>199</v>
      </c>
      <c r="AI31" s="50" t="s">
        <v>199</v>
      </c>
      <c r="AJ31" s="48" t="s">
        <v>199</v>
      </c>
      <c r="AK31" s="48" t="s">
        <v>199</v>
      </c>
      <c r="AL31" s="50" t="s">
        <v>199</v>
      </c>
      <c r="AM31" s="48" t="s">
        <v>199</v>
      </c>
      <c r="AN31" s="50" t="s">
        <v>199</v>
      </c>
      <c r="AO31" s="48" t="s">
        <v>199</v>
      </c>
      <c r="AP31" s="48" t="s">
        <v>199</v>
      </c>
      <c r="AQ31" s="50" t="s">
        <v>199</v>
      </c>
      <c r="AR31" s="48" t="s">
        <v>199</v>
      </c>
      <c r="AS31" s="50" t="s">
        <v>199</v>
      </c>
      <c r="AT31" s="48" t="s">
        <v>199</v>
      </c>
      <c r="AU31" s="48" t="s">
        <v>199</v>
      </c>
      <c r="AV31" s="50" t="s">
        <v>199</v>
      </c>
      <c r="AW31" s="48" t="s">
        <v>199</v>
      </c>
      <c r="AX31" s="50" t="s">
        <v>199</v>
      </c>
      <c r="AY31" s="48" t="s">
        <v>199</v>
      </c>
      <c r="AZ31" s="48" t="s">
        <v>199</v>
      </c>
      <c r="BA31" s="48" t="s">
        <v>199</v>
      </c>
      <c r="BB31" s="48" t="s">
        <v>199</v>
      </c>
      <c r="BC31" s="48" t="s">
        <v>199</v>
      </c>
    </row>
    <row r="32" spans="1:55" ht="15.75" customHeight="1">
      <c r="A32" s="46"/>
      <c r="B32" s="80"/>
      <c r="C32" s="80"/>
      <c r="D32" s="80"/>
      <c r="E32" s="80"/>
      <c r="F32" s="82"/>
      <c r="G32" s="80"/>
      <c r="H32" s="80"/>
      <c r="I32" s="82"/>
      <c r="J32" s="82"/>
      <c r="K32" s="80"/>
      <c r="L32" s="80"/>
      <c r="M32" s="82"/>
      <c r="N32" s="82"/>
      <c r="O32" s="85"/>
      <c r="P32" s="85"/>
      <c r="Q32" s="80"/>
      <c r="R32" s="82"/>
      <c r="S32" s="82"/>
      <c r="T32" s="85"/>
      <c r="U32" s="80"/>
      <c r="V32" s="82"/>
      <c r="W32" s="82"/>
      <c r="X32" s="82"/>
      <c r="Y32" s="82"/>
      <c r="Z32" s="82"/>
      <c r="AA32" s="82"/>
      <c r="AB32" s="80"/>
      <c r="AC32" s="82"/>
      <c r="AD32" s="80"/>
      <c r="AE32" s="82"/>
      <c r="AF32" s="80"/>
      <c r="AG32" s="80"/>
      <c r="AH32" s="82"/>
      <c r="AI32" s="82"/>
      <c r="AJ32" s="82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5"/>
      <c r="BA32" s="85"/>
      <c r="BB32" s="85"/>
      <c r="BC32" s="85"/>
    </row>
    <row r="33" spans="1:55" ht="15.75" customHeight="1">
      <c r="A33" s="86" t="s">
        <v>223</v>
      </c>
      <c r="B33" s="117">
        <v>100000</v>
      </c>
      <c r="C33" s="117">
        <v>0</v>
      </c>
      <c r="D33" s="117">
        <f>AVERAGE(D27:D31)</f>
        <v>2070</v>
      </c>
      <c r="E33" s="118">
        <v>5000</v>
      </c>
      <c r="F33" s="117">
        <v>0</v>
      </c>
      <c r="G33" s="117">
        <v>0</v>
      </c>
      <c r="H33" s="117">
        <v>200000</v>
      </c>
      <c r="I33" s="117">
        <v>0</v>
      </c>
      <c r="J33" s="117">
        <v>10000000</v>
      </c>
      <c r="K33" s="117">
        <v>3000000</v>
      </c>
      <c r="L33" s="117">
        <v>0</v>
      </c>
      <c r="M33" s="117">
        <v>0</v>
      </c>
      <c r="N33" s="117">
        <v>0</v>
      </c>
      <c r="O33" s="117">
        <v>0</v>
      </c>
      <c r="P33" s="117">
        <v>3600000</v>
      </c>
      <c r="Q33" s="118">
        <v>35000</v>
      </c>
      <c r="R33" s="117">
        <v>0</v>
      </c>
      <c r="S33" s="117">
        <v>1677000</v>
      </c>
      <c r="T33" s="117">
        <f>AVERAGE(T27:T31)</f>
        <v>49500</v>
      </c>
      <c r="U33" s="117">
        <v>30000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500</v>
      </c>
      <c r="AC33" s="117">
        <v>0</v>
      </c>
      <c r="AD33" s="117">
        <v>10000</v>
      </c>
      <c r="AE33" s="117">
        <v>0</v>
      </c>
      <c r="AF33" s="117">
        <v>1000</v>
      </c>
      <c r="AG33" s="117">
        <v>1000</v>
      </c>
      <c r="AH33" s="117">
        <v>0</v>
      </c>
      <c r="AI33" s="117">
        <v>0</v>
      </c>
      <c r="AJ33" s="117">
        <v>7500</v>
      </c>
      <c r="AK33" s="117">
        <v>4</v>
      </c>
      <c r="AL33" s="117">
        <v>0</v>
      </c>
      <c r="AM33" s="117">
        <v>30</v>
      </c>
      <c r="AN33" s="117">
        <f>5*$AN$44*Inputs!$AO$49</f>
        <v>1.37225</v>
      </c>
      <c r="AO33" s="117">
        <v>0</v>
      </c>
      <c r="AP33" s="118">
        <v>3</v>
      </c>
      <c r="AQ33" s="118"/>
      <c r="AR33" s="118">
        <v>17000</v>
      </c>
      <c r="AS33" s="117">
        <v>0</v>
      </c>
      <c r="AT33" s="117">
        <v>0</v>
      </c>
      <c r="AU33" s="117">
        <v>0</v>
      </c>
      <c r="AV33" s="117">
        <v>5000</v>
      </c>
      <c r="AW33" s="117">
        <v>2000</v>
      </c>
      <c r="AX33" s="117">
        <v>0</v>
      </c>
      <c r="AY33" s="117">
        <v>0</v>
      </c>
      <c r="AZ33" s="117">
        <v>0</v>
      </c>
      <c r="BA33" s="118">
        <v>0</v>
      </c>
      <c r="BB33" s="118">
        <v>0</v>
      </c>
      <c r="BC33" s="118">
        <v>120000</v>
      </c>
    </row>
    <row r="34" spans="1:55" ht="15.75" customHeight="1">
      <c r="A34" s="119" t="s">
        <v>224</v>
      </c>
      <c r="B34" s="120">
        <f>IFERROR(B33/Inputs!C49,0)</f>
        <v>5.0607287449392713E-3</v>
      </c>
      <c r="C34" s="120">
        <f>IFERROR(C33/Inputs!D49,0)</f>
        <v>0</v>
      </c>
      <c r="D34" s="120">
        <f>IFERROR(D33/Inputs!E49,0)</f>
        <v>0.18818181818181817</v>
      </c>
      <c r="E34" s="120">
        <f>IFERROR(E33/Inputs!F49,0)</f>
        <v>0.43859649122807015</v>
      </c>
      <c r="F34" s="120">
        <f>IFERROR(F33/Inputs!G49,0)</f>
        <v>0</v>
      </c>
      <c r="G34" s="120">
        <f>IFERROR(G33/Inputs!H49,0)</f>
        <v>0</v>
      </c>
      <c r="H34" s="120">
        <f>IFERROR(H33/Inputs!I49,0)</f>
        <v>0.1</v>
      </c>
      <c r="I34" s="120">
        <f>IFERROR(I33/Inputs!J49,0)</f>
        <v>0</v>
      </c>
      <c r="J34" s="120">
        <f>IFERROR(J33/Inputs!K49,0)</f>
        <v>0.18181818181818182</v>
      </c>
      <c r="K34" s="120">
        <f>IFERROR(K33/Inputs!L49,0)</f>
        <v>31.578947368421051</v>
      </c>
      <c r="L34" s="120">
        <f>IFERROR(L33/Inputs!M49,0)</f>
        <v>0</v>
      </c>
      <c r="M34" s="120">
        <f>IFERROR(M33/Inputs!N49,0)</f>
        <v>0</v>
      </c>
      <c r="N34" s="120">
        <f>IFERROR(N33/Inputs!O49,0)</f>
        <v>0</v>
      </c>
      <c r="O34" s="120">
        <f>IFERROR(O33/Inputs!P49,0)</f>
        <v>0</v>
      </c>
      <c r="P34" s="120">
        <f>IFERROR(P33/Inputs!Q49,0)</f>
        <v>3</v>
      </c>
      <c r="Q34" s="120">
        <f>IFERROR(Q33/Inputs!R49,0)</f>
        <v>0.14583333333333334</v>
      </c>
      <c r="R34" s="120">
        <f>IFERROR(R33/Inputs!S49,0)</f>
        <v>0</v>
      </c>
      <c r="S34" s="120">
        <f>IFERROR(S33/Inputs!T49,0)</f>
        <v>0.79614508165590581</v>
      </c>
      <c r="T34" s="120">
        <f>IFERROR(T33/Inputs!U49,0)</f>
        <v>0.2475</v>
      </c>
      <c r="U34" s="120">
        <f>IFERROR(U33/Inputs!V49,0)</f>
        <v>0.5714285714285714</v>
      </c>
      <c r="V34" s="120">
        <f>IFERROR(V33/Inputs!W49,0)</f>
        <v>0</v>
      </c>
      <c r="W34" s="120">
        <f>IFERROR(W33/Inputs!X49,0)</f>
        <v>0</v>
      </c>
      <c r="X34" s="120">
        <f>IFERROR(X33/Inputs!Y49,0)</f>
        <v>0</v>
      </c>
      <c r="Y34" s="120">
        <f>IFERROR(Y33/Inputs!Z49,0)</f>
        <v>0</v>
      </c>
      <c r="Z34" s="120">
        <f>IFERROR(Z33/Inputs!AA49,0)</f>
        <v>0</v>
      </c>
      <c r="AA34" s="120">
        <f>IFERROR(AA33/Inputs!AB49,0)</f>
        <v>0</v>
      </c>
      <c r="AB34" s="120">
        <f>IFERROR(AB33/Inputs!AC49,0)</f>
        <v>1.3888888888888888E-2</v>
      </c>
      <c r="AC34" s="120">
        <f>IFERROR(AC33/Inputs!AD49,0)</f>
        <v>0</v>
      </c>
      <c r="AD34" s="120">
        <f>IFERROR(AD33/Inputs!AE49,0)</f>
        <v>2</v>
      </c>
      <c r="AE34" s="120">
        <f>IFERROR(AE33/Inputs!AF49,0)</f>
        <v>0</v>
      </c>
      <c r="AF34" s="120">
        <f>IFERROR(AF33/Inputs!AG49,0)</f>
        <v>0.30864197530864196</v>
      </c>
      <c r="AG34" s="120">
        <f>IFERROR(AG33/Inputs!AH49,0)</f>
        <v>0.5</v>
      </c>
      <c r="AH34" s="120">
        <f>IFERROR(AH33/Inputs!AI49,0)</f>
        <v>0</v>
      </c>
      <c r="AI34" s="120">
        <f>IFERROR(AI33/Inputs!AJ49,0)</f>
        <v>0</v>
      </c>
      <c r="AJ34" s="120">
        <f>IFERROR(AJ33/Inputs!AK49,0)</f>
        <v>1.4999999999999999E-2</v>
      </c>
      <c r="AK34" s="120">
        <f>IFERROR(AK33/Inputs!AL49,0)</f>
        <v>0.26666666666666666</v>
      </c>
      <c r="AL34" s="120">
        <f>IFERROR(AL33/Inputs!AM49,0)</f>
        <v>0</v>
      </c>
      <c r="AM34" s="120">
        <f>IFERROR(AM33/Inputs!AN49,0)</f>
        <v>0.3</v>
      </c>
      <c r="AN34" s="120">
        <f>IFERROR(AN33/Inputs!AO49,0)</f>
        <v>0.20791666666666667</v>
      </c>
      <c r="AO34" s="120">
        <f>IFERROR(AO33/Inputs!AP49,0)</f>
        <v>0</v>
      </c>
      <c r="AP34" s="120">
        <f>IFERROR(AP33/Inputs!AQ49,0)</f>
        <v>0.375</v>
      </c>
      <c r="AQ34" s="120">
        <f>IFERROR(AQ33/Inputs!AR49,0)</f>
        <v>0</v>
      </c>
      <c r="AR34" s="120">
        <f>IFERROR(AR33/Inputs!AS49,0)</f>
        <v>1.3599999999999999E-2</v>
      </c>
      <c r="AS34" s="120">
        <f>IFERROR(AS33/Inputs!AT49,0)</f>
        <v>0</v>
      </c>
      <c r="AT34" s="120">
        <f>IFERROR(AT33/Inputs!AU49,0)</f>
        <v>0</v>
      </c>
      <c r="AU34" s="120">
        <f>IFERROR(AU33/Inputs!AV49,0)</f>
        <v>0</v>
      </c>
      <c r="AV34" s="120">
        <f>IFERROR(AV33/Inputs!AW49,0)</f>
        <v>1.6666666666666668E-3</v>
      </c>
      <c r="AW34" s="120">
        <f>IFERROR(AW33/Inputs!AX49,0)</f>
        <v>2E-3</v>
      </c>
      <c r="AX34" s="120">
        <f>IFERROR(AX33/Inputs!AY49,0)</f>
        <v>0</v>
      </c>
      <c r="AY34" s="120">
        <f>IFERROR(AY33/Inputs!AZ49,0)</f>
        <v>0</v>
      </c>
      <c r="AZ34" s="120">
        <f>IFERROR(AZ33/Inputs!BA49,0)</f>
        <v>0</v>
      </c>
      <c r="BA34" s="120">
        <f>IFERROR(BA33/Inputs!BB49,0)</f>
        <v>0</v>
      </c>
      <c r="BB34" s="120">
        <f>IFERROR(BB33/Inputs!BC49,0)</f>
        <v>0</v>
      </c>
      <c r="BC34" s="120">
        <f>IFERROR(BC33/Inputs!BD49,0)</f>
        <v>0.48</v>
      </c>
    </row>
    <row r="35" spans="1:55" ht="15.75" customHeight="1">
      <c r="A35" s="46"/>
      <c r="B35" s="80"/>
      <c r="C35" s="80"/>
      <c r="D35" s="127"/>
      <c r="E35" s="80"/>
      <c r="F35" s="80"/>
      <c r="G35" s="80"/>
      <c r="H35" s="80"/>
      <c r="I35" s="85"/>
      <c r="J35" s="85"/>
      <c r="K35" s="80"/>
      <c r="L35" s="80"/>
      <c r="M35" s="82"/>
      <c r="N35" s="82"/>
      <c r="O35" s="85"/>
      <c r="P35" s="85"/>
      <c r="Q35" s="80"/>
      <c r="R35" s="82"/>
      <c r="S35" s="82"/>
      <c r="T35" s="85"/>
      <c r="U35" s="80"/>
      <c r="V35" s="80"/>
      <c r="W35" s="80"/>
      <c r="X35" s="82"/>
      <c r="Y35" s="80"/>
      <c r="Z35" s="82"/>
      <c r="AA35" s="82"/>
      <c r="AB35" s="80"/>
      <c r="AC35" s="80"/>
      <c r="AD35" s="80"/>
      <c r="AE35" s="80"/>
      <c r="AF35" s="80"/>
      <c r="AG35" s="80"/>
      <c r="AH35" s="80"/>
      <c r="AI35" s="82"/>
      <c r="AJ35" s="82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5"/>
      <c r="BA35" s="85"/>
      <c r="BB35" s="85"/>
      <c r="BC35" s="85"/>
    </row>
    <row r="36" spans="1:55" ht="15.75" customHeight="1">
      <c r="A36" s="128" t="s">
        <v>90</v>
      </c>
      <c r="B36" s="129" t="s">
        <v>226</v>
      </c>
      <c r="C36" s="129"/>
      <c r="D36" s="130" t="s">
        <v>227</v>
      </c>
      <c r="E36" s="129"/>
      <c r="F36" s="129"/>
      <c r="G36" s="131"/>
      <c r="H36" s="131"/>
      <c r="I36" s="130" t="s">
        <v>228</v>
      </c>
      <c r="J36" s="130" t="s">
        <v>229</v>
      </c>
      <c r="K36" s="85"/>
      <c r="L36" s="85"/>
      <c r="M36" s="132" t="s">
        <v>230</v>
      </c>
      <c r="N36" s="133"/>
      <c r="O36" s="130" t="s">
        <v>231</v>
      </c>
      <c r="P36" s="134" t="s">
        <v>232</v>
      </c>
      <c r="Q36" s="69" t="s">
        <v>233</v>
      </c>
      <c r="R36" s="135"/>
      <c r="S36" s="136" t="s">
        <v>234</v>
      </c>
      <c r="T36" s="130" t="s">
        <v>235</v>
      </c>
      <c r="U36" s="129"/>
      <c r="V36" s="129"/>
      <c r="W36" s="129"/>
      <c r="X36" s="129"/>
      <c r="Y36" s="129"/>
      <c r="Z36" s="129" t="s">
        <v>236</v>
      </c>
      <c r="AA36" s="85"/>
      <c r="AB36" s="129"/>
      <c r="AC36" s="129"/>
      <c r="AD36" s="129" t="s">
        <v>237</v>
      </c>
      <c r="AE36" s="129"/>
      <c r="AF36" s="129"/>
      <c r="AG36" s="129" t="s">
        <v>238</v>
      </c>
      <c r="AH36" s="129"/>
      <c r="AI36" s="137"/>
      <c r="AJ36" s="137" t="s">
        <v>239</v>
      </c>
      <c r="AK36" s="129"/>
      <c r="AL36" s="129"/>
      <c r="AM36" s="129"/>
      <c r="AN36" s="69" t="s">
        <v>240</v>
      </c>
      <c r="AO36" s="129"/>
      <c r="AP36" s="129" t="s">
        <v>241</v>
      </c>
      <c r="AQ36" s="129"/>
      <c r="AR36" s="129"/>
      <c r="AS36" s="129" t="s">
        <v>242</v>
      </c>
      <c r="AT36" s="129" t="s">
        <v>243</v>
      </c>
      <c r="AU36" s="129" t="s">
        <v>244</v>
      </c>
      <c r="AV36" s="129" t="s">
        <v>245</v>
      </c>
      <c r="AW36" s="129" t="s">
        <v>246</v>
      </c>
      <c r="AX36" s="129"/>
      <c r="AY36" s="69" t="s">
        <v>247</v>
      </c>
      <c r="AZ36" s="130" t="s">
        <v>248</v>
      </c>
      <c r="BA36" s="130"/>
      <c r="BB36" s="130"/>
      <c r="BC36" s="130"/>
    </row>
    <row r="37" spans="1:55" ht="15.75" customHeight="1">
      <c r="A37" s="46"/>
      <c r="B37" s="80"/>
      <c r="C37" s="80"/>
      <c r="D37" s="80"/>
      <c r="E37" s="80"/>
      <c r="F37" s="80"/>
      <c r="G37" s="80"/>
      <c r="H37" s="80"/>
      <c r="I37" s="85"/>
      <c r="J37" s="85"/>
      <c r="K37" s="80"/>
      <c r="L37" s="80"/>
      <c r="M37" s="85"/>
      <c r="N37" s="82"/>
      <c r="O37" s="85"/>
      <c r="P37" s="85"/>
      <c r="Q37" s="80"/>
      <c r="R37" s="85"/>
      <c r="S37" s="85"/>
      <c r="T37" s="85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2"/>
      <c r="AJ37" s="82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5"/>
      <c r="BA37" s="85"/>
      <c r="BB37" s="85"/>
      <c r="BC37" s="85"/>
    </row>
    <row r="38" spans="1:55" ht="15.75" customHeight="1">
      <c r="A38" s="128" t="s">
        <v>249</v>
      </c>
      <c r="B38" s="138" t="str">
        <f>Inputs!C5</f>
        <v>100,000 Coins, 1 Bronze Ticket</v>
      </c>
      <c r="C38" s="138" t="str">
        <f>Inputs!D5</f>
        <v>1000000 Chips</v>
      </c>
      <c r="D38" s="138" t="str">
        <f>Inputs!E5</f>
        <v>100000 Chips</v>
      </c>
      <c r="E38" s="138" t="str">
        <f>Inputs!F5</f>
        <v>12500 Coins</v>
      </c>
      <c r="F38" s="138" t="str">
        <f>Inputs!G5</f>
        <v>2000000 Coins</v>
      </c>
      <c r="G38" s="138" t="str">
        <f>Inputs!H5</f>
        <v>1000 Coins</v>
      </c>
      <c r="H38" s="138" t="str">
        <f>Inputs!I5</f>
        <v>6000000 Coins</v>
      </c>
      <c r="I38" s="138" t="str">
        <f>Inputs!J5</f>
        <v>1000000 Coins</v>
      </c>
      <c r="J38" s="138" t="str">
        <f>Inputs!K5</f>
        <v>20000000 Coins</v>
      </c>
      <c r="K38" s="138" t="str">
        <f>Inputs!L5</f>
        <v>1520000 Coins</v>
      </c>
      <c r="L38" s="138" t="str">
        <f>Inputs!M5</f>
        <v>10000 Coins</v>
      </c>
      <c r="M38" s="138" t="str">
        <f>Inputs!N5</f>
        <v>7000000 Coins</v>
      </c>
      <c r="N38" s="138" t="str">
        <f>Inputs!O5</f>
        <v>3000000 Coins</v>
      </c>
      <c r="O38" s="138" t="str">
        <f>Inputs!P5</f>
        <v>40000 Coins</v>
      </c>
      <c r="P38" s="138" t="str">
        <f>Inputs!Q5</f>
        <v>1800000 Coins</v>
      </c>
      <c r="Q38" s="138" t="str">
        <f>Inputs!R5</f>
        <v>100000 Chips, 6 Tickets</v>
      </c>
      <c r="R38" s="138" t="str">
        <f>Inputs!S5</f>
        <v>6000000 Coins</v>
      </c>
      <c r="S38" s="138" t="str">
        <f>Inputs!T5</f>
        <v>5000000 Coins</v>
      </c>
      <c r="T38" s="138" t="str">
        <f>Inputs!U5</f>
        <v>1000000 Chips</v>
      </c>
      <c r="U38" s="138" t="str">
        <f>Inputs!V5</f>
        <v>50000 Chips, 100 Loyalty Points</v>
      </c>
      <c r="V38" s="138" t="str">
        <f>Inputs!W5</f>
        <v>12,000,000 Coins, 50 Gems</v>
      </c>
      <c r="W38" s="138" t="str">
        <f>Inputs!X5</f>
        <v>2000 Coins</v>
      </c>
      <c r="X38" s="138" t="str">
        <f>Inputs!Y5</f>
        <v>3000000 Coins</v>
      </c>
      <c r="Y38" s="138" t="str">
        <f>Inputs!Z5</f>
        <v>30000 Chips, 100 Loyalty Points</v>
      </c>
      <c r="Z38" s="138" t="str">
        <f>Inputs!AA5</f>
        <v>10000 Coins</v>
      </c>
      <c r="AA38" s="138" t="str">
        <f>Inputs!AB5</f>
        <v>1400000 Coins</v>
      </c>
      <c r="AB38" s="138" t="str">
        <f>Inputs!AC5</f>
        <v>323250 Coins</v>
      </c>
      <c r="AC38" s="138" t="str">
        <f>Inputs!AD5</f>
        <v>40000 Coins</v>
      </c>
      <c r="AD38" s="138" t="str">
        <f>Inputs!AE5</f>
        <v>150 Coins, 10 Gems, 1,000 Black Diamonds</v>
      </c>
      <c r="AE38" s="138" t="str">
        <f>Inputs!AF5</f>
        <v>12,000,000 Coins, 50 Gems</v>
      </c>
      <c r="AF38" s="138" t="str">
        <f>Inputs!AG5</f>
        <v>10,000 Coins, 3 Diamonds</v>
      </c>
      <c r="AG38" s="138" t="str">
        <f>Inputs!AH5</f>
        <v>15000 Coins</v>
      </c>
      <c r="AH38" s="138" t="str">
        <f>Inputs!AI5</f>
        <v>2000000 Coins</v>
      </c>
      <c r="AI38" s="138" t="str">
        <f>Inputs!AJ5</f>
        <v>2000000 Coins</v>
      </c>
      <c r="AJ38" s="138" t="str">
        <f>Inputs!AK5</f>
        <v>200000 Coins</v>
      </c>
      <c r="AK38" s="138" t="str">
        <f>Inputs!AL5</f>
        <v>2,500 Coins, 24 Bingo Chips, 25 Boosts</v>
      </c>
      <c r="AL38" s="134" t="str">
        <f>Inputs!AM5</f>
        <v>5,000 coins, 50 Bingo Chips, 30 Power Ups</v>
      </c>
      <c r="AM38" s="138" t="str">
        <f>Inputs!AN5</f>
        <v>500 BingoTickets, 30Boosts</v>
      </c>
      <c r="AN38" s="138" t="str">
        <f>Inputs!AO5</f>
        <v>2,000 Money, 20 Gems, 30 Dice</v>
      </c>
      <c r="AO38" s="138" t="str">
        <f>Inputs!AP5</f>
        <v>12 Tickets, 16 Boosts</v>
      </c>
      <c r="AP38" s="138" t="str">
        <f>Inputs!AQ5</f>
        <v>68 Cherries, 17,500 Coins</v>
      </c>
      <c r="AQ38" s="138" t="str">
        <f>Inputs!AR5</f>
        <v>50 credits, 5000 coins, and 23 power ups</v>
      </c>
      <c r="AR38" s="138" t="str">
        <f>Inputs!AS5</f>
        <v>250,000 Chips</v>
      </c>
      <c r="AS38" s="138" t="str">
        <f>Inputs!AT5</f>
        <v>80,000 Chips, 5 gold coins</v>
      </c>
      <c r="AT38" s="138" t="str">
        <f>Inputs!AU5</f>
        <v>15,000 Chips</v>
      </c>
      <c r="AU38" s="138" t="str">
        <f>Inputs!AV5</f>
        <v>1,000,000 Coins, 20 Gems</v>
      </c>
      <c r="AV38" s="138" t="str">
        <f>Inputs!AW5</f>
        <v>95,000 Chips</v>
      </c>
      <c r="AW38" s="138" t="str">
        <f>Inputs!AX5</f>
        <v>5,000 Chips, 10 Gold Coins</v>
      </c>
      <c r="AX38" s="138" t="str">
        <f>Inputs!AY5</f>
        <v>800 Chips</v>
      </c>
      <c r="AY38" s="138" t="str">
        <f>Inputs!AZ5</f>
        <v>4,000,000 Coins, 200 Gems</v>
      </c>
      <c r="AZ38" s="138" t="str">
        <f>Inputs!BA5</f>
        <v xml:space="preserve">400,000 Coins, 10 Bucks </v>
      </c>
      <c r="BA38" s="138" t="str">
        <f>Inputs!BB5</f>
        <v>10,000,000 Chips</v>
      </c>
      <c r="BB38" s="138" t="str">
        <f>Inputs!BC5</f>
        <v>500 Bucks, 50 Power ups</v>
      </c>
      <c r="BC38" s="138" t="str">
        <f>Inputs!BD5</f>
        <v>75,000 coins, 8 spins</v>
      </c>
    </row>
    <row r="39" spans="1:55" ht="15.75" customHeight="1">
      <c r="A39" s="46"/>
      <c r="B39" s="80"/>
      <c r="C39" s="80"/>
      <c r="D39" s="80"/>
      <c r="E39" s="80"/>
      <c r="F39" s="80"/>
      <c r="G39" s="80"/>
      <c r="H39" s="80"/>
      <c r="I39" s="85"/>
      <c r="J39" s="85"/>
      <c r="K39" s="80"/>
      <c r="L39" s="80"/>
      <c r="M39" s="85"/>
      <c r="N39" s="82"/>
      <c r="O39" s="85"/>
      <c r="P39" s="85"/>
      <c r="Q39" s="80"/>
      <c r="R39" s="85"/>
      <c r="S39" s="85"/>
      <c r="T39" s="85"/>
      <c r="U39" s="80"/>
      <c r="V39" s="80">
        <f>50*V44</f>
        <v>12.475</v>
      </c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2"/>
      <c r="AJ39" s="82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5"/>
      <c r="BA39" s="85"/>
      <c r="BB39" s="85"/>
      <c r="BC39" s="85"/>
    </row>
    <row r="40" spans="1:55" ht="15.75" customHeight="1">
      <c r="A40" s="119" t="s">
        <v>251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</row>
    <row r="41" spans="1:55" ht="15.75" customHeight="1">
      <c r="A41" s="46" t="s">
        <v>252</v>
      </c>
      <c r="B41" s="80" t="s">
        <v>253</v>
      </c>
      <c r="C41" s="80" t="s">
        <v>162</v>
      </c>
      <c r="D41" s="111" t="s">
        <v>254</v>
      </c>
      <c r="E41" s="80" t="s">
        <v>162</v>
      </c>
      <c r="F41" s="80" t="s">
        <v>162</v>
      </c>
      <c r="G41" s="80" t="s">
        <v>162</v>
      </c>
      <c r="H41" s="80" t="s">
        <v>162</v>
      </c>
      <c r="I41" s="80" t="s">
        <v>162</v>
      </c>
      <c r="J41" s="80" t="s">
        <v>162</v>
      </c>
      <c r="K41" s="80" t="s">
        <v>162</v>
      </c>
      <c r="L41" s="80" t="s">
        <v>162</v>
      </c>
      <c r="M41" s="143" t="s">
        <v>162</v>
      </c>
      <c r="N41" s="143" t="s">
        <v>162</v>
      </c>
      <c r="O41" s="80" t="s">
        <v>162</v>
      </c>
      <c r="P41" s="143" t="s">
        <v>162</v>
      </c>
      <c r="Q41" s="143" t="s">
        <v>162</v>
      </c>
      <c r="R41" s="143" t="s">
        <v>255</v>
      </c>
      <c r="S41" s="143" t="s">
        <v>162</v>
      </c>
      <c r="T41" s="143" t="s">
        <v>162</v>
      </c>
      <c r="U41" s="143" t="s">
        <v>162</v>
      </c>
      <c r="V41" s="143" t="s">
        <v>256</v>
      </c>
      <c r="W41" s="143" t="s">
        <v>162</v>
      </c>
      <c r="X41" s="143" t="s">
        <v>162</v>
      </c>
      <c r="Y41" s="143" t="s">
        <v>162</v>
      </c>
      <c r="Z41" s="143" t="s">
        <v>162</v>
      </c>
      <c r="AA41" s="143" t="s">
        <v>162</v>
      </c>
      <c r="AB41" s="143" t="s">
        <v>162</v>
      </c>
      <c r="AC41" s="143" t="s">
        <v>162</v>
      </c>
      <c r="AD41" s="143" t="s">
        <v>256</v>
      </c>
      <c r="AE41" s="143" t="s">
        <v>256</v>
      </c>
      <c r="AF41" s="143" t="s">
        <v>257</v>
      </c>
      <c r="AG41" s="143" t="s">
        <v>162</v>
      </c>
      <c r="AH41" s="143" t="s">
        <v>162</v>
      </c>
      <c r="AI41" s="143" t="s">
        <v>162</v>
      </c>
      <c r="AJ41" s="143" t="s">
        <v>162</v>
      </c>
      <c r="AK41" s="143" t="s">
        <v>258</v>
      </c>
      <c r="AL41" s="80" t="s">
        <v>258</v>
      </c>
      <c r="AM41" s="80" t="s">
        <v>259</v>
      </c>
      <c r="AN41" s="80" t="s">
        <v>256</v>
      </c>
      <c r="AO41" s="80" t="s">
        <v>259</v>
      </c>
      <c r="AP41" s="80" t="s">
        <v>258</v>
      </c>
      <c r="AQ41" s="80" t="s">
        <v>258</v>
      </c>
      <c r="AR41" s="80" t="s">
        <v>162</v>
      </c>
      <c r="AS41" s="80" t="s">
        <v>260</v>
      </c>
      <c r="AT41" s="80" t="s">
        <v>162</v>
      </c>
      <c r="AU41" s="80" t="s">
        <v>256</v>
      </c>
      <c r="AV41" s="80" t="s">
        <v>261</v>
      </c>
      <c r="AW41" s="80" t="s">
        <v>260</v>
      </c>
      <c r="AX41" s="80" t="s">
        <v>162</v>
      </c>
      <c r="AY41" s="80" t="s">
        <v>256</v>
      </c>
      <c r="AZ41" s="80" t="s">
        <v>262</v>
      </c>
      <c r="BA41" s="80" t="s">
        <v>162</v>
      </c>
      <c r="BB41" s="80" t="s">
        <v>263</v>
      </c>
      <c r="BC41" s="80" t="s">
        <v>198</v>
      </c>
    </row>
    <row r="42" spans="1:55" ht="15.75" customHeight="1">
      <c r="A42" s="46" t="s">
        <v>264</v>
      </c>
      <c r="B42" s="80">
        <v>46</v>
      </c>
      <c r="C42" s="80" t="s">
        <v>162</v>
      </c>
      <c r="D42" s="111">
        <v>8</v>
      </c>
      <c r="E42" s="80" t="s">
        <v>162</v>
      </c>
      <c r="F42" s="80" t="s">
        <v>162</v>
      </c>
      <c r="G42" s="80" t="s">
        <v>162</v>
      </c>
      <c r="H42" s="80" t="s">
        <v>162</v>
      </c>
      <c r="I42" s="80" t="s">
        <v>162</v>
      </c>
      <c r="J42" s="80" t="s">
        <v>162</v>
      </c>
      <c r="K42" s="80" t="s">
        <v>162</v>
      </c>
      <c r="L42" s="80" t="s">
        <v>162</v>
      </c>
      <c r="M42" s="143" t="s">
        <v>162</v>
      </c>
      <c r="N42" s="143" t="s">
        <v>162</v>
      </c>
      <c r="O42" s="80" t="s">
        <v>162</v>
      </c>
      <c r="P42" s="143" t="s">
        <v>162</v>
      </c>
      <c r="Q42" s="143" t="s">
        <v>162</v>
      </c>
      <c r="R42" s="143">
        <v>7</v>
      </c>
      <c r="S42" s="143" t="s">
        <v>162</v>
      </c>
      <c r="T42" s="143" t="s">
        <v>162</v>
      </c>
      <c r="U42" s="143" t="s">
        <v>162</v>
      </c>
      <c r="V42" s="143">
        <v>20</v>
      </c>
      <c r="W42" s="143" t="s">
        <v>162</v>
      </c>
      <c r="X42" s="143" t="s">
        <v>162</v>
      </c>
      <c r="Y42" s="143" t="s">
        <v>162</v>
      </c>
      <c r="Z42" s="143" t="s">
        <v>162</v>
      </c>
      <c r="AA42" s="143" t="s">
        <v>162</v>
      </c>
      <c r="AB42" s="143" t="s">
        <v>162</v>
      </c>
      <c r="AC42" s="143" t="s">
        <v>162</v>
      </c>
      <c r="AD42" s="143">
        <v>100</v>
      </c>
      <c r="AE42" s="143">
        <v>20</v>
      </c>
      <c r="AF42" s="143">
        <v>24</v>
      </c>
      <c r="AG42" s="143" t="s">
        <v>162</v>
      </c>
      <c r="AH42" s="143" t="s">
        <v>162</v>
      </c>
      <c r="AI42" s="143" t="s">
        <v>162</v>
      </c>
      <c r="AJ42" s="143" t="s">
        <v>162</v>
      </c>
      <c r="AK42" s="143">
        <v>6600</v>
      </c>
      <c r="AL42" s="80">
        <v>30000</v>
      </c>
      <c r="AM42" s="80">
        <v>13</v>
      </c>
      <c r="AN42" s="80">
        <v>120</v>
      </c>
      <c r="AO42" s="80">
        <v>30</v>
      </c>
      <c r="AP42" s="80">
        <v>5000</v>
      </c>
      <c r="AQ42" s="80">
        <v>5000</v>
      </c>
      <c r="AR42" s="80" t="s">
        <v>162</v>
      </c>
      <c r="AS42" s="80">
        <v>83</v>
      </c>
      <c r="AT42" s="80" t="s">
        <v>162</v>
      </c>
      <c r="AU42" s="80">
        <v>20</v>
      </c>
      <c r="AV42" s="80">
        <v>100</v>
      </c>
      <c r="AW42" s="80">
        <v>200</v>
      </c>
      <c r="AX42" s="80" t="s">
        <v>162</v>
      </c>
      <c r="AY42" s="80">
        <v>250</v>
      </c>
      <c r="AZ42" s="80" t="s">
        <v>162</v>
      </c>
      <c r="BA42" s="80" t="s">
        <v>162</v>
      </c>
      <c r="BB42" s="80">
        <v>13</v>
      </c>
      <c r="BC42" s="80">
        <v>70</v>
      </c>
    </row>
    <row r="43" spans="1:55" ht="15.75" customHeight="1">
      <c r="A43" s="46" t="s">
        <v>265</v>
      </c>
      <c r="B43" s="145">
        <v>1</v>
      </c>
      <c r="C43" s="145" t="s">
        <v>162</v>
      </c>
      <c r="D43" s="147">
        <v>1.99</v>
      </c>
      <c r="E43" s="145" t="s">
        <v>162</v>
      </c>
      <c r="F43" s="145" t="s">
        <v>162</v>
      </c>
      <c r="G43" s="145" t="s">
        <v>162</v>
      </c>
      <c r="H43" s="145" t="s">
        <v>162</v>
      </c>
      <c r="I43" s="145" t="s">
        <v>162</v>
      </c>
      <c r="J43" s="145" t="s">
        <v>162</v>
      </c>
      <c r="K43" s="145" t="s">
        <v>162</v>
      </c>
      <c r="L43" s="145" t="s">
        <v>162</v>
      </c>
      <c r="M43" s="149" t="s">
        <v>162</v>
      </c>
      <c r="N43" s="149" t="s">
        <v>162</v>
      </c>
      <c r="O43" s="145" t="s">
        <v>162</v>
      </c>
      <c r="P43" s="149" t="s">
        <v>162</v>
      </c>
      <c r="Q43" s="149" t="s">
        <v>162</v>
      </c>
      <c r="R43" s="149">
        <v>4.99</v>
      </c>
      <c r="S43" s="149" t="s">
        <v>162</v>
      </c>
      <c r="T43" s="149" t="s">
        <v>162</v>
      </c>
      <c r="U43" s="149" t="s">
        <v>162</v>
      </c>
      <c r="V43" s="149">
        <v>4.99</v>
      </c>
      <c r="W43" s="149" t="s">
        <v>162</v>
      </c>
      <c r="X43" s="149" t="s">
        <v>162</v>
      </c>
      <c r="Y43" s="149" t="s">
        <v>162</v>
      </c>
      <c r="Z43" s="149" t="s">
        <v>162</v>
      </c>
      <c r="AA43" s="149" t="s">
        <v>162</v>
      </c>
      <c r="AB43" s="149" t="s">
        <v>162</v>
      </c>
      <c r="AC43" s="149" t="s">
        <v>162</v>
      </c>
      <c r="AD43" s="149">
        <v>9.99</v>
      </c>
      <c r="AE43" s="149">
        <v>4.99</v>
      </c>
      <c r="AF43" s="149">
        <v>4.99</v>
      </c>
      <c r="AG43" s="149" t="s">
        <v>162</v>
      </c>
      <c r="AH43" s="149" t="s">
        <v>162</v>
      </c>
      <c r="AI43" s="149" t="s">
        <v>162</v>
      </c>
      <c r="AJ43" s="149" t="s">
        <v>162</v>
      </c>
      <c r="AK43" s="149">
        <v>4.99</v>
      </c>
      <c r="AL43" s="145">
        <v>9.99</v>
      </c>
      <c r="AM43" s="145">
        <v>4.99</v>
      </c>
      <c r="AN43" s="145">
        <v>4.99</v>
      </c>
      <c r="AO43" s="145">
        <v>4.99</v>
      </c>
      <c r="AP43" s="145">
        <v>4.99</v>
      </c>
      <c r="AQ43" s="145">
        <v>4.99</v>
      </c>
      <c r="AR43" s="145" t="s">
        <v>162</v>
      </c>
      <c r="AS43" s="145">
        <v>4.99</v>
      </c>
      <c r="AT43" s="145" t="s">
        <v>162</v>
      </c>
      <c r="AU43" s="145">
        <v>4.99</v>
      </c>
      <c r="AV43" s="145">
        <v>9.99</v>
      </c>
      <c r="AW43" s="145">
        <v>4.99</v>
      </c>
      <c r="AX43" s="145" t="s">
        <v>162</v>
      </c>
      <c r="AY43" s="145">
        <v>4.99</v>
      </c>
      <c r="AZ43" s="145" t="s">
        <v>162</v>
      </c>
      <c r="BA43" s="145" t="s">
        <v>162</v>
      </c>
      <c r="BB43" s="145">
        <v>4.99</v>
      </c>
      <c r="BC43" s="145">
        <v>4.99</v>
      </c>
    </row>
    <row r="44" spans="1:55" ht="15.75" customHeight="1">
      <c r="A44" s="46" t="s">
        <v>266</v>
      </c>
      <c r="B44" s="145">
        <f t="shared" ref="B44:D44" si="0">IFERROR(B43/B42,"N/A")</f>
        <v>2.1739130434782608E-2</v>
      </c>
      <c r="C44" s="145" t="str">
        <f t="shared" si="0"/>
        <v>N/A</v>
      </c>
      <c r="D44" s="145">
        <f t="shared" si="0"/>
        <v>0.24875</v>
      </c>
      <c r="E44" s="145" t="s">
        <v>162</v>
      </c>
      <c r="F44" s="145" t="s">
        <v>162</v>
      </c>
      <c r="G44" s="145" t="s">
        <v>162</v>
      </c>
      <c r="H44" s="145" t="s">
        <v>162</v>
      </c>
      <c r="I44" s="145" t="s">
        <v>162</v>
      </c>
      <c r="J44" s="145" t="s">
        <v>162</v>
      </c>
      <c r="K44" s="145" t="s">
        <v>162</v>
      </c>
      <c r="L44" s="145" t="s">
        <v>162</v>
      </c>
      <c r="M44" s="149" t="s">
        <v>162</v>
      </c>
      <c r="N44" s="149" t="s">
        <v>162</v>
      </c>
      <c r="O44" s="145" t="s">
        <v>162</v>
      </c>
      <c r="P44" s="149" t="s">
        <v>162</v>
      </c>
      <c r="Q44" s="149" t="s">
        <v>162</v>
      </c>
      <c r="R44" s="149">
        <f>IFERROR(R43/R42,0)</f>
        <v>0.71285714285714286</v>
      </c>
      <c r="S44" s="149" t="s">
        <v>162</v>
      </c>
      <c r="T44" s="149" t="s">
        <v>162</v>
      </c>
      <c r="U44" s="149" t="s">
        <v>162</v>
      </c>
      <c r="V44" s="149">
        <f>IFERROR(V43/V42,0)</f>
        <v>0.2495</v>
      </c>
      <c r="W44" s="149" t="s">
        <v>162</v>
      </c>
      <c r="X44" s="149" t="s">
        <v>162</v>
      </c>
      <c r="Y44" s="149" t="s">
        <v>162</v>
      </c>
      <c r="Z44" s="149" t="s">
        <v>162</v>
      </c>
      <c r="AA44" s="149" t="s">
        <v>162</v>
      </c>
      <c r="AB44" s="149" t="s">
        <v>162</v>
      </c>
      <c r="AC44" s="149" t="s">
        <v>162</v>
      </c>
      <c r="AD44" s="149">
        <f t="shared" ref="AD44:AF44" si="1">IFERROR(AD43/AD42,0)</f>
        <v>9.9900000000000003E-2</v>
      </c>
      <c r="AE44" s="149">
        <f t="shared" si="1"/>
        <v>0.2495</v>
      </c>
      <c r="AF44" s="149">
        <f t="shared" si="1"/>
        <v>0.20791666666666667</v>
      </c>
      <c r="AG44" s="149" t="s">
        <v>162</v>
      </c>
      <c r="AH44" s="149" t="s">
        <v>162</v>
      </c>
      <c r="AI44" s="149" t="s">
        <v>162</v>
      </c>
      <c r="AJ44" s="149" t="s">
        <v>162</v>
      </c>
      <c r="AK44" s="149">
        <f t="shared" ref="AK44:AQ44" si="2">IFERROR(AK43/AK42,0)</f>
        <v>7.5606060606060613E-4</v>
      </c>
      <c r="AL44" s="145">
        <f t="shared" si="2"/>
        <v>3.3300000000000002E-4</v>
      </c>
      <c r="AM44" s="145">
        <f t="shared" si="2"/>
        <v>0.38384615384615384</v>
      </c>
      <c r="AN44" s="145">
        <f t="shared" si="2"/>
        <v>4.1583333333333333E-2</v>
      </c>
      <c r="AO44" s="145">
        <f t="shared" si="2"/>
        <v>0.16633333333333333</v>
      </c>
      <c r="AP44" s="145">
        <f t="shared" si="2"/>
        <v>9.9799999999999997E-4</v>
      </c>
      <c r="AQ44" s="145">
        <f t="shared" si="2"/>
        <v>9.9799999999999997E-4</v>
      </c>
      <c r="AR44" s="145" t="s">
        <v>162</v>
      </c>
      <c r="AS44" s="145">
        <f>IFERROR(AS43/AS42,0)</f>
        <v>6.0120481927710849E-2</v>
      </c>
      <c r="AT44" s="145" t="s">
        <v>162</v>
      </c>
      <c r="AU44" s="145">
        <f t="shared" ref="AU44:AW44" si="3">IFERROR(AU43/AU42,0)</f>
        <v>0.2495</v>
      </c>
      <c r="AV44" s="145">
        <f t="shared" si="3"/>
        <v>9.9900000000000003E-2</v>
      </c>
      <c r="AW44" s="145">
        <f t="shared" si="3"/>
        <v>2.495E-2</v>
      </c>
      <c r="AX44" s="145" t="s">
        <v>162</v>
      </c>
      <c r="AY44" s="145">
        <f>IFERROR(AY43/AY42,0)</f>
        <v>1.9960000000000002E-2</v>
      </c>
      <c r="AZ44" s="145" t="s">
        <v>162</v>
      </c>
      <c r="BA44" s="145" t="s">
        <v>162</v>
      </c>
      <c r="BB44" s="145">
        <f t="shared" ref="BB44:BC44" si="4">IFERROR(BB43/BB42,0)</f>
        <v>0.38384615384615384</v>
      </c>
      <c r="BC44" s="145">
        <f t="shared" si="4"/>
        <v>7.1285714285714286E-2</v>
      </c>
    </row>
    <row r="45" spans="1:55" ht="15.75" customHeight="1">
      <c r="A45" s="46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143"/>
      <c r="N45" s="143"/>
      <c r="O45" s="80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</row>
    <row r="46" spans="1:55" ht="15.75" customHeight="1">
      <c r="A46" s="46" t="s">
        <v>252</v>
      </c>
      <c r="B46" s="80" t="s">
        <v>257</v>
      </c>
      <c r="C46" s="80" t="s">
        <v>162</v>
      </c>
      <c r="D46" s="80" t="s">
        <v>162</v>
      </c>
      <c r="E46" s="80" t="s">
        <v>162</v>
      </c>
      <c r="F46" s="80" t="s">
        <v>162</v>
      </c>
      <c r="G46" s="80" t="s">
        <v>162</v>
      </c>
      <c r="H46" s="80" t="s">
        <v>162</v>
      </c>
      <c r="I46" s="80" t="s">
        <v>162</v>
      </c>
      <c r="J46" s="80" t="s">
        <v>162</v>
      </c>
      <c r="K46" s="80" t="s">
        <v>162</v>
      </c>
      <c r="L46" s="80" t="s">
        <v>162</v>
      </c>
      <c r="M46" s="143" t="s">
        <v>162</v>
      </c>
      <c r="N46" s="143" t="s">
        <v>162</v>
      </c>
      <c r="O46" s="80" t="s">
        <v>162</v>
      </c>
      <c r="P46" s="143" t="s">
        <v>162</v>
      </c>
      <c r="Q46" s="143" t="s">
        <v>162</v>
      </c>
      <c r="R46" s="143" t="s">
        <v>162</v>
      </c>
      <c r="S46" s="143" t="s">
        <v>162</v>
      </c>
      <c r="T46" s="143" t="s">
        <v>162</v>
      </c>
      <c r="U46" s="143" t="s">
        <v>162</v>
      </c>
      <c r="V46" s="143" t="s">
        <v>162</v>
      </c>
      <c r="W46" s="143" t="s">
        <v>162</v>
      </c>
      <c r="X46" s="143" t="s">
        <v>162</v>
      </c>
      <c r="Y46" s="143" t="s">
        <v>162</v>
      </c>
      <c r="Z46" s="143" t="s">
        <v>162</v>
      </c>
      <c r="AA46" s="143" t="s">
        <v>162</v>
      </c>
      <c r="AB46" s="143" t="s">
        <v>162</v>
      </c>
      <c r="AC46" s="143" t="s">
        <v>162</v>
      </c>
      <c r="AD46" s="143" t="s">
        <v>267</v>
      </c>
      <c r="AE46" s="143" t="s">
        <v>162</v>
      </c>
      <c r="AF46" s="143" t="s">
        <v>162</v>
      </c>
      <c r="AG46" s="143" t="s">
        <v>162</v>
      </c>
      <c r="AH46" s="143" t="s">
        <v>162</v>
      </c>
      <c r="AI46" s="143" t="s">
        <v>162</v>
      </c>
      <c r="AJ46" s="143" t="s">
        <v>162</v>
      </c>
      <c r="AK46" s="143" t="s">
        <v>259</v>
      </c>
      <c r="AL46" s="111" t="s">
        <v>263</v>
      </c>
      <c r="AM46" s="80" t="s">
        <v>162</v>
      </c>
      <c r="AN46" s="80" t="s">
        <v>268</v>
      </c>
      <c r="AO46" s="80" t="s">
        <v>269</v>
      </c>
      <c r="AP46" s="80" t="s">
        <v>162</v>
      </c>
      <c r="AQ46" s="80" t="s">
        <v>263</v>
      </c>
      <c r="AR46" s="80" t="s">
        <v>162</v>
      </c>
      <c r="AS46" s="80" t="s">
        <v>162</v>
      </c>
      <c r="AT46" s="80" t="s">
        <v>162</v>
      </c>
      <c r="AU46" s="80" t="s">
        <v>162</v>
      </c>
      <c r="AV46" s="80" t="s">
        <v>162</v>
      </c>
      <c r="AW46" s="80" t="s">
        <v>162</v>
      </c>
      <c r="AX46" s="80" t="s">
        <v>162</v>
      </c>
      <c r="AY46" s="80" t="s">
        <v>162</v>
      </c>
      <c r="AZ46" s="80" t="s">
        <v>162</v>
      </c>
      <c r="BA46" s="80" t="s">
        <v>162</v>
      </c>
      <c r="BB46" s="80" t="s">
        <v>162</v>
      </c>
      <c r="BC46" s="80"/>
    </row>
    <row r="47" spans="1:55" ht="15.75" customHeight="1">
      <c r="A47" s="46" t="s">
        <v>264</v>
      </c>
      <c r="B47" s="80">
        <v>165</v>
      </c>
      <c r="C47" s="80" t="s">
        <v>162</v>
      </c>
      <c r="D47" s="80" t="s">
        <v>162</v>
      </c>
      <c r="E47" s="80" t="s">
        <v>162</v>
      </c>
      <c r="F47" s="80" t="s">
        <v>162</v>
      </c>
      <c r="G47" s="80" t="s">
        <v>162</v>
      </c>
      <c r="H47" s="80" t="s">
        <v>162</v>
      </c>
      <c r="I47" s="80" t="s">
        <v>162</v>
      </c>
      <c r="J47" s="80" t="s">
        <v>162</v>
      </c>
      <c r="K47" s="80" t="s">
        <v>162</v>
      </c>
      <c r="L47" s="80" t="s">
        <v>162</v>
      </c>
      <c r="M47" s="143" t="s">
        <v>162</v>
      </c>
      <c r="N47" s="143" t="s">
        <v>162</v>
      </c>
      <c r="O47" s="80" t="s">
        <v>162</v>
      </c>
      <c r="P47" s="143" t="s">
        <v>162</v>
      </c>
      <c r="Q47" s="143" t="s">
        <v>162</v>
      </c>
      <c r="R47" s="143" t="s">
        <v>162</v>
      </c>
      <c r="S47" s="143" t="s">
        <v>162</v>
      </c>
      <c r="T47" s="143" t="s">
        <v>162</v>
      </c>
      <c r="U47" s="143" t="s">
        <v>162</v>
      </c>
      <c r="V47" s="143" t="s">
        <v>162</v>
      </c>
      <c r="W47" s="143" t="s">
        <v>162</v>
      </c>
      <c r="X47" s="143" t="s">
        <v>162</v>
      </c>
      <c r="Y47" s="143" t="s">
        <v>162</v>
      </c>
      <c r="Z47" s="143" t="s">
        <v>162</v>
      </c>
      <c r="AA47" s="143" t="s">
        <v>162</v>
      </c>
      <c r="AB47" s="143" t="s">
        <v>162</v>
      </c>
      <c r="AC47" s="143" t="s">
        <v>162</v>
      </c>
      <c r="AD47" s="143">
        <v>1000</v>
      </c>
      <c r="AE47" s="143" t="s">
        <v>162</v>
      </c>
      <c r="AF47" s="143" t="s">
        <v>162</v>
      </c>
      <c r="AG47" s="143" t="s">
        <v>162</v>
      </c>
      <c r="AH47" s="143" t="s">
        <v>162</v>
      </c>
      <c r="AI47" s="143" t="s">
        <v>162</v>
      </c>
      <c r="AJ47" s="143" t="s">
        <v>162</v>
      </c>
      <c r="AK47" s="143">
        <v>20</v>
      </c>
      <c r="AL47" s="80">
        <v>5</v>
      </c>
      <c r="AM47" s="80" t="s">
        <v>162</v>
      </c>
      <c r="AN47" s="80">
        <v>2900</v>
      </c>
      <c r="AO47" s="80" t="s">
        <v>162</v>
      </c>
      <c r="AP47" s="80" t="s">
        <v>162</v>
      </c>
      <c r="AQ47" s="80">
        <v>10</v>
      </c>
      <c r="AR47" s="80" t="s">
        <v>162</v>
      </c>
      <c r="AS47" s="80" t="s">
        <v>162</v>
      </c>
      <c r="AT47" s="80" t="s">
        <v>162</v>
      </c>
      <c r="AU47" s="80" t="s">
        <v>162</v>
      </c>
      <c r="AV47" s="80" t="s">
        <v>162</v>
      </c>
      <c r="AW47" s="80" t="s">
        <v>162</v>
      </c>
      <c r="AX47" s="80" t="s">
        <v>162</v>
      </c>
      <c r="AY47" s="80" t="s">
        <v>162</v>
      </c>
      <c r="AZ47" s="80" t="s">
        <v>162</v>
      </c>
      <c r="BA47" s="80" t="s">
        <v>162</v>
      </c>
      <c r="BB47" s="80" t="s">
        <v>162</v>
      </c>
      <c r="BC47" s="80"/>
    </row>
    <row r="48" spans="1:55" ht="15.75" customHeight="1">
      <c r="A48" s="46" t="s">
        <v>265</v>
      </c>
      <c r="B48" s="145">
        <v>5</v>
      </c>
      <c r="C48" s="145" t="s">
        <v>162</v>
      </c>
      <c r="D48" s="145" t="s">
        <v>162</v>
      </c>
      <c r="E48" s="145" t="s">
        <v>162</v>
      </c>
      <c r="F48" s="145" t="s">
        <v>162</v>
      </c>
      <c r="G48" s="145" t="s">
        <v>162</v>
      </c>
      <c r="H48" s="145" t="s">
        <v>162</v>
      </c>
      <c r="I48" s="145" t="s">
        <v>162</v>
      </c>
      <c r="J48" s="145" t="s">
        <v>162</v>
      </c>
      <c r="K48" s="145" t="s">
        <v>162</v>
      </c>
      <c r="L48" s="145" t="s">
        <v>162</v>
      </c>
      <c r="M48" s="149" t="s">
        <v>162</v>
      </c>
      <c r="N48" s="149" t="s">
        <v>162</v>
      </c>
      <c r="O48" s="145" t="s">
        <v>162</v>
      </c>
      <c r="P48" s="149" t="s">
        <v>162</v>
      </c>
      <c r="Q48" s="149" t="s">
        <v>162</v>
      </c>
      <c r="R48" s="149" t="s">
        <v>162</v>
      </c>
      <c r="S48" s="149" t="s">
        <v>162</v>
      </c>
      <c r="T48" s="149" t="s">
        <v>162</v>
      </c>
      <c r="U48" s="149" t="s">
        <v>162</v>
      </c>
      <c r="V48" s="149" t="s">
        <v>162</v>
      </c>
      <c r="W48" s="149" t="s">
        <v>162</v>
      </c>
      <c r="X48" s="149" t="s">
        <v>162</v>
      </c>
      <c r="Y48" s="149" t="s">
        <v>162</v>
      </c>
      <c r="Z48" s="149" t="s">
        <v>162</v>
      </c>
      <c r="AA48" s="149" t="s">
        <v>162</v>
      </c>
      <c r="AB48" s="149" t="s">
        <v>162</v>
      </c>
      <c r="AC48" s="149" t="s">
        <v>162</v>
      </c>
      <c r="AD48" s="149">
        <v>14.99</v>
      </c>
      <c r="AE48" s="149" t="s">
        <v>162</v>
      </c>
      <c r="AF48" s="149" t="s">
        <v>162</v>
      </c>
      <c r="AG48" s="149" t="s">
        <v>162</v>
      </c>
      <c r="AH48" s="149" t="s">
        <v>162</v>
      </c>
      <c r="AI48" s="149" t="s">
        <v>162</v>
      </c>
      <c r="AJ48" s="149" t="s">
        <v>162</v>
      </c>
      <c r="AK48" s="149">
        <v>1.99</v>
      </c>
      <c r="AL48" s="145">
        <v>4.99</v>
      </c>
      <c r="AM48" s="145" t="s">
        <v>162</v>
      </c>
      <c r="AN48" s="145">
        <v>4.99</v>
      </c>
      <c r="AO48" s="145" t="s">
        <v>162</v>
      </c>
      <c r="AP48" s="145" t="s">
        <v>162</v>
      </c>
      <c r="AQ48" s="145">
        <v>2.99</v>
      </c>
      <c r="AR48" s="145" t="s">
        <v>162</v>
      </c>
      <c r="AS48" s="145" t="s">
        <v>162</v>
      </c>
      <c r="AT48" s="145" t="s">
        <v>162</v>
      </c>
      <c r="AU48" s="145" t="s">
        <v>162</v>
      </c>
      <c r="AV48" s="145" t="s">
        <v>162</v>
      </c>
      <c r="AW48" s="145" t="s">
        <v>162</v>
      </c>
      <c r="AX48" s="145" t="s">
        <v>162</v>
      </c>
      <c r="AY48" s="145" t="s">
        <v>162</v>
      </c>
      <c r="AZ48" s="145" t="s">
        <v>162</v>
      </c>
      <c r="BA48" s="145" t="s">
        <v>162</v>
      </c>
      <c r="BB48" s="145" t="s">
        <v>162</v>
      </c>
      <c r="BC48" s="145"/>
    </row>
    <row r="49" spans="1:55" ht="15.75" customHeight="1">
      <c r="A49" s="46" t="s">
        <v>266</v>
      </c>
      <c r="B49" s="145">
        <f>IFERROR(B48/B47,0)</f>
        <v>3.0303030303030304E-2</v>
      </c>
      <c r="C49" s="145" t="s">
        <v>162</v>
      </c>
      <c r="D49" s="145" t="s">
        <v>162</v>
      </c>
      <c r="E49" s="145" t="s">
        <v>162</v>
      </c>
      <c r="F49" s="145" t="s">
        <v>162</v>
      </c>
      <c r="G49" s="145" t="s">
        <v>162</v>
      </c>
      <c r="H49" s="145" t="s">
        <v>162</v>
      </c>
      <c r="I49" s="145" t="s">
        <v>162</v>
      </c>
      <c r="J49" s="145" t="s">
        <v>162</v>
      </c>
      <c r="K49" s="145" t="s">
        <v>162</v>
      </c>
      <c r="L49" s="145" t="s">
        <v>162</v>
      </c>
      <c r="M49" s="149" t="s">
        <v>162</v>
      </c>
      <c r="N49" s="149" t="s">
        <v>162</v>
      </c>
      <c r="O49" s="145" t="s">
        <v>162</v>
      </c>
      <c r="P49" s="149" t="s">
        <v>162</v>
      </c>
      <c r="Q49" s="149" t="s">
        <v>162</v>
      </c>
      <c r="R49" s="149" t="s">
        <v>162</v>
      </c>
      <c r="S49" s="149" t="s">
        <v>162</v>
      </c>
      <c r="T49" s="149" t="s">
        <v>162</v>
      </c>
      <c r="U49" s="149" t="s">
        <v>162</v>
      </c>
      <c r="V49" s="149" t="s">
        <v>162</v>
      </c>
      <c r="W49" s="149" t="s">
        <v>162</v>
      </c>
      <c r="X49" s="149" t="s">
        <v>162</v>
      </c>
      <c r="Y49" s="149" t="s">
        <v>162</v>
      </c>
      <c r="Z49" s="149" t="s">
        <v>162</v>
      </c>
      <c r="AA49" s="149" t="s">
        <v>162</v>
      </c>
      <c r="AB49" s="149" t="s">
        <v>162</v>
      </c>
      <c r="AC49" s="149" t="s">
        <v>162</v>
      </c>
      <c r="AD49" s="149">
        <f>IFERROR(AD48/AD47,0)</f>
        <v>1.499E-2</v>
      </c>
      <c r="AE49" s="149" t="s">
        <v>162</v>
      </c>
      <c r="AF49" s="149" t="s">
        <v>162</v>
      </c>
      <c r="AG49" s="149" t="s">
        <v>162</v>
      </c>
      <c r="AH49" s="149" t="s">
        <v>162</v>
      </c>
      <c r="AI49" s="149" t="s">
        <v>162</v>
      </c>
      <c r="AJ49" s="149" t="s">
        <v>162</v>
      </c>
      <c r="AK49" s="149">
        <f t="shared" ref="AK49:AL49" si="5">IFERROR(AK48/AK47,0)</f>
        <v>9.9500000000000005E-2</v>
      </c>
      <c r="AL49" s="150">
        <f t="shared" si="5"/>
        <v>0.998</v>
      </c>
      <c r="AM49" s="145" t="s">
        <v>162</v>
      </c>
      <c r="AN49" s="145">
        <f>IFERROR(AN48/AN47,0)</f>
        <v>1.7206896551724138E-3</v>
      </c>
      <c r="AO49" s="145" t="s">
        <v>162</v>
      </c>
      <c r="AP49" s="145" t="s">
        <v>162</v>
      </c>
      <c r="AQ49" s="145">
        <f>IFERROR(AQ48/AQ47,0)</f>
        <v>0.29900000000000004</v>
      </c>
      <c r="AR49" s="145" t="s">
        <v>162</v>
      </c>
      <c r="AS49" s="145" t="s">
        <v>162</v>
      </c>
      <c r="AT49" s="145" t="s">
        <v>162</v>
      </c>
      <c r="AU49" s="145" t="s">
        <v>162</v>
      </c>
      <c r="AV49" s="145" t="s">
        <v>162</v>
      </c>
      <c r="AW49" s="145" t="s">
        <v>162</v>
      </c>
      <c r="AX49" s="145" t="s">
        <v>162</v>
      </c>
      <c r="AY49" s="145" t="s">
        <v>162</v>
      </c>
      <c r="AZ49" s="145" t="s">
        <v>162</v>
      </c>
      <c r="BA49" s="145" t="s">
        <v>162</v>
      </c>
      <c r="BB49" s="145" t="s">
        <v>162</v>
      </c>
      <c r="BC49" s="145">
        <f>IFERROR(BC48/BC47,0)</f>
        <v>0</v>
      </c>
    </row>
    <row r="50" spans="1:55" ht="15.75" customHeight="1">
      <c r="A50" s="46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143"/>
      <c r="N50" s="143"/>
      <c r="O50" s="80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</row>
    <row r="51" spans="1:55" ht="15.75" customHeight="1">
      <c r="A51" s="46" t="s">
        <v>252</v>
      </c>
      <c r="B51" s="80" t="s">
        <v>162</v>
      </c>
      <c r="C51" s="80" t="s">
        <v>162</v>
      </c>
      <c r="D51" s="80" t="s">
        <v>162</v>
      </c>
      <c r="E51" s="80" t="s">
        <v>162</v>
      </c>
      <c r="F51" s="80" t="s">
        <v>162</v>
      </c>
      <c r="G51" s="80" t="s">
        <v>162</v>
      </c>
      <c r="H51" s="80" t="s">
        <v>162</v>
      </c>
      <c r="I51" s="80" t="s">
        <v>162</v>
      </c>
      <c r="J51" s="80" t="s">
        <v>162</v>
      </c>
      <c r="K51" s="80" t="s">
        <v>162</v>
      </c>
      <c r="L51" s="80" t="s">
        <v>162</v>
      </c>
      <c r="M51" s="143" t="s">
        <v>162</v>
      </c>
      <c r="N51" s="143" t="s">
        <v>162</v>
      </c>
      <c r="O51" s="80" t="s">
        <v>162</v>
      </c>
      <c r="P51" s="143" t="s">
        <v>162</v>
      </c>
      <c r="Q51" s="143" t="s">
        <v>162</v>
      </c>
      <c r="R51" s="143" t="s">
        <v>162</v>
      </c>
      <c r="S51" s="143" t="s">
        <v>162</v>
      </c>
      <c r="T51" s="143" t="s">
        <v>162</v>
      </c>
      <c r="U51" s="143" t="s">
        <v>162</v>
      </c>
      <c r="V51" s="143" t="s">
        <v>162</v>
      </c>
      <c r="W51" s="143" t="s">
        <v>162</v>
      </c>
      <c r="X51" s="143" t="s">
        <v>162</v>
      </c>
      <c r="Y51" s="143" t="s">
        <v>162</v>
      </c>
      <c r="Z51" s="143" t="s">
        <v>162</v>
      </c>
      <c r="AA51" s="143" t="s">
        <v>162</v>
      </c>
      <c r="AB51" s="143" t="s">
        <v>162</v>
      </c>
      <c r="AC51" s="143" t="s">
        <v>162</v>
      </c>
      <c r="AD51" s="143" t="s">
        <v>162</v>
      </c>
      <c r="AE51" s="143" t="s">
        <v>162</v>
      </c>
      <c r="AF51" s="143" t="s">
        <v>162</v>
      </c>
      <c r="AG51" s="143" t="s">
        <v>162</v>
      </c>
      <c r="AH51" s="143" t="s">
        <v>162</v>
      </c>
      <c r="AI51" s="143" t="s">
        <v>162</v>
      </c>
      <c r="AJ51" s="143" t="s">
        <v>162</v>
      </c>
      <c r="AK51" s="143" t="s">
        <v>270</v>
      </c>
      <c r="AL51" s="80" t="s">
        <v>162</v>
      </c>
      <c r="AM51" s="80" t="s">
        <v>162</v>
      </c>
      <c r="AN51" s="80" t="s">
        <v>271</v>
      </c>
      <c r="AO51" s="80" t="s">
        <v>162</v>
      </c>
      <c r="AP51" s="80" t="s">
        <v>162</v>
      </c>
      <c r="AQ51" s="80" t="s">
        <v>162</v>
      </c>
      <c r="AR51" s="80" t="s">
        <v>162</v>
      </c>
      <c r="AS51" s="80" t="s">
        <v>162</v>
      </c>
      <c r="AT51" s="80" t="s">
        <v>162</v>
      </c>
      <c r="AU51" s="80" t="s">
        <v>162</v>
      </c>
      <c r="AV51" s="80" t="s">
        <v>162</v>
      </c>
      <c r="AW51" s="80" t="s">
        <v>162</v>
      </c>
      <c r="AX51" s="80" t="s">
        <v>162</v>
      </c>
      <c r="AY51" s="80" t="s">
        <v>162</v>
      </c>
      <c r="AZ51" s="80" t="s">
        <v>162</v>
      </c>
      <c r="BA51" s="80" t="s">
        <v>162</v>
      </c>
      <c r="BB51" s="80" t="s">
        <v>162</v>
      </c>
      <c r="BC51" s="80"/>
    </row>
    <row r="52" spans="1:55" ht="15.75" customHeight="1">
      <c r="A52" s="46" t="s">
        <v>264</v>
      </c>
      <c r="B52" s="80" t="s">
        <v>162</v>
      </c>
      <c r="C52" s="80" t="s">
        <v>162</v>
      </c>
      <c r="D52" s="80" t="s">
        <v>162</v>
      </c>
      <c r="E52" s="80" t="s">
        <v>162</v>
      </c>
      <c r="F52" s="80" t="s">
        <v>162</v>
      </c>
      <c r="G52" s="80" t="s">
        <v>162</v>
      </c>
      <c r="H52" s="80" t="s">
        <v>162</v>
      </c>
      <c r="I52" s="80" t="s">
        <v>162</v>
      </c>
      <c r="J52" s="80" t="s">
        <v>162</v>
      </c>
      <c r="K52" s="80" t="s">
        <v>162</v>
      </c>
      <c r="L52" s="80" t="s">
        <v>162</v>
      </c>
      <c r="M52" s="143" t="s">
        <v>162</v>
      </c>
      <c r="N52" s="143" t="s">
        <v>162</v>
      </c>
      <c r="O52" s="80" t="s">
        <v>162</v>
      </c>
      <c r="P52" s="143" t="s">
        <v>162</v>
      </c>
      <c r="Q52" s="143" t="s">
        <v>162</v>
      </c>
      <c r="R52" s="143" t="s">
        <v>162</v>
      </c>
      <c r="S52" s="143" t="s">
        <v>162</v>
      </c>
      <c r="T52" s="143" t="s">
        <v>162</v>
      </c>
      <c r="U52" s="143" t="s">
        <v>162</v>
      </c>
      <c r="V52" s="143" t="s">
        <v>162</v>
      </c>
      <c r="W52" s="143" t="s">
        <v>162</v>
      </c>
      <c r="X52" s="143" t="s">
        <v>162</v>
      </c>
      <c r="Y52" s="143" t="s">
        <v>162</v>
      </c>
      <c r="Z52" s="143" t="s">
        <v>162</v>
      </c>
      <c r="AA52" s="143" t="s">
        <v>162</v>
      </c>
      <c r="AB52" s="143" t="s">
        <v>162</v>
      </c>
      <c r="AC52" s="143" t="s">
        <v>162</v>
      </c>
      <c r="AD52" s="143" t="s">
        <v>162</v>
      </c>
      <c r="AE52" s="143" t="s">
        <v>162</v>
      </c>
      <c r="AF52" s="143" t="s">
        <v>162</v>
      </c>
      <c r="AG52" s="143" t="s">
        <v>162</v>
      </c>
      <c r="AH52" s="143" t="s">
        <v>162</v>
      </c>
      <c r="AI52" s="143" t="s">
        <v>162</v>
      </c>
      <c r="AJ52" s="143" t="s">
        <v>162</v>
      </c>
      <c r="AK52" s="143">
        <v>1</v>
      </c>
      <c r="AL52" s="80" t="s">
        <v>162</v>
      </c>
      <c r="AM52" s="80" t="s">
        <v>162</v>
      </c>
      <c r="AN52" s="80">
        <v>1</v>
      </c>
      <c r="AO52" s="80" t="s">
        <v>162</v>
      </c>
      <c r="AP52" s="80" t="s">
        <v>162</v>
      </c>
      <c r="AQ52" s="80" t="s">
        <v>162</v>
      </c>
      <c r="AR52" s="80" t="s">
        <v>162</v>
      </c>
      <c r="AS52" s="80" t="s">
        <v>162</v>
      </c>
      <c r="AT52" s="80" t="s">
        <v>162</v>
      </c>
      <c r="AU52" s="80" t="s">
        <v>162</v>
      </c>
      <c r="AV52" s="80" t="s">
        <v>162</v>
      </c>
      <c r="AW52" s="80" t="s">
        <v>162</v>
      </c>
      <c r="AX52" s="80" t="s">
        <v>162</v>
      </c>
      <c r="AY52" s="80" t="s">
        <v>162</v>
      </c>
      <c r="AZ52" s="80" t="s">
        <v>162</v>
      </c>
      <c r="BA52" s="80" t="s">
        <v>162</v>
      </c>
      <c r="BB52" s="80" t="s">
        <v>162</v>
      </c>
      <c r="BC52" s="80"/>
    </row>
    <row r="53" spans="1:55" ht="15.75" customHeight="1">
      <c r="A53" s="46" t="s">
        <v>265</v>
      </c>
      <c r="B53" s="80" t="s">
        <v>162</v>
      </c>
      <c r="C53" s="80" t="s">
        <v>162</v>
      </c>
      <c r="D53" s="80" t="s">
        <v>162</v>
      </c>
      <c r="E53" s="80" t="s">
        <v>162</v>
      </c>
      <c r="F53" s="80" t="s">
        <v>162</v>
      </c>
      <c r="G53" s="80" t="s">
        <v>162</v>
      </c>
      <c r="H53" s="80" t="s">
        <v>162</v>
      </c>
      <c r="I53" s="80" t="s">
        <v>162</v>
      </c>
      <c r="J53" s="80" t="s">
        <v>162</v>
      </c>
      <c r="K53" s="80" t="s">
        <v>162</v>
      </c>
      <c r="L53" s="80" t="s">
        <v>162</v>
      </c>
      <c r="M53" s="143" t="s">
        <v>162</v>
      </c>
      <c r="N53" s="143" t="s">
        <v>162</v>
      </c>
      <c r="O53" s="80" t="s">
        <v>162</v>
      </c>
      <c r="P53" s="143" t="s">
        <v>162</v>
      </c>
      <c r="Q53" s="143" t="s">
        <v>162</v>
      </c>
      <c r="R53" s="143" t="s">
        <v>162</v>
      </c>
      <c r="S53" s="143" t="s">
        <v>162</v>
      </c>
      <c r="T53" s="143" t="s">
        <v>162</v>
      </c>
      <c r="U53" s="143" t="s">
        <v>162</v>
      </c>
      <c r="V53" s="143" t="s">
        <v>162</v>
      </c>
      <c r="W53" s="143" t="s">
        <v>162</v>
      </c>
      <c r="X53" s="143" t="s">
        <v>162</v>
      </c>
      <c r="Y53" s="143" t="s">
        <v>162</v>
      </c>
      <c r="Z53" s="143" t="s">
        <v>162</v>
      </c>
      <c r="AA53" s="143" t="s">
        <v>162</v>
      </c>
      <c r="AB53" s="143" t="s">
        <v>162</v>
      </c>
      <c r="AC53" s="143" t="s">
        <v>162</v>
      </c>
      <c r="AD53" s="143" t="s">
        <v>162</v>
      </c>
      <c r="AE53" s="143" t="s">
        <v>162</v>
      </c>
      <c r="AF53" s="143" t="s">
        <v>162</v>
      </c>
      <c r="AG53" s="143" t="s">
        <v>162</v>
      </c>
      <c r="AH53" s="143" t="s">
        <v>162</v>
      </c>
      <c r="AI53" s="143" t="s">
        <v>162</v>
      </c>
      <c r="AJ53" s="143" t="s">
        <v>162</v>
      </c>
      <c r="AK53" s="143">
        <f>5*(Inputs!AM26/Inputs!AM25)</f>
        <v>0.16666666666666666</v>
      </c>
      <c r="AL53" s="80" t="s">
        <v>162</v>
      </c>
      <c r="AM53" s="80" t="s">
        <v>162</v>
      </c>
      <c r="AN53" s="80">
        <f>(AN43/AN42)*5</f>
        <v>0.20791666666666667</v>
      </c>
      <c r="AO53" s="80" t="s">
        <v>162</v>
      </c>
      <c r="AP53" s="80" t="s">
        <v>162</v>
      </c>
      <c r="AQ53" s="80" t="s">
        <v>162</v>
      </c>
      <c r="AR53" s="80" t="s">
        <v>162</v>
      </c>
      <c r="AS53" s="80" t="s">
        <v>162</v>
      </c>
      <c r="AT53" s="80" t="s">
        <v>162</v>
      </c>
      <c r="AU53" s="80" t="s">
        <v>162</v>
      </c>
      <c r="AV53" s="80" t="s">
        <v>162</v>
      </c>
      <c r="AW53" s="80" t="s">
        <v>162</v>
      </c>
      <c r="AX53" s="80" t="s">
        <v>162</v>
      </c>
      <c r="AY53" s="80" t="s">
        <v>162</v>
      </c>
      <c r="AZ53" s="80" t="s">
        <v>162</v>
      </c>
      <c r="BA53" s="80" t="s">
        <v>162</v>
      </c>
      <c r="BB53" s="80" t="s">
        <v>162</v>
      </c>
      <c r="BC53" s="80"/>
    </row>
    <row r="54" spans="1:55" ht="15.75" customHeight="1">
      <c r="A54" s="46" t="s">
        <v>266</v>
      </c>
      <c r="B54" s="80" t="s">
        <v>162</v>
      </c>
      <c r="C54" s="80" t="s">
        <v>162</v>
      </c>
      <c r="D54" s="80" t="s">
        <v>162</v>
      </c>
      <c r="E54" s="80" t="s">
        <v>162</v>
      </c>
      <c r="F54" s="80" t="s">
        <v>162</v>
      </c>
      <c r="G54" s="80" t="s">
        <v>162</v>
      </c>
      <c r="H54" s="80" t="s">
        <v>162</v>
      </c>
      <c r="I54" s="80" t="s">
        <v>162</v>
      </c>
      <c r="J54" s="80" t="s">
        <v>162</v>
      </c>
      <c r="K54" s="80" t="s">
        <v>162</v>
      </c>
      <c r="L54" s="80" t="s">
        <v>162</v>
      </c>
      <c r="M54" s="143" t="s">
        <v>162</v>
      </c>
      <c r="N54" s="143" t="s">
        <v>162</v>
      </c>
      <c r="O54" s="80" t="s">
        <v>162</v>
      </c>
      <c r="P54" s="143" t="s">
        <v>162</v>
      </c>
      <c r="Q54" s="143" t="s">
        <v>162</v>
      </c>
      <c r="R54" s="143" t="s">
        <v>162</v>
      </c>
      <c r="S54" s="143" t="s">
        <v>162</v>
      </c>
      <c r="T54" s="143" t="s">
        <v>162</v>
      </c>
      <c r="U54" s="143" t="s">
        <v>162</v>
      </c>
      <c r="V54" s="143" t="s">
        <v>162</v>
      </c>
      <c r="W54" s="143" t="s">
        <v>162</v>
      </c>
      <c r="X54" s="143" t="s">
        <v>162</v>
      </c>
      <c r="Y54" s="143" t="s">
        <v>162</v>
      </c>
      <c r="Z54" s="143" t="s">
        <v>162</v>
      </c>
      <c r="AA54" s="143" t="s">
        <v>162</v>
      </c>
      <c r="AB54" s="143" t="s">
        <v>162</v>
      </c>
      <c r="AC54" s="143" t="s">
        <v>162</v>
      </c>
      <c r="AD54" s="143" t="s">
        <v>162</v>
      </c>
      <c r="AE54" s="143" t="s">
        <v>162</v>
      </c>
      <c r="AF54" s="143" t="s">
        <v>162</v>
      </c>
      <c r="AG54" s="143" t="s">
        <v>162</v>
      </c>
      <c r="AH54" s="143" t="s">
        <v>162</v>
      </c>
      <c r="AI54" s="143" t="s">
        <v>162</v>
      </c>
      <c r="AJ54" s="143" t="s">
        <v>162</v>
      </c>
      <c r="AK54" s="143">
        <f>IFERROR(AK53/AK52,0)</f>
        <v>0.16666666666666666</v>
      </c>
      <c r="AL54" s="80" t="s">
        <v>162</v>
      </c>
      <c r="AM54" s="80" t="s">
        <v>162</v>
      </c>
      <c r="AN54" s="80">
        <f>IFERROR(AN53/AN52,0)</f>
        <v>0.20791666666666667</v>
      </c>
      <c r="AO54" s="80" t="s">
        <v>162</v>
      </c>
      <c r="AP54" s="80" t="s">
        <v>162</v>
      </c>
      <c r="AQ54" s="80" t="s">
        <v>162</v>
      </c>
      <c r="AR54" s="80" t="s">
        <v>162</v>
      </c>
      <c r="AS54" s="80" t="s">
        <v>162</v>
      </c>
      <c r="AT54" s="80" t="s">
        <v>162</v>
      </c>
      <c r="AU54" s="80" t="s">
        <v>162</v>
      </c>
      <c r="AV54" s="80" t="s">
        <v>162</v>
      </c>
      <c r="AW54" s="80" t="s">
        <v>162</v>
      </c>
      <c r="AX54" s="80" t="s">
        <v>162</v>
      </c>
      <c r="AY54" s="80" t="s">
        <v>162</v>
      </c>
      <c r="AZ54" s="80" t="s">
        <v>162</v>
      </c>
      <c r="BA54" s="80" t="s">
        <v>162</v>
      </c>
      <c r="BB54" s="80" t="s">
        <v>162</v>
      </c>
      <c r="BC54" s="80">
        <f>IFERROR(BC53/BC52,0)</f>
        <v>0</v>
      </c>
    </row>
    <row r="55" spans="1:55" ht="15.75" customHeight="1">
      <c r="A55" s="104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135"/>
      <c r="N55" s="135"/>
      <c r="O55" s="85"/>
      <c r="P55" s="85"/>
      <c r="Q55" s="85"/>
      <c r="R55" s="85"/>
      <c r="S55" s="85"/>
      <c r="T55" s="13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13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</row>
    <row r="56" spans="1:55" ht="15.75" customHeight="1">
      <c r="A56" s="104"/>
      <c r="B56" s="85"/>
      <c r="C56" s="85"/>
      <c r="D56" s="85"/>
      <c r="E56" s="85"/>
      <c r="F56" s="85"/>
      <c r="G56" s="85"/>
      <c r="H56" s="85" t="s">
        <v>273</v>
      </c>
      <c r="I56" s="85"/>
      <c r="J56" s="85"/>
      <c r="K56" s="85"/>
      <c r="L56" s="85"/>
      <c r="M56" s="85" t="s">
        <v>273</v>
      </c>
      <c r="N56" s="135"/>
      <c r="O56" s="85"/>
      <c r="P56" s="80" t="s">
        <v>274</v>
      </c>
      <c r="Q56" s="85"/>
      <c r="R56" s="85"/>
      <c r="S56" s="85"/>
      <c r="T56" s="135"/>
      <c r="U56" s="85"/>
      <c r="V56" s="85"/>
      <c r="W56" s="85"/>
      <c r="X56" s="85"/>
      <c r="Y56" s="85"/>
      <c r="Z56" s="85"/>
      <c r="AB56" s="85"/>
      <c r="AC56" s="85"/>
      <c r="AD56" s="85"/>
      <c r="AE56" s="85"/>
      <c r="AF56" s="85"/>
      <c r="AG56" s="85"/>
      <c r="AH56" s="85"/>
      <c r="AI56" s="13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0"/>
      <c r="BA56" s="80"/>
      <c r="BB56" s="80"/>
      <c r="BC56" s="80"/>
    </row>
    <row r="57" spans="1:55" ht="15.75" customHeight="1">
      <c r="A57" s="104"/>
      <c r="B57" s="85"/>
      <c r="C57" s="85"/>
      <c r="D57" s="85"/>
      <c r="E57" s="85"/>
      <c r="F57" s="85"/>
      <c r="G57" s="85"/>
      <c r="H57" s="85" t="s">
        <v>275</v>
      </c>
      <c r="I57" s="85"/>
      <c r="J57" s="85"/>
      <c r="K57" s="85"/>
      <c r="L57" s="85"/>
      <c r="M57" s="135" t="s">
        <v>276</v>
      </c>
      <c r="N57" s="135"/>
      <c r="O57" s="85"/>
      <c r="P57" s="50">
        <v>250000</v>
      </c>
      <c r="Q57" s="85"/>
      <c r="R57" s="85"/>
      <c r="S57" s="85"/>
      <c r="T57" s="13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135"/>
      <c r="AJ57" s="85"/>
      <c r="AK57" s="85"/>
      <c r="AL57" s="85"/>
      <c r="AM57" s="151" t="s">
        <v>277</v>
      </c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>
        <f>3*BB44+3</f>
        <v>4.1515384615384612</v>
      </c>
      <c r="BC57" s="85"/>
    </row>
    <row r="58" spans="1:55" ht="15.75" customHeight="1">
      <c r="A58" s="152" t="s">
        <v>278</v>
      </c>
      <c r="B58" s="151"/>
      <c r="C58" s="151" t="s">
        <v>280</v>
      </c>
      <c r="D58" s="85"/>
      <c r="E58" s="151" t="s">
        <v>276</v>
      </c>
      <c r="F58" s="151" t="s">
        <v>281</v>
      </c>
      <c r="G58" s="85"/>
      <c r="H58" s="85" t="s">
        <v>282</v>
      </c>
      <c r="I58" s="85"/>
      <c r="J58" s="85"/>
      <c r="K58" s="85"/>
      <c r="L58" s="85"/>
      <c r="M58" s="85" t="s">
        <v>283</v>
      </c>
      <c r="N58" s="85"/>
      <c r="O58" s="85"/>
      <c r="P58" s="50">
        <f t="shared" ref="P58:P62" si="6">3750000/5</f>
        <v>750000</v>
      </c>
      <c r="Q58" s="151" t="s">
        <v>284</v>
      </c>
      <c r="R58" s="85"/>
      <c r="S58" s="85"/>
      <c r="T58" s="135"/>
      <c r="U58" s="151" t="s">
        <v>276</v>
      </c>
      <c r="V58" s="151" t="s">
        <v>284</v>
      </c>
      <c r="W58" s="151" t="s">
        <v>276</v>
      </c>
      <c r="X58" s="151" t="s">
        <v>285</v>
      </c>
      <c r="Y58" s="151" t="s">
        <v>284</v>
      </c>
      <c r="Z58" s="151" t="s">
        <v>286</v>
      </c>
      <c r="AA58" s="135" t="s">
        <v>287</v>
      </c>
      <c r="AB58" s="151" t="s">
        <v>284</v>
      </c>
      <c r="AC58" s="153" t="s">
        <v>288</v>
      </c>
      <c r="AD58" s="151" t="s">
        <v>284</v>
      </c>
      <c r="AE58" s="151" t="s">
        <v>284</v>
      </c>
      <c r="AF58" s="151" t="s">
        <v>284</v>
      </c>
      <c r="AG58" s="154" t="s">
        <v>289</v>
      </c>
      <c r="AH58" s="151" t="s">
        <v>290</v>
      </c>
      <c r="AI58" s="155" t="s">
        <v>284</v>
      </c>
      <c r="AJ58" s="151" t="s">
        <v>276</v>
      </c>
      <c r="AK58" s="151" t="s">
        <v>291</v>
      </c>
      <c r="AL58" s="151"/>
      <c r="AM58" s="156">
        <f>AL58/Inputs!AM49</f>
        <v>0</v>
      </c>
      <c r="AN58" s="85"/>
      <c r="AO58" s="85"/>
      <c r="AP58" s="85"/>
      <c r="AQ58" s="85"/>
      <c r="AR58" s="85"/>
      <c r="AS58" s="157" t="s">
        <v>292</v>
      </c>
      <c r="AT58" s="85"/>
      <c r="AU58" s="85"/>
      <c r="AV58" s="85"/>
      <c r="AW58" s="85"/>
      <c r="AX58" s="85"/>
      <c r="AY58" s="85"/>
      <c r="AZ58" s="85"/>
      <c r="BA58" s="85"/>
      <c r="BB58" s="85"/>
      <c r="BC58" s="85"/>
    </row>
    <row r="59" spans="1:55" ht="15.75" customHeight="1">
      <c r="A59" s="104"/>
      <c r="B59" s="151"/>
      <c r="C59" s="151" t="s">
        <v>293</v>
      </c>
      <c r="D59" s="85"/>
      <c r="E59" s="151" t="s">
        <v>283</v>
      </c>
      <c r="F59" s="151" t="s">
        <v>294</v>
      </c>
      <c r="G59" s="85"/>
      <c r="H59" s="85" t="s">
        <v>295</v>
      </c>
      <c r="I59" s="85"/>
      <c r="J59" s="85"/>
      <c r="K59" s="85"/>
      <c r="L59" s="85"/>
      <c r="M59" s="85" t="s">
        <v>296</v>
      </c>
      <c r="N59" s="85"/>
      <c r="O59" s="85"/>
      <c r="P59" s="50">
        <f t="shared" si="6"/>
        <v>750000</v>
      </c>
      <c r="Q59" s="151" t="s">
        <v>297</v>
      </c>
      <c r="R59" s="85"/>
      <c r="S59" s="85"/>
      <c r="T59" s="135"/>
      <c r="U59" s="151" t="s">
        <v>298</v>
      </c>
      <c r="V59" s="151" t="s">
        <v>297</v>
      </c>
      <c r="W59" s="151" t="s">
        <v>283</v>
      </c>
      <c r="X59" s="151" t="s">
        <v>299</v>
      </c>
      <c r="Y59" s="151" t="s">
        <v>297</v>
      </c>
      <c r="Z59" s="151" t="s">
        <v>300</v>
      </c>
      <c r="AA59" s="85" t="s">
        <v>301</v>
      </c>
      <c r="AB59" s="151" t="s">
        <v>297</v>
      </c>
      <c r="AC59" s="153" t="s">
        <v>302</v>
      </c>
      <c r="AD59" s="151" t="s">
        <v>297</v>
      </c>
      <c r="AE59" s="151" t="s">
        <v>297</v>
      </c>
      <c r="AF59" s="151" t="s">
        <v>297</v>
      </c>
      <c r="AG59" s="154" t="s">
        <v>303</v>
      </c>
      <c r="AH59" s="151" t="s">
        <v>304</v>
      </c>
      <c r="AI59" s="151" t="s">
        <v>297</v>
      </c>
      <c r="AJ59" s="151" t="s">
        <v>283</v>
      </c>
      <c r="AK59" s="151" t="s">
        <v>305</v>
      </c>
      <c r="AL59" s="151"/>
      <c r="AM59" s="156">
        <f>AL59/AL42*AL43</f>
        <v>0</v>
      </c>
      <c r="AN59" s="85"/>
      <c r="AO59" s="85"/>
      <c r="AP59" s="158"/>
      <c r="AQ59" s="158"/>
      <c r="AR59" s="85"/>
      <c r="AS59" s="159">
        <v>0.05</v>
      </c>
      <c r="AT59" s="85"/>
      <c r="AU59" s="85"/>
      <c r="AV59" s="85"/>
      <c r="AW59" s="85"/>
      <c r="AX59" s="85"/>
      <c r="AY59" s="85"/>
      <c r="AZ59" s="85"/>
      <c r="BA59" s="85"/>
      <c r="BB59" s="85"/>
      <c r="BC59" s="85"/>
    </row>
    <row r="60" spans="1:55" ht="15.75" customHeight="1">
      <c r="A60" s="104"/>
      <c r="B60" s="151"/>
      <c r="C60" s="151" t="s">
        <v>306</v>
      </c>
      <c r="D60" s="85"/>
      <c r="E60" s="151" t="s">
        <v>296</v>
      </c>
      <c r="F60" s="151" t="s">
        <v>307</v>
      </c>
      <c r="G60" s="85"/>
      <c r="H60" s="85" t="s">
        <v>308</v>
      </c>
      <c r="I60" s="85"/>
      <c r="J60" s="85"/>
      <c r="K60" s="85"/>
      <c r="L60" s="85"/>
      <c r="M60" s="85" t="s">
        <v>309</v>
      </c>
      <c r="N60" s="85"/>
      <c r="O60" s="85"/>
      <c r="P60" s="50">
        <f t="shared" si="6"/>
        <v>750000</v>
      </c>
      <c r="Q60" s="151" t="s">
        <v>310</v>
      </c>
      <c r="R60" s="85"/>
      <c r="S60" s="85"/>
      <c r="T60" s="85"/>
      <c r="U60" s="151" t="s">
        <v>311</v>
      </c>
      <c r="V60" s="151" t="s">
        <v>310</v>
      </c>
      <c r="W60" s="151" t="s">
        <v>296</v>
      </c>
      <c r="X60" s="151" t="s">
        <v>312</v>
      </c>
      <c r="Y60" s="151" t="s">
        <v>310</v>
      </c>
      <c r="Z60" s="151" t="s">
        <v>313</v>
      </c>
      <c r="AA60" s="85" t="s">
        <v>314</v>
      </c>
      <c r="AB60" s="151" t="s">
        <v>310</v>
      </c>
      <c r="AC60" s="153" t="s">
        <v>315</v>
      </c>
      <c r="AD60" s="151" t="s">
        <v>310</v>
      </c>
      <c r="AE60" s="151" t="s">
        <v>310</v>
      </c>
      <c r="AF60" s="151" t="s">
        <v>310</v>
      </c>
      <c r="AG60" s="154" t="s">
        <v>316</v>
      </c>
      <c r="AH60" s="151" t="s">
        <v>317</v>
      </c>
      <c r="AI60" s="151" t="s">
        <v>310</v>
      </c>
      <c r="AJ60" s="151" t="s">
        <v>296</v>
      </c>
      <c r="AK60" s="151" t="s">
        <v>318</v>
      </c>
      <c r="AL60" s="151"/>
      <c r="AM60" s="156">
        <f>AL60/AK47*AK48</f>
        <v>0</v>
      </c>
      <c r="AN60" s="85"/>
      <c r="AO60" s="85"/>
      <c r="AP60" s="85"/>
      <c r="AQ60" s="85"/>
      <c r="AR60" s="85"/>
      <c r="AS60" s="159">
        <v>0.15</v>
      </c>
      <c r="AT60" s="85"/>
      <c r="AU60" s="85"/>
      <c r="AV60" s="85"/>
      <c r="AW60" s="85"/>
      <c r="AX60" s="85"/>
      <c r="AY60" s="85"/>
      <c r="AZ60" s="85"/>
      <c r="BA60" s="85"/>
      <c r="BB60" s="85"/>
      <c r="BC60" s="85"/>
    </row>
    <row r="61" spans="1:55" ht="15.75" customHeight="1">
      <c r="A61" s="104"/>
      <c r="B61" s="151"/>
      <c r="C61" s="151" t="s">
        <v>319</v>
      </c>
      <c r="D61" s="85"/>
      <c r="E61" s="151" t="s">
        <v>309</v>
      </c>
      <c r="F61" s="151" t="s">
        <v>320</v>
      </c>
      <c r="G61" s="85"/>
      <c r="H61" s="85" t="s">
        <v>321</v>
      </c>
      <c r="I61" s="85"/>
      <c r="J61" s="85"/>
      <c r="K61" s="85"/>
      <c r="L61" s="85"/>
      <c r="M61" s="85" t="s">
        <v>322</v>
      </c>
      <c r="N61" s="85"/>
      <c r="O61" s="85"/>
      <c r="P61" s="50">
        <f t="shared" si="6"/>
        <v>750000</v>
      </c>
      <c r="Q61" s="151" t="s">
        <v>323</v>
      </c>
      <c r="R61" s="85"/>
      <c r="S61" s="85"/>
      <c r="T61" s="85"/>
      <c r="U61" s="151" t="s">
        <v>323</v>
      </c>
      <c r="V61" s="151" t="s">
        <v>323</v>
      </c>
      <c r="W61" s="151" t="s">
        <v>309</v>
      </c>
      <c r="X61" s="151" t="s">
        <v>324</v>
      </c>
      <c r="Y61" s="151" t="s">
        <v>323</v>
      </c>
      <c r="Z61" s="151" t="s">
        <v>325</v>
      </c>
      <c r="AA61" s="85" t="s">
        <v>326</v>
      </c>
      <c r="AB61" s="151" t="s">
        <v>323</v>
      </c>
      <c r="AC61" s="153" t="s">
        <v>327</v>
      </c>
      <c r="AD61" s="151" t="s">
        <v>323</v>
      </c>
      <c r="AE61" s="151" t="s">
        <v>323</v>
      </c>
      <c r="AF61" s="151" t="s">
        <v>323</v>
      </c>
      <c r="AG61" s="154" t="s">
        <v>328</v>
      </c>
      <c r="AH61" s="151" t="s">
        <v>329</v>
      </c>
      <c r="AI61" s="151" t="s">
        <v>323</v>
      </c>
      <c r="AJ61" s="151" t="s">
        <v>309</v>
      </c>
      <c r="AK61" s="85"/>
      <c r="AL61" s="85"/>
      <c r="AM61" s="156">
        <f>SUM(AM58:AM60)</f>
        <v>0</v>
      </c>
      <c r="AN61" s="85"/>
      <c r="AO61" s="85"/>
      <c r="AP61" s="85"/>
      <c r="AQ61" s="85"/>
      <c r="AR61" s="85"/>
      <c r="AS61" s="159">
        <v>0.25</v>
      </c>
      <c r="AT61" s="85"/>
      <c r="AU61" s="85"/>
      <c r="AV61" s="85"/>
      <c r="AW61" s="85"/>
      <c r="AX61" s="85"/>
      <c r="AY61" s="85"/>
      <c r="AZ61" s="85"/>
      <c r="BA61" s="85"/>
      <c r="BB61" s="85"/>
      <c r="BC61" s="85"/>
    </row>
    <row r="62" spans="1:55" ht="15.75" customHeight="1">
      <c r="A62" s="104"/>
      <c r="B62" s="151"/>
      <c r="C62" s="151" t="s">
        <v>330</v>
      </c>
      <c r="D62" s="85"/>
      <c r="E62" s="151" t="s">
        <v>322</v>
      </c>
      <c r="F62" s="151" t="s">
        <v>331</v>
      </c>
      <c r="G62" s="85"/>
      <c r="H62" s="85"/>
      <c r="I62" s="85"/>
      <c r="J62" s="85"/>
      <c r="K62" s="85"/>
      <c r="L62" s="85"/>
      <c r="M62" s="135"/>
      <c r="N62" s="85"/>
      <c r="O62" s="85"/>
      <c r="P62" s="50">
        <f t="shared" si="6"/>
        <v>750000</v>
      </c>
      <c r="Q62" s="151" t="s">
        <v>332</v>
      </c>
      <c r="R62" s="85"/>
      <c r="S62" s="85"/>
      <c r="T62" s="85"/>
      <c r="U62" s="151" t="s">
        <v>332</v>
      </c>
      <c r="V62" s="151" t="s">
        <v>332</v>
      </c>
      <c r="W62" s="151" t="s">
        <v>322</v>
      </c>
      <c r="X62" s="151" t="s">
        <v>333</v>
      </c>
      <c r="Y62" s="151" t="s">
        <v>332</v>
      </c>
      <c r="Z62" s="151" t="s">
        <v>334</v>
      </c>
      <c r="AA62" s="131" t="s">
        <v>335</v>
      </c>
      <c r="AB62" s="151" t="s">
        <v>332</v>
      </c>
      <c r="AC62" s="153" t="s">
        <v>336</v>
      </c>
      <c r="AD62" s="151" t="s">
        <v>332</v>
      </c>
      <c r="AE62" s="151" t="s">
        <v>332</v>
      </c>
      <c r="AF62" s="151" t="s">
        <v>332</v>
      </c>
      <c r="AG62" s="154" t="s">
        <v>337</v>
      </c>
      <c r="AH62" s="151" t="s">
        <v>338</v>
      </c>
      <c r="AI62" s="151" t="s">
        <v>332</v>
      </c>
      <c r="AJ62" s="151" t="s">
        <v>339</v>
      </c>
      <c r="AK62" s="85"/>
      <c r="AL62" s="85"/>
      <c r="AM62" s="85"/>
      <c r="AN62" s="85"/>
      <c r="AO62" s="85"/>
      <c r="AP62" s="85"/>
      <c r="AQ62" s="85"/>
      <c r="AR62" s="85"/>
      <c r="AS62" s="159">
        <v>0.4</v>
      </c>
      <c r="AT62" s="85"/>
      <c r="AU62" s="85"/>
      <c r="AV62" s="85"/>
      <c r="AW62" s="85"/>
      <c r="AX62" s="85"/>
      <c r="AY62" s="85"/>
      <c r="AZ62" s="85"/>
      <c r="BA62" s="85"/>
      <c r="BB62" s="85"/>
      <c r="BC62" s="85"/>
    </row>
    <row r="63" spans="1:55" ht="15.75" customHeight="1">
      <c r="A63" s="104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50">
        <f t="shared" ref="P63:P81" si="7">14250000/19</f>
        <v>750000</v>
      </c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159">
        <v>0.55000000000000004</v>
      </c>
      <c r="AT63" s="85"/>
      <c r="AU63" s="85"/>
      <c r="AV63" s="85"/>
      <c r="AW63" s="85"/>
      <c r="AX63" s="85"/>
      <c r="AY63" s="85"/>
      <c r="AZ63" s="85"/>
      <c r="BA63" s="85"/>
      <c r="BB63" s="85"/>
      <c r="BC63" s="85"/>
    </row>
    <row r="64" spans="1:55" ht="15.75" customHeight="1">
      <c r="A64" s="104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50">
        <f t="shared" si="7"/>
        <v>750000</v>
      </c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135"/>
      <c r="AT64" s="85"/>
      <c r="AU64" s="85"/>
      <c r="AV64" s="85"/>
      <c r="AW64" s="85"/>
      <c r="AX64" s="85"/>
      <c r="AY64" s="85"/>
      <c r="AZ64" s="85"/>
      <c r="BA64" s="85"/>
      <c r="BB64" s="85"/>
      <c r="BC64" s="85"/>
    </row>
    <row r="65" spans="1:55" ht="15.75" customHeight="1">
      <c r="A65" s="104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50">
        <f t="shared" si="7"/>
        <v>750000</v>
      </c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151">
        <v>165000</v>
      </c>
      <c r="AT65" s="160"/>
      <c r="AU65" s="85"/>
      <c r="AV65" s="85"/>
      <c r="AW65" s="85"/>
      <c r="AX65" s="85"/>
      <c r="AY65" s="85"/>
      <c r="AZ65" s="85"/>
      <c r="BA65" s="85"/>
      <c r="BB65" s="85"/>
      <c r="BC65" s="85"/>
    </row>
    <row r="66" spans="1:55" ht="15.75" customHeight="1">
      <c r="A66" s="104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50">
        <f t="shared" si="7"/>
        <v>750000</v>
      </c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151"/>
      <c r="AM66" s="85"/>
      <c r="AN66" s="85"/>
      <c r="AO66" s="85"/>
      <c r="AP66" s="85"/>
      <c r="AQ66" s="85"/>
      <c r="AR66" s="85"/>
      <c r="AS66" s="131"/>
      <c r="AT66" s="161"/>
      <c r="AU66" s="85"/>
      <c r="AV66" s="85"/>
      <c r="AW66" s="85"/>
      <c r="AX66" s="85"/>
      <c r="AY66" s="85"/>
      <c r="AZ66" s="85"/>
      <c r="BA66" s="85"/>
      <c r="BB66" s="85"/>
      <c r="BC66" s="85"/>
    </row>
    <row r="67" spans="1:55" ht="15.75" customHeight="1">
      <c r="A67" s="104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50">
        <f t="shared" si="7"/>
        <v>750000</v>
      </c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131"/>
      <c r="AT67" s="161"/>
      <c r="AU67" s="85"/>
      <c r="AV67" s="85"/>
      <c r="AW67" s="85"/>
      <c r="AX67" s="85"/>
      <c r="AY67" s="85"/>
      <c r="AZ67" s="85"/>
      <c r="BA67" s="85"/>
      <c r="BB67" s="85"/>
      <c r="BC67" s="85"/>
    </row>
    <row r="68" spans="1:55" ht="15.75" customHeight="1">
      <c r="A68" s="104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50">
        <f t="shared" si="7"/>
        <v>750000</v>
      </c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</row>
    <row r="69" spans="1:55" ht="15.75" customHeight="1">
      <c r="A69" s="104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50">
        <f t="shared" si="7"/>
        <v>750000</v>
      </c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156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</row>
    <row r="70" spans="1:55" ht="15.75" customHeight="1">
      <c r="A70" s="104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50">
        <f t="shared" si="7"/>
        <v>750000</v>
      </c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</row>
    <row r="71" spans="1:55" ht="15.75" customHeight="1">
      <c r="A71" s="104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50">
        <f t="shared" si="7"/>
        <v>750000</v>
      </c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</row>
    <row r="72" spans="1:55" ht="15.75" customHeight="1">
      <c r="A72" s="104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50">
        <f t="shared" si="7"/>
        <v>750000</v>
      </c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</row>
    <row r="73" spans="1:55" ht="15.75" customHeight="1">
      <c r="A73" s="104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50">
        <f t="shared" si="7"/>
        <v>750000</v>
      </c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</row>
    <row r="74" spans="1:55" ht="15.75" customHeight="1">
      <c r="A74" s="104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50">
        <f t="shared" si="7"/>
        <v>750000</v>
      </c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</row>
    <row r="75" spans="1:55" ht="15.75" customHeight="1">
      <c r="A75" s="104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50">
        <f t="shared" si="7"/>
        <v>750000</v>
      </c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</row>
    <row r="76" spans="1:55" ht="15.75" customHeight="1">
      <c r="A76" s="104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50">
        <f t="shared" si="7"/>
        <v>750000</v>
      </c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</row>
    <row r="77" spans="1:55" ht="15.75" customHeight="1">
      <c r="A77" s="104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50">
        <f t="shared" si="7"/>
        <v>750000</v>
      </c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</row>
    <row r="78" spans="1:55" ht="15.75" customHeight="1">
      <c r="A78" s="104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50">
        <f t="shared" si="7"/>
        <v>750000</v>
      </c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</row>
    <row r="79" spans="1:55" ht="15.75" customHeight="1">
      <c r="A79" s="104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50">
        <f t="shared" si="7"/>
        <v>750000</v>
      </c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</row>
    <row r="80" spans="1:55" ht="15.75" customHeight="1">
      <c r="A80" s="104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50">
        <f t="shared" si="7"/>
        <v>750000</v>
      </c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</row>
    <row r="81" spans="1:55" ht="15.75" customHeight="1">
      <c r="A81" s="104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50">
        <f t="shared" si="7"/>
        <v>750000</v>
      </c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</row>
    <row r="82" spans="1:55" ht="15.75" customHeight="1">
      <c r="A82" s="104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</row>
    <row r="83" spans="1:55" ht="15.75" customHeight="1">
      <c r="A83" s="104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50">
        <f>AVERAGE(P57:P66)</f>
        <v>700000</v>
      </c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</row>
    <row r="84" spans="1:55" ht="15.75" customHeight="1">
      <c r="A84" s="104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</row>
    <row r="85" spans="1:55" ht="15.75" customHeight="1">
      <c r="A85" s="104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</row>
    <row r="86" spans="1:55" ht="15.75" customHeight="1">
      <c r="A86" s="104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</row>
    <row r="87" spans="1:55" ht="15.75" customHeight="1">
      <c r="A87" s="104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</row>
    <row r="88" spans="1:55" ht="15.75" customHeight="1">
      <c r="A88" s="104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</row>
    <row r="89" spans="1:55" ht="15.75" customHeight="1">
      <c r="A89" s="104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</row>
    <row r="90" spans="1:55" ht="15.75" customHeight="1">
      <c r="A90" s="104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</row>
    <row r="91" spans="1:55" ht="15.75" customHeight="1">
      <c r="A91" s="104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</row>
    <row r="92" spans="1:55" ht="15.75" customHeight="1">
      <c r="A92" s="104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</row>
    <row r="93" spans="1:55" ht="15.75" customHeight="1">
      <c r="A93" s="104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</row>
    <row r="94" spans="1:55" ht="15.75" customHeight="1">
      <c r="A94" s="104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</row>
    <row r="95" spans="1:55" ht="15.75" customHeight="1">
      <c r="A95" s="104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</row>
    <row r="96" spans="1:55" ht="15.75" customHeight="1">
      <c r="A96" s="104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</row>
    <row r="97" spans="1:55" ht="15.75" customHeight="1">
      <c r="A97" s="104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</row>
    <row r="98" spans="1:55" ht="15.75" customHeight="1">
      <c r="A98" s="104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</row>
    <row r="99" spans="1:55" ht="15.75" customHeight="1">
      <c r="A99" s="104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</row>
    <row r="100" spans="1:55" ht="15.75" customHeight="1">
      <c r="A100" s="104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</row>
    <row r="101" spans="1:55" ht="15.75" customHeight="1">
      <c r="A101" s="104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</row>
    <row r="102" spans="1:55" ht="15.75" customHeight="1">
      <c r="A102" s="104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</row>
    <row r="103" spans="1:55" ht="15.75" customHeight="1">
      <c r="A103" s="104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</row>
    <row r="104" spans="1:55" ht="15.75" customHeight="1">
      <c r="A104" s="104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</row>
    <row r="105" spans="1:55" ht="15.75" customHeight="1">
      <c r="A105" s="104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</row>
    <row r="106" spans="1:55" ht="15.75" customHeight="1">
      <c r="A106" s="104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</row>
    <row r="107" spans="1:55" ht="15.75" customHeight="1">
      <c r="A107" s="104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</row>
    <row r="108" spans="1:55" ht="15.75" customHeight="1">
      <c r="A108" s="104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</row>
    <row r="109" spans="1:55" ht="15.75" customHeight="1">
      <c r="A109" s="104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</row>
    <row r="110" spans="1:55" ht="15.75" customHeight="1">
      <c r="A110" s="104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</row>
    <row r="111" spans="1:55" ht="15.75" customHeight="1">
      <c r="A111" s="104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</row>
    <row r="112" spans="1:55" ht="15.75" customHeight="1">
      <c r="A112" s="104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</row>
    <row r="113" spans="1:55" ht="15.75" customHeight="1">
      <c r="A113" s="104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</row>
    <row r="114" spans="1:55" ht="15.75" customHeight="1">
      <c r="A114" s="104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</row>
    <row r="115" spans="1:55" ht="15.75" customHeight="1">
      <c r="A115" s="104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</row>
    <row r="116" spans="1:55" ht="15.75" customHeight="1">
      <c r="A116" s="104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</row>
    <row r="117" spans="1:55" ht="15.75" customHeight="1">
      <c r="A117" s="104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</row>
    <row r="118" spans="1:55" ht="15.75" customHeight="1">
      <c r="A118" s="104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</row>
    <row r="119" spans="1:55" ht="15.75" customHeight="1">
      <c r="A119" s="104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</row>
    <row r="120" spans="1:55" ht="15.75" customHeight="1">
      <c r="A120" s="104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</row>
    <row r="121" spans="1:55" ht="15.75" customHeight="1">
      <c r="A121" s="104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</row>
    <row r="122" spans="1:55" ht="15.75" customHeight="1">
      <c r="A122" s="104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</row>
    <row r="123" spans="1:55" ht="15.75" customHeight="1">
      <c r="A123" s="104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</row>
    <row r="124" spans="1:55" ht="15.75" customHeight="1">
      <c r="A124" s="104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</row>
    <row r="125" spans="1:55" ht="15.75" customHeight="1">
      <c r="A125" s="104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</row>
    <row r="126" spans="1:55" ht="15.75" customHeight="1">
      <c r="A126" s="104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</row>
    <row r="127" spans="1:55" ht="15.75" customHeight="1">
      <c r="A127" s="104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</row>
    <row r="128" spans="1:55" ht="15.75" customHeight="1">
      <c r="A128" s="104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</row>
    <row r="129" spans="1:55" ht="15.75" customHeight="1">
      <c r="A129" s="104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</row>
    <row r="130" spans="1:55" ht="15.75" customHeight="1">
      <c r="A130" s="104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</row>
    <row r="131" spans="1:55" ht="15.75" customHeight="1">
      <c r="A131" s="104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</row>
    <row r="132" spans="1:55" ht="15.75" customHeight="1">
      <c r="A132" s="104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</row>
    <row r="133" spans="1:55" ht="15.75" customHeight="1">
      <c r="A133" s="104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</row>
    <row r="134" spans="1:55" ht="15.75" customHeight="1">
      <c r="A134" s="104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</row>
    <row r="135" spans="1:55" ht="15.75" customHeight="1">
      <c r="A135" s="104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</row>
    <row r="136" spans="1:55" ht="15.75" customHeight="1">
      <c r="A136" s="104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</row>
    <row r="137" spans="1:55" ht="15.75" customHeight="1">
      <c r="A137" s="104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</row>
    <row r="138" spans="1:55" ht="15.75" customHeight="1">
      <c r="A138" s="104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</row>
    <row r="139" spans="1:55" ht="15.75" customHeight="1">
      <c r="A139" s="104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</row>
    <row r="140" spans="1:55" ht="15.75" customHeight="1">
      <c r="A140" s="104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</row>
    <row r="141" spans="1:55" ht="15.75" customHeight="1">
      <c r="A141" s="104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</row>
    <row r="142" spans="1:55" ht="15.75" customHeight="1">
      <c r="A142" s="104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</row>
    <row r="143" spans="1:55" ht="15.75" customHeight="1">
      <c r="A143" s="104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</row>
    <row r="144" spans="1:55" ht="15.75" customHeight="1">
      <c r="A144" s="104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</row>
    <row r="145" spans="1:55" ht="15.75" customHeight="1">
      <c r="A145" s="104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</row>
    <row r="146" spans="1:55" ht="15.75" customHeight="1">
      <c r="A146" s="104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</row>
    <row r="147" spans="1:55" ht="15.75" customHeight="1">
      <c r="A147" s="104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</row>
    <row r="148" spans="1:55" ht="15.75" customHeight="1">
      <c r="A148" s="104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</row>
    <row r="149" spans="1:55" ht="15.75" customHeight="1">
      <c r="A149" s="104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</row>
    <row r="150" spans="1:55" ht="15.75" customHeight="1">
      <c r="A150" s="104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</row>
    <row r="151" spans="1:55" ht="15.75" customHeight="1">
      <c r="A151" s="104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</row>
    <row r="152" spans="1:55" ht="15.75" customHeight="1">
      <c r="A152" s="104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</row>
    <row r="153" spans="1:55" ht="15.75" customHeight="1">
      <c r="A153" s="104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</row>
    <row r="154" spans="1:55" ht="15.75" customHeight="1">
      <c r="A154" s="104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</row>
    <row r="155" spans="1:55" ht="15.75" customHeight="1">
      <c r="A155" s="104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</row>
    <row r="156" spans="1:55" ht="15.75" customHeight="1">
      <c r="A156" s="104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</row>
    <row r="157" spans="1:55" ht="15.75" customHeight="1">
      <c r="A157" s="104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</row>
    <row r="158" spans="1:55" ht="15.75" customHeight="1">
      <c r="A158" s="104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</row>
    <row r="159" spans="1:55" ht="15.75" customHeight="1">
      <c r="A159" s="104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</row>
    <row r="160" spans="1:55" ht="15.75" customHeight="1">
      <c r="A160" s="104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</row>
    <row r="161" spans="1:55" ht="15.75" customHeight="1">
      <c r="A161" s="104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</row>
    <row r="162" spans="1:55" ht="15.75" customHeight="1">
      <c r="A162" s="104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</row>
    <row r="163" spans="1:55" ht="15.75" customHeight="1">
      <c r="A163" s="104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</row>
    <row r="164" spans="1:55" ht="15.75" customHeight="1">
      <c r="A164" s="104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</row>
    <row r="165" spans="1:55" ht="15.75" customHeight="1">
      <c r="A165" s="104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</row>
    <row r="166" spans="1:55" ht="15.75" customHeight="1">
      <c r="A166" s="104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</row>
    <row r="167" spans="1:55" ht="15.75" customHeight="1">
      <c r="A167" s="104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</row>
    <row r="168" spans="1:55" ht="15.75" customHeight="1">
      <c r="A168" s="104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</row>
    <row r="169" spans="1:55" ht="15.75" customHeight="1">
      <c r="A169" s="104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</row>
    <row r="170" spans="1:55" ht="15.75" customHeight="1">
      <c r="A170" s="104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</row>
    <row r="171" spans="1:55" ht="15.75" customHeight="1">
      <c r="A171" s="104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</row>
    <row r="172" spans="1:55" ht="15.75" customHeight="1">
      <c r="A172" s="104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</row>
    <row r="173" spans="1:55" ht="15.75" customHeight="1">
      <c r="A173" s="104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</row>
    <row r="174" spans="1:55" ht="15.75" customHeight="1">
      <c r="A174" s="104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</row>
    <row r="175" spans="1:55" ht="15.75" customHeight="1">
      <c r="A175" s="104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</row>
    <row r="176" spans="1:55" ht="15.75" customHeight="1">
      <c r="A176" s="104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</row>
    <row r="177" spans="1:55" ht="15.75" customHeight="1">
      <c r="A177" s="104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</row>
    <row r="178" spans="1:55" ht="15.75" customHeight="1">
      <c r="A178" s="104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</row>
    <row r="179" spans="1:55" ht="15.75" customHeight="1">
      <c r="A179" s="104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</row>
    <row r="180" spans="1:55" ht="15.75" customHeight="1">
      <c r="A180" s="104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</row>
    <row r="181" spans="1:55" ht="15.75" customHeight="1">
      <c r="A181" s="104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</row>
    <row r="182" spans="1:55" ht="15.75" customHeight="1">
      <c r="A182" s="104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</row>
    <row r="183" spans="1:55" ht="15.75" customHeight="1">
      <c r="A183" s="104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</row>
    <row r="184" spans="1:55" ht="15.75" customHeight="1">
      <c r="A184" s="104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</row>
    <row r="185" spans="1:55" ht="15.75" customHeight="1">
      <c r="A185" s="104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</row>
    <row r="186" spans="1:55" ht="15.75" customHeight="1">
      <c r="A186" s="104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</row>
    <row r="187" spans="1:55" ht="15.75" customHeight="1">
      <c r="A187" s="104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</row>
    <row r="188" spans="1:55" ht="15.75" customHeight="1">
      <c r="A188" s="104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</row>
    <row r="189" spans="1:55" ht="15.75" customHeight="1">
      <c r="A189" s="10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</row>
    <row r="190" spans="1:55" ht="15.75" customHeight="1">
      <c r="A190" s="104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</row>
    <row r="191" spans="1:55" ht="15.75" customHeight="1">
      <c r="A191" s="104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</row>
    <row r="192" spans="1:55" ht="15.75" customHeight="1">
      <c r="A192" s="104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</row>
    <row r="193" spans="1:55" ht="15.75" customHeight="1">
      <c r="A193" s="104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</row>
    <row r="194" spans="1:55" ht="15.75" customHeight="1">
      <c r="A194" s="10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</row>
    <row r="195" spans="1:55" ht="15.75" customHeight="1">
      <c r="A195" s="104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</row>
    <row r="196" spans="1:55" ht="15.75" customHeight="1">
      <c r="A196" s="104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</row>
    <row r="197" spans="1:55" ht="15.75" customHeight="1">
      <c r="A197" s="104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</row>
    <row r="198" spans="1:55" ht="15.75" customHeight="1">
      <c r="A198" s="104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</row>
    <row r="199" spans="1:55" ht="15.75" customHeight="1">
      <c r="A199" s="104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</row>
    <row r="200" spans="1:55" ht="15.75" customHeight="1">
      <c r="A200" s="104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</row>
    <row r="201" spans="1:55" ht="15.75" customHeight="1">
      <c r="A201" s="104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</row>
    <row r="202" spans="1:55" ht="15.75" customHeight="1">
      <c r="A202" s="104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</row>
    <row r="203" spans="1:55" ht="15.75" customHeight="1">
      <c r="A203" s="104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</row>
    <row r="204" spans="1:55" ht="15.75" customHeight="1">
      <c r="A204" s="104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</row>
    <row r="205" spans="1:55" ht="15.75" customHeight="1">
      <c r="A205" s="104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</row>
    <row r="206" spans="1:55" ht="15.75" customHeight="1">
      <c r="A206" s="104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</row>
    <row r="207" spans="1:55" ht="15.75" customHeight="1">
      <c r="A207" s="104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</row>
    <row r="208" spans="1:55" ht="15.75" customHeight="1">
      <c r="A208" s="104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</row>
    <row r="209" spans="1:55" ht="15.75" customHeight="1">
      <c r="A209" s="104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</row>
    <row r="210" spans="1:55" ht="15.75" customHeight="1">
      <c r="A210" s="104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</row>
    <row r="211" spans="1:55" ht="15.75" customHeight="1">
      <c r="A211" s="104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</row>
    <row r="212" spans="1:55" ht="15.75" customHeight="1">
      <c r="A212" s="104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</row>
    <row r="213" spans="1:55" ht="15.75" customHeight="1">
      <c r="A213" s="104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</row>
    <row r="214" spans="1:55" ht="15.75" customHeight="1">
      <c r="A214" s="104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</row>
    <row r="215" spans="1:55" ht="15.75" customHeight="1">
      <c r="A215" s="104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</row>
    <row r="216" spans="1:55" ht="15.75" customHeight="1">
      <c r="A216" s="104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</row>
    <row r="217" spans="1:55" ht="15.75" customHeight="1">
      <c r="A217" s="104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</row>
    <row r="218" spans="1:55" ht="15.75" customHeight="1">
      <c r="A218" s="104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</row>
    <row r="219" spans="1:55" ht="15.75" customHeight="1">
      <c r="A219" s="104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</row>
    <row r="220" spans="1:55" ht="15.75" customHeight="1">
      <c r="A220" s="104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</row>
    <row r="221" spans="1:55" ht="15.75" customHeight="1">
      <c r="A221" s="104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</row>
    <row r="222" spans="1:55" ht="15.75" customHeight="1">
      <c r="A222" s="104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</row>
    <row r="223" spans="1:55" ht="15.75" customHeight="1">
      <c r="A223" s="104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</row>
    <row r="224" spans="1:55" ht="15.75" customHeight="1">
      <c r="A224" s="104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</row>
    <row r="225" spans="1:55" ht="15.75" customHeight="1">
      <c r="A225" s="104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</row>
    <row r="226" spans="1:55" ht="15.75" customHeight="1">
      <c r="A226" s="104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</row>
    <row r="227" spans="1:55" ht="15.75" customHeight="1">
      <c r="A227" s="104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</row>
    <row r="228" spans="1:55" ht="15.75" customHeight="1">
      <c r="A228" s="104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</row>
    <row r="229" spans="1:55" ht="15.75" customHeight="1">
      <c r="A229" s="104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</row>
    <row r="230" spans="1:55" ht="15.75" customHeight="1">
      <c r="A230" s="104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</row>
    <row r="231" spans="1:55" ht="15.75" customHeight="1">
      <c r="A231" s="104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</row>
    <row r="232" spans="1:55" ht="15.75" customHeight="1">
      <c r="A232" s="104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</row>
    <row r="233" spans="1:55" ht="15.75" customHeight="1">
      <c r="A233" s="104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</row>
    <row r="234" spans="1:55" ht="15.75" customHeight="1">
      <c r="A234" s="104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</row>
    <row r="235" spans="1:55" ht="15.75" customHeight="1">
      <c r="A235" s="104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</row>
    <row r="236" spans="1:55" ht="15.75" customHeight="1">
      <c r="A236" s="104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</row>
    <row r="237" spans="1:55" ht="15.75" customHeight="1">
      <c r="A237" s="104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</row>
    <row r="238" spans="1:55" ht="15.75" customHeight="1">
      <c r="A238" s="104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</row>
    <row r="239" spans="1:55" ht="15.75" customHeight="1">
      <c r="A239" s="104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</row>
    <row r="240" spans="1:55" ht="15.75" customHeight="1">
      <c r="A240" s="104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</row>
    <row r="241" spans="1:55" ht="15.75" customHeight="1">
      <c r="A241" s="104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</row>
    <row r="242" spans="1:55" ht="15.75" customHeight="1">
      <c r="A242" s="104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</row>
    <row r="243" spans="1:55" ht="15.75" customHeight="1">
      <c r="A243" s="104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</row>
    <row r="244" spans="1:55" ht="15.75" customHeight="1">
      <c r="A244" s="104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</row>
    <row r="245" spans="1:55" ht="15.75" customHeight="1">
      <c r="A245" s="104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</row>
    <row r="246" spans="1:55" ht="15.75" customHeight="1">
      <c r="A246" s="104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</row>
    <row r="247" spans="1:55" ht="15.75" customHeight="1">
      <c r="A247" s="104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</row>
    <row r="248" spans="1:55" ht="15.75" customHeight="1">
      <c r="A248" s="104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</row>
    <row r="249" spans="1:55" ht="15.75" customHeight="1">
      <c r="A249" s="104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</row>
    <row r="250" spans="1:55" ht="15.75" customHeight="1">
      <c r="A250" s="104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</row>
    <row r="251" spans="1:55" ht="15.75" customHeight="1">
      <c r="A251" s="104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</row>
    <row r="252" spans="1:55" ht="15.75" customHeight="1">
      <c r="A252" s="104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</row>
    <row r="253" spans="1:55" ht="15.75" customHeight="1">
      <c r="A253" s="104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</row>
    <row r="254" spans="1:55" ht="15.75" customHeight="1">
      <c r="A254" s="104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</row>
    <row r="255" spans="1:55" ht="15.75" customHeight="1">
      <c r="A255" s="104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</row>
    <row r="256" spans="1:55" ht="15.75" customHeight="1">
      <c r="A256" s="104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</row>
    <row r="257" spans="1:55" ht="15.75" customHeight="1">
      <c r="A257" s="104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</row>
    <row r="258" spans="1:55" ht="15.75" customHeight="1">
      <c r="A258" s="104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</row>
    <row r="259" spans="1:55" ht="15.75" customHeight="1">
      <c r="A259" s="104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</row>
    <row r="260" spans="1:55" ht="15.75" customHeight="1">
      <c r="A260" s="104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</row>
    <row r="261" spans="1:55" ht="15.75" customHeight="1">
      <c r="A261" s="104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</row>
    <row r="262" spans="1:55" ht="15.75" customHeight="1">
      <c r="A262" s="104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</row>
    <row r="263" spans="1:55" ht="15.75" customHeight="1">
      <c r="A263" s="104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</row>
    <row r="264" spans="1:55" ht="15.75" customHeight="1">
      <c r="A264" s="104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</row>
    <row r="265" spans="1:55" ht="15.75" customHeight="1">
      <c r="A265" s="104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</row>
    <row r="266" spans="1:55" ht="15.75" customHeight="1">
      <c r="A266" s="10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</row>
    <row r="267" spans="1:55" ht="15.75" customHeight="1">
      <c r="A267" s="10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</row>
    <row r="268" spans="1:55" ht="15.75" customHeight="1">
      <c r="A268" s="104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</row>
    <row r="269" spans="1:55" ht="15.75" customHeight="1">
      <c r="A269" s="104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</row>
    <row r="270" spans="1:55" ht="15.75" customHeight="1">
      <c r="A270" s="104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</row>
    <row r="271" spans="1:55" ht="15.75" customHeight="1">
      <c r="A271" s="104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</row>
    <row r="272" spans="1:55" ht="15.75" customHeight="1">
      <c r="A272" s="104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</row>
    <row r="273" spans="1:55" ht="15.75" customHeight="1">
      <c r="A273" s="104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</row>
    <row r="274" spans="1:55" ht="15.75" customHeight="1">
      <c r="A274" s="104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</row>
    <row r="275" spans="1:55" ht="15.75" customHeight="1">
      <c r="A275" s="104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</row>
    <row r="276" spans="1:55" ht="15.75" customHeight="1">
      <c r="A276" s="104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</row>
    <row r="277" spans="1:55" ht="15.75" customHeight="1">
      <c r="A277" s="104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</row>
    <row r="278" spans="1:55" ht="15.75" customHeight="1">
      <c r="A278" s="104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</row>
    <row r="279" spans="1:55" ht="15.75" customHeight="1">
      <c r="A279" s="104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</row>
    <row r="280" spans="1:55" ht="15.75" customHeight="1">
      <c r="A280" s="104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</row>
    <row r="281" spans="1:55" ht="15.75" customHeight="1">
      <c r="A281" s="104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</row>
    <row r="282" spans="1:55" ht="15.75" customHeight="1">
      <c r="A282" s="104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</row>
    <row r="283" spans="1:55" ht="15.75" customHeight="1">
      <c r="A283" s="104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</row>
    <row r="284" spans="1:55" ht="15.75" customHeight="1">
      <c r="A284" s="104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</row>
    <row r="285" spans="1:55" ht="15.75" customHeight="1">
      <c r="A285" s="104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</row>
    <row r="286" spans="1:55" ht="15.75" customHeight="1">
      <c r="A286" s="104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</row>
    <row r="287" spans="1:55" ht="15.75" customHeight="1">
      <c r="A287" s="104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</row>
    <row r="288" spans="1:55" ht="15.75" customHeight="1">
      <c r="A288" s="104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</row>
    <row r="289" spans="1:55" ht="15.75" customHeight="1">
      <c r="A289" s="104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</row>
    <row r="290" spans="1:55" ht="15.75" customHeight="1">
      <c r="A290" s="104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</row>
    <row r="291" spans="1:55" ht="15.75" customHeight="1">
      <c r="A291" s="104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</row>
    <row r="292" spans="1:55" ht="15.75" customHeight="1">
      <c r="A292" s="104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</row>
    <row r="293" spans="1:55" ht="15.75" customHeight="1">
      <c r="A293" s="104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</row>
    <row r="294" spans="1:55" ht="15.75" customHeight="1">
      <c r="A294" s="104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</row>
    <row r="295" spans="1:55" ht="15.75" customHeight="1">
      <c r="A295" s="104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</row>
    <row r="296" spans="1:55" ht="15.75" customHeight="1">
      <c r="A296" s="104"/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</row>
    <row r="297" spans="1:55" ht="15.75" customHeight="1">
      <c r="A297" s="104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</row>
    <row r="298" spans="1:55" ht="15.75" customHeight="1">
      <c r="A298" s="104"/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</row>
    <row r="299" spans="1:55" ht="15.75" customHeight="1">
      <c r="A299" s="104"/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</row>
    <row r="300" spans="1:55" ht="15.75" customHeight="1">
      <c r="A300" s="104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</row>
    <row r="301" spans="1:55" ht="15.75" customHeight="1">
      <c r="A301" s="104"/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</row>
    <row r="302" spans="1:55" ht="15.75" customHeight="1">
      <c r="A302" s="104"/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</row>
    <row r="303" spans="1:55" ht="15.75" customHeight="1">
      <c r="A303" s="104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</row>
    <row r="304" spans="1:55" ht="15.75" customHeight="1">
      <c r="A304" s="104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</row>
    <row r="305" spans="1:55" ht="15.75" customHeight="1">
      <c r="A305" s="104"/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</row>
    <row r="306" spans="1:55" ht="15.75" customHeight="1">
      <c r="A306" s="104"/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</row>
    <row r="307" spans="1:55" ht="15.75" customHeight="1">
      <c r="A307" s="104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</row>
    <row r="308" spans="1:55" ht="15.75" customHeight="1">
      <c r="A308" s="104"/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</row>
    <row r="309" spans="1:55" ht="15.75" customHeight="1">
      <c r="A309" s="104"/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</row>
    <row r="310" spans="1:55" ht="15.75" customHeight="1">
      <c r="A310" s="104"/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</row>
    <row r="311" spans="1:55" ht="15.75" customHeight="1">
      <c r="A311" s="104"/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85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</row>
    <row r="312" spans="1:55" ht="15.75" customHeight="1">
      <c r="A312" s="104"/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</row>
    <row r="313" spans="1:55" ht="15.75" customHeight="1">
      <c r="A313" s="104"/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</row>
    <row r="314" spans="1:55" ht="15.75" customHeight="1">
      <c r="A314" s="104"/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</row>
    <row r="315" spans="1:55" ht="15.75" customHeight="1">
      <c r="A315" s="104"/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</row>
    <row r="316" spans="1:55" ht="15.75" customHeight="1">
      <c r="A316" s="104"/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</row>
    <row r="317" spans="1:55" ht="15.75" customHeight="1">
      <c r="A317" s="104"/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</row>
    <row r="318" spans="1:55" ht="15.75" customHeight="1">
      <c r="A318" s="104"/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</row>
    <row r="319" spans="1:55" ht="15.75" customHeight="1">
      <c r="A319" s="104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</row>
    <row r="320" spans="1:55" ht="15.75" customHeight="1">
      <c r="A320" s="104"/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</row>
    <row r="321" spans="1:55" ht="15.75" customHeight="1">
      <c r="A321" s="104"/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</row>
    <row r="322" spans="1:55" ht="15.75" customHeight="1">
      <c r="A322" s="104"/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</row>
    <row r="323" spans="1:55" ht="15.75" customHeight="1">
      <c r="A323" s="104"/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</row>
    <row r="324" spans="1:55" ht="15.75" customHeight="1">
      <c r="A324" s="104"/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</row>
    <row r="325" spans="1:55" ht="15.75" customHeight="1">
      <c r="A325" s="104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</row>
    <row r="326" spans="1:55" ht="15.75" customHeight="1">
      <c r="A326" s="104"/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</row>
    <row r="327" spans="1:55" ht="15.75" customHeight="1">
      <c r="A327" s="104"/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</row>
    <row r="328" spans="1:55" ht="15.75" customHeight="1">
      <c r="A328" s="104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</row>
    <row r="329" spans="1:55" ht="15.75" customHeight="1">
      <c r="A329" s="104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</row>
    <row r="330" spans="1:55" ht="15.75" customHeight="1">
      <c r="A330" s="104"/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</row>
    <row r="331" spans="1:55" ht="15.75" customHeight="1">
      <c r="A331" s="104"/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</row>
    <row r="332" spans="1:55" ht="15.75" customHeight="1">
      <c r="A332" s="104"/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</row>
    <row r="333" spans="1:55" ht="15.75" customHeight="1">
      <c r="A333" s="104"/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</row>
    <row r="334" spans="1:55" ht="15.75" customHeight="1">
      <c r="A334" s="104"/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</row>
    <row r="335" spans="1:55" ht="15.75" customHeight="1">
      <c r="A335" s="104"/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</row>
    <row r="336" spans="1:55" ht="15.75" customHeight="1">
      <c r="A336" s="104"/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</row>
    <row r="337" spans="1:55" ht="15.75" customHeight="1">
      <c r="A337" s="104"/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</row>
    <row r="338" spans="1:55" ht="15.75" customHeight="1">
      <c r="A338" s="104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</row>
    <row r="339" spans="1:55" ht="15.75" customHeight="1">
      <c r="A339" s="104"/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</row>
    <row r="340" spans="1:55" ht="15.75" customHeight="1">
      <c r="A340" s="104"/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</row>
    <row r="341" spans="1:55" ht="15.75" customHeight="1">
      <c r="A341" s="104"/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</row>
    <row r="342" spans="1:55" ht="15.75" customHeight="1">
      <c r="A342" s="104"/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</row>
    <row r="343" spans="1:55" ht="15.75" customHeight="1">
      <c r="A343" s="104"/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</row>
    <row r="344" spans="1:55" ht="15.75" customHeight="1">
      <c r="A344" s="104"/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</row>
    <row r="345" spans="1:55" ht="15.75" customHeight="1">
      <c r="A345" s="104"/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</row>
    <row r="346" spans="1:55" ht="15.75" customHeight="1">
      <c r="A346" s="104"/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</row>
    <row r="347" spans="1:55" ht="15.75" customHeight="1">
      <c r="A347" s="104"/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</row>
    <row r="348" spans="1:55" ht="15.75" customHeight="1">
      <c r="A348" s="104"/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</row>
    <row r="349" spans="1:55" ht="15.75" customHeight="1">
      <c r="A349" s="104"/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</row>
    <row r="350" spans="1:55" ht="15.75" customHeight="1">
      <c r="A350" s="104"/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</row>
    <row r="351" spans="1:55" ht="15.75" customHeight="1">
      <c r="A351" s="104"/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</row>
    <row r="352" spans="1:55" ht="15.75" customHeight="1">
      <c r="A352" s="104"/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</row>
    <row r="353" spans="1:55" ht="15.75" customHeight="1">
      <c r="A353" s="104"/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</row>
    <row r="354" spans="1:55" ht="15.75" customHeight="1">
      <c r="A354" s="104"/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</row>
    <row r="355" spans="1:55" ht="15.75" customHeight="1">
      <c r="A355" s="104"/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</row>
    <row r="356" spans="1:55" ht="15.75" customHeight="1">
      <c r="A356" s="104"/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</row>
    <row r="357" spans="1:55" ht="15.75" customHeight="1">
      <c r="A357" s="104"/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</row>
    <row r="358" spans="1:55" ht="15.75" customHeight="1">
      <c r="A358" s="104"/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</row>
    <row r="359" spans="1:55" ht="15.75" customHeight="1">
      <c r="A359" s="104"/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</row>
    <row r="360" spans="1:55" ht="15.75" customHeight="1">
      <c r="A360" s="104"/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</row>
    <row r="361" spans="1:55" ht="15.75" customHeight="1">
      <c r="A361" s="104"/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</row>
    <row r="362" spans="1:55" ht="15.75" customHeight="1">
      <c r="A362" s="104"/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</row>
    <row r="363" spans="1:55" ht="15.75" customHeight="1">
      <c r="A363" s="104"/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</row>
    <row r="364" spans="1:55" ht="15.75" customHeight="1">
      <c r="A364" s="104"/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</row>
    <row r="365" spans="1:55" ht="15.75" customHeight="1">
      <c r="A365" s="104"/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</row>
    <row r="366" spans="1:55" ht="15.75" customHeight="1">
      <c r="A366" s="104"/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</row>
    <row r="367" spans="1:55" ht="15.75" customHeight="1">
      <c r="A367" s="104"/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</row>
    <row r="368" spans="1:55" ht="15.75" customHeight="1">
      <c r="A368" s="104"/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</row>
    <row r="369" spans="1:55" ht="15.75" customHeight="1">
      <c r="A369" s="104"/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</row>
    <row r="370" spans="1:55" ht="15.75" customHeight="1">
      <c r="A370" s="104"/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</row>
    <row r="371" spans="1:55" ht="15.75" customHeight="1">
      <c r="A371" s="104"/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</row>
    <row r="372" spans="1:55" ht="15.75" customHeight="1">
      <c r="A372" s="104"/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</row>
    <row r="373" spans="1:55" ht="15.75" customHeight="1">
      <c r="A373" s="104"/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</row>
    <row r="374" spans="1:55" ht="15.75" customHeight="1">
      <c r="A374" s="104"/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</row>
    <row r="375" spans="1:55" ht="15.75" customHeight="1">
      <c r="A375" s="104"/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</row>
    <row r="376" spans="1:55" ht="15.75" customHeight="1">
      <c r="A376" s="104"/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</row>
    <row r="377" spans="1:55" ht="15.75" customHeight="1">
      <c r="A377" s="104"/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</row>
    <row r="378" spans="1:55" ht="15.75" customHeight="1">
      <c r="A378" s="104"/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</row>
    <row r="379" spans="1:55" ht="15.75" customHeight="1">
      <c r="A379" s="104"/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</row>
    <row r="380" spans="1:55" ht="15.75" customHeight="1">
      <c r="A380" s="104"/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85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</row>
    <row r="381" spans="1:55" ht="15.75" customHeight="1">
      <c r="A381" s="104"/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</row>
    <row r="382" spans="1:55" ht="15.75" customHeight="1">
      <c r="A382" s="104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</row>
    <row r="383" spans="1:55" ht="15.75" customHeight="1">
      <c r="A383" s="104"/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</row>
    <row r="384" spans="1:55" ht="15.75" customHeight="1">
      <c r="A384" s="104"/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</row>
    <row r="385" spans="1:55" ht="15.75" customHeight="1">
      <c r="A385" s="104"/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</row>
    <row r="386" spans="1:55" ht="15.75" customHeight="1">
      <c r="A386" s="104"/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</row>
    <row r="387" spans="1:55" ht="15.75" customHeight="1">
      <c r="A387" s="104"/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</row>
    <row r="388" spans="1:55" ht="15.75" customHeight="1">
      <c r="A388" s="104"/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</row>
    <row r="389" spans="1:55" ht="15.75" customHeight="1">
      <c r="A389" s="104"/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</row>
    <row r="390" spans="1:55" ht="15.75" customHeight="1">
      <c r="A390" s="104"/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</row>
    <row r="391" spans="1:55" ht="15.75" customHeight="1">
      <c r="A391" s="104"/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</row>
    <row r="392" spans="1:55" ht="15.75" customHeight="1">
      <c r="A392" s="104"/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</row>
    <row r="393" spans="1:55" ht="15.75" customHeight="1">
      <c r="A393" s="104"/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</row>
    <row r="394" spans="1:55" ht="15.75" customHeight="1">
      <c r="A394" s="104"/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</row>
    <row r="395" spans="1:55" ht="15.75" customHeight="1">
      <c r="A395" s="104"/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</row>
    <row r="396" spans="1:55" ht="15.75" customHeight="1">
      <c r="A396" s="104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</row>
    <row r="397" spans="1:55" ht="15.75" customHeight="1">
      <c r="A397" s="104"/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</row>
    <row r="398" spans="1:55" ht="15.75" customHeight="1">
      <c r="A398" s="104"/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</row>
    <row r="399" spans="1:55" ht="15.75" customHeight="1">
      <c r="A399" s="104"/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</row>
    <row r="400" spans="1:55" ht="15.75" customHeight="1">
      <c r="A400" s="104"/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</row>
    <row r="401" spans="1:55" ht="15.75" customHeight="1">
      <c r="A401" s="104"/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</row>
    <row r="402" spans="1:55" ht="15.75" customHeight="1">
      <c r="A402" s="104"/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</row>
    <row r="403" spans="1:55" ht="15.75" customHeight="1">
      <c r="A403" s="104"/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</row>
    <row r="404" spans="1:55" ht="15.75" customHeight="1">
      <c r="A404" s="104"/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</row>
    <row r="405" spans="1:55" ht="15.75" customHeight="1">
      <c r="A405" s="104"/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</row>
    <row r="406" spans="1:55" ht="15.75" customHeight="1">
      <c r="A406" s="104"/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</row>
    <row r="407" spans="1:55" ht="15.75" customHeight="1">
      <c r="A407" s="104"/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</row>
    <row r="408" spans="1:55" ht="15.75" customHeight="1">
      <c r="A408" s="104"/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</row>
    <row r="409" spans="1:55" ht="15.75" customHeight="1">
      <c r="A409" s="104"/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</row>
    <row r="410" spans="1:55" ht="15.75" customHeight="1">
      <c r="A410" s="104"/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</row>
    <row r="411" spans="1:55" ht="15.75" customHeight="1">
      <c r="A411" s="104"/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85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</row>
    <row r="412" spans="1:55" ht="15.75" customHeight="1">
      <c r="A412" s="104"/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</row>
    <row r="413" spans="1:55" ht="15.75" customHeight="1">
      <c r="A413" s="104"/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</row>
    <row r="414" spans="1:55" ht="15.75" customHeight="1">
      <c r="A414" s="104"/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</row>
    <row r="415" spans="1:55" ht="15.75" customHeight="1">
      <c r="A415" s="104"/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</row>
    <row r="416" spans="1:55" ht="15.75" customHeight="1">
      <c r="A416" s="104"/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85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</row>
    <row r="417" spans="1:55" ht="15.75" customHeight="1">
      <c r="A417" s="104"/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85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</row>
    <row r="418" spans="1:55" ht="15.75" customHeight="1">
      <c r="A418" s="104"/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85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</row>
    <row r="419" spans="1:55" ht="15.75" customHeight="1">
      <c r="A419" s="104"/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85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</row>
    <row r="420" spans="1:55" ht="15.75" customHeight="1">
      <c r="A420" s="104"/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</row>
    <row r="421" spans="1:55" ht="15.75" customHeight="1">
      <c r="A421" s="104"/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</row>
    <row r="422" spans="1:55" ht="15.75" customHeight="1">
      <c r="A422" s="104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</row>
    <row r="423" spans="1:55" ht="15.75" customHeight="1">
      <c r="A423" s="104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</row>
    <row r="424" spans="1:55" ht="15.75" customHeight="1">
      <c r="A424" s="104"/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</row>
    <row r="425" spans="1:55" ht="15.75" customHeight="1">
      <c r="A425" s="104"/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</row>
    <row r="426" spans="1:55" ht="15.75" customHeight="1">
      <c r="A426" s="104"/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</row>
    <row r="427" spans="1:55" ht="15.75" customHeight="1">
      <c r="A427" s="104"/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</row>
    <row r="428" spans="1:55" ht="15.75" customHeight="1">
      <c r="A428" s="104"/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</row>
    <row r="429" spans="1:55" ht="15.75" customHeight="1">
      <c r="A429" s="104"/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85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</row>
    <row r="430" spans="1:55" ht="15.75" customHeight="1">
      <c r="A430" s="104"/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</row>
    <row r="431" spans="1:55" ht="15.75" customHeight="1">
      <c r="A431" s="104"/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85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</row>
    <row r="432" spans="1:55" ht="15.75" customHeight="1">
      <c r="A432" s="104"/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</row>
    <row r="433" spans="1:55" ht="15.75" customHeight="1">
      <c r="A433" s="104"/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</row>
    <row r="434" spans="1:55" ht="15.75" customHeight="1">
      <c r="A434" s="104"/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</row>
    <row r="435" spans="1:55" ht="15.75" customHeight="1">
      <c r="A435" s="104"/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</row>
    <row r="436" spans="1:55" ht="15.75" customHeight="1">
      <c r="A436" s="104"/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</row>
    <row r="437" spans="1:55" ht="15.75" customHeight="1">
      <c r="A437" s="104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</row>
    <row r="438" spans="1:55" ht="15.75" customHeight="1">
      <c r="A438" s="104"/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</row>
    <row r="439" spans="1:55" ht="15.75" customHeight="1">
      <c r="A439" s="104"/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85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</row>
    <row r="440" spans="1:55" ht="15.75" customHeight="1">
      <c r="A440" s="104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</row>
    <row r="441" spans="1:55" ht="15.75" customHeight="1">
      <c r="A441" s="104"/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</row>
    <row r="442" spans="1:55" ht="15.75" customHeight="1">
      <c r="A442" s="104"/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</row>
    <row r="443" spans="1:55" ht="15.75" customHeight="1">
      <c r="A443" s="104"/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</row>
    <row r="444" spans="1:55" ht="15.75" customHeight="1">
      <c r="A444" s="104"/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</row>
    <row r="445" spans="1:55" ht="15.75" customHeight="1">
      <c r="A445" s="104"/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</row>
    <row r="446" spans="1:55" ht="15.75" customHeight="1">
      <c r="A446" s="104"/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</row>
    <row r="447" spans="1:55" ht="15.75" customHeight="1">
      <c r="A447" s="104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</row>
    <row r="448" spans="1:55" ht="15.75" customHeight="1">
      <c r="A448" s="104"/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</row>
    <row r="449" spans="1:55" ht="15.75" customHeight="1">
      <c r="A449" s="104"/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85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</row>
    <row r="450" spans="1:55" ht="15.75" customHeight="1">
      <c r="A450" s="104"/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85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</row>
    <row r="451" spans="1:55" ht="15.75" customHeight="1">
      <c r="A451" s="104"/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85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</row>
    <row r="452" spans="1:55" ht="15.75" customHeight="1">
      <c r="A452" s="104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</row>
    <row r="453" spans="1:55" ht="15.75" customHeight="1">
      <c r="A453" s="104"/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85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</row>
    <row r="454" spans="1:55" ht="15.75" customHeight="1">
      <c r="A454" s="104"/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85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</row>
    <row r="455" spans="1:55" ht="15.75" customHeight="1">
      <c r="A455" s="104"/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85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</row>
    <row r="456" spans="1:55" ht="15.75" customHeight="1">
      <c r="A456" s="104"/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85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</row>
    <row r="457" spans="1:55" ht="15.75" customHeight="1">
      <c r="A457" s="104"/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85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</row>
    <row r="458" spans="1:55" ht="15.75" customHeight="1">
      <c r="A458" s="104"/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85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</row>
    <row r="459" spans="1:55" ht="15.75" customHeight="1">
      <c r="A459" s="104"/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85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</row>
    <row r="460" spans="1:55" ht="15.75" customHeight="1">
      <c r="A460" s="104"/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85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</row>
    <row r="461" spans="1:55" ht="15.75" customHeight="1">
      <c r="A461" s="104"/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85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</row>
    <row r="462" spans="1:55" ht="15.75" customHeight="1">
      <c r="A462" s="104"/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85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</row>
    <row r="463" spans="1:55" ht="15.75" customHeight="1">
      <c r="A463" s="104"/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85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</row>
    <row r="464" spans="1:55" ht="15.75" customHeight="1">
      <c r="A464" s="104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</row>
    <row r="465" spans="1:55" ht="15.75" customHeight="1">
      <c r="A465" s="104"/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85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</row>
    <row r="466" spans="1:55" ht="15.75" customHeight="1">
      <c r="A466" s="104"/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85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</row>
    <row r="467" spans="1:55" ht="15.75" customHeight="1">
      <c r="A467" s="104"/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85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</row>
    <row r="468" spans="1:55" ht="15.75" customHeight="1">
      <c r="A468" s="104"/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85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</row>
    <row r="469" spans="1:55" ht="15.75" customHeight="1">
      <c r="A469" s="104"/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</row>
    <row r="470" spans="1:55" ht="15.75" customHeight="1">
      <c r="A470" s="104"/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</row>
    <row r="471" spans="1:55" ht="15.75" customHeight="1">
      <c r="A471" s="104"/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</row>
    <row r="472" spans="1:55" ht="15.75" customHeight="1">
      <c r="A472" s="104"/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</row>
    <row r="473" spans="1:55" ht="15.75" customHeight="1">
      <c r="A473" s="104"/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</row>
    <row r="474" spans="1:55" ht="15.75" customHeight="1">
      <c r="A474" s="104"/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</row>
    <row r="475" spans="1:55" ht="15.75" customHeight="1">
      <c r="A475" s="104"/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</row>
    <row r="476" spans="1:55" ht="15.75" customHeight="1">
      <c r="A476" s="104"/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85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</row>
    <row r="477" spans="1:55" ht="15.75" customHeight="1">
      <c r="A477" s="104"/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85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</row>
    <row r="478" spans="1:55" ht="15.75" customHeight="1">
      <c r="A478" s="104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</row>
    <row r="479" spans="1:55" ht="15.75" customHeight="1">
      <c r="A479" s="104"/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</row>
    <row r="480" spans="1:55" ht="15.75" customHeight="1">
      <c r="A480" s="104"/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85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</row>
    <row r="481" spans="1:55" ht="15.75" customHeight="1">
      <c r="A481" s="104"/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85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</row>
    <row r="482" spans="1:55" ht="15.75" customHeight="1">
      <c r="A482" s="104"/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85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</row>
    <row r="483" spans="1:55" ht="15.75" customHeight="1">
      <c r="A483" s="104"/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85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</row>
    <row r="484" spans="1:55" ht="15.75" customHeight="1">
      <c r="A484" s="104"/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85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</row>
    <row r="485" spans="1:55" ht="15.75" customHeight="1">
      <c r="A485" s="104"/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85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</row>
    <row r="486" spans="1:55" ht="15.75" customHeight="1">
      <c r="A486" s="104"/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85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</row>
    <row r="487" spans="1:55" ht="15.75" customHeight="1">
      <c r="A487" s="104"/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85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</row>
    <row r="488" spans="1:55" ht="15.75" customHeight="1">
      <c r="A488" s="104"/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85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</row>
    <row r="489" spans="1:55" ht="15.75" customHeight="1">
      <c r="A489" s="104"/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85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</row>
    <row r="490" spans="1:55" ht="15.75" customHeight="1">
      <c r="A490" s="104"/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85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</row>
    <row r="491" spans="1:55" ht="15.75" customHeight="1">
      <c r="A491" s="104"/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85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</row>
    <row r="492" spans="1:55" ht="15.75" customHeight="1">
      <c r="A492" s="104"/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85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</row>
    <row r="493" spans="1:55" ht="15.75" customHeight="1">
      <c r="A493" s="104"/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85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</row>
    <row r="494" spans="1:55" ht="15.75" customHeight="1">
      <c r="A494" s="104"/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85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</row>
    <row r="495" spans="1:55" ht="15.75" customHeight="1">
      <c r="A495" s="104"/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85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</row>
    <row r="496" spans="1:55" ht="15.75" customHeight="1">
      <c r="A496" s="104"/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85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</row>
    <row r="497" spans="1:55" ht="15.75" customHeight="1">
      <c r="A497" s="104"/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85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</row>
    <row r="498" spans="1:55" ht="15.75" customHeight="1">
      <c r="A498" s="104"/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85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</row>
    <row r="499" spans="1:55" ht="15.75" customHeight="1">
      <c r="A499" s="104"/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85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</row>
    <row r="500" spans="1:55" ht="15.75" customHeight="1">
      <c r="A500" s="104"/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85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85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</row>
    <row r="501" spans="1:55" ht="15.75" customHeight="1">
      <c r="A501" s="104"/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</row>
    <row r="502" spans="1:55" ht="15.75" customHeight="1">
      <c r="A502" s="104"/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85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85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</row>
    <row r="503" spans="1:55" ht="15.75" customHeight="1">
      <c r="A503" s="104"/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85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85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</row>
    <row r="504" spans="1:55" ht="15.75" customHeight="1">
      <c r="A504" s="104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  <c r="AK504" s="85"/>
      <c r="AL504" s="85"/>
      <c r="AM504" s="85"/>
      <c r="AN504" s="85"/>
      <c r="AO504" s="85"/>
      <c r="AP504" s="85"/>
      <c r="AQ504" s="85"/>
      <c r="AR504" s="85"/>
      <c r="AS504" s="85"/>
      <c r="AT504" s="85"/>
      <c r="AU504" s="85"/>
      <c r="AV504" s="85"/>
      <c r="AW504" s="85"/>
      <c r="AX504" s="85"/>
      <c r="AY504" s="85"/>
      <c r="AZ504" s="85"/>
      <c r="BA504" s="85"/>
      <c r="BB504" s="85"/>
      <c r="BC504" s="85"/>
    </row>
    <row r="505" spans="1:55" ht="15.75" customHeight="1">
      <c r="A505" s="104"/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  <c r="AA505" s="85"/>
      <c r="AB505" s="85"/>
      <c r="AC505" s="85"/>
      <c r="AD505" s="85"/>
      <c r="AE505" s="85"/>
      <c r="AF505" s="85"/>
      <c r="AG505" s="85"/>
      <c r="AH505" s="85"/>
      <c r="AI505" s="85"/>
      <c r="AJ505" s="85"/>
      <c r="AK505" s="85"/>
      <c r="AL505" s="85"/>
      <c r="AM505" s="85"/>
      <c r="AN505" s="85"/>
      <c r="AO505" s="85"/>
      <c r="AP505" s="85"/>
      <c r="AQ505" s="85"/>
      <c r="AR505" s="85"/>
      <c r="AS505" s="85"/>
      <c r="AT505" s="85"/>
      <c r="AU505" s="85"/>
      <c r="AV505" s="85"/>
      <c r="AW505" s="85"/>
      <c r="AX505" s="85"/>
      <c r="AY505" s="85"/>
      <c r="AZ505" s="85"/>
      <c r="BA505" s="85"/>
      <c r="BB505" s="85"/>
      <c r="BC505" s="85"/>
    </row>
    <row r="506" spans="1:55" ht="15.75" customHeight="1">
      <c r="A506" s="104"/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  <c r="AA506" s="85"/>
      <c r="AB506" s="85"/>
      <c r="AC506" s="85"/>
      <c r="AD506" s="85"/>
      <c r="AE506" s="85"/>
      <c r="AF506" s="85"/>
      <c r="AG506" s="85"/>
      <c r="AH506" s="85"/>
      <c r="AI506" s="85"/>
      <c r="AJ506" s="85"/>
      <c r="AK506" s="85"/>
      <c r="AL506" s="85"/>
      <c r="AM506" s="85"/>
      <c r="AN506" s="85"/>
      <c r="AO506" s="85"/>
      <c r="AP506" s="85"/>
      <c r="AQ506" s="85"/>
      <c r="AR506" s="85"/>
      <c r="AS506" s="85"/>
      <c r="AT506" s="85"/>
      <c r="AU506" s="85"/>
      <c r="AV506" s="85"/>
      <c r="AW506" s="85"/>
      <c r="AX506" s="85"/>
      <c r="AY506" s="85"/>
      <c r="AZ506" s="85"/>
      <c r="BA506" s="85"/>
      <c r="BB506" s="85"/>
      <c r="BC506" s="85"/>
    </row>
    <row r="507" spans="1:55" ht="15.75" customHeight="1">
      <c r="A507" s="104"/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  <c r="AA507" s="85"/>
      <c r="AB507" s="85"/>
      <c r="AC507" s="85"/>
      <c r="AD507" s="85"/>
      <c r="AE507" s="85"/>
      <c r="AF507" s="85"/>
      <c r="AG507" s="85"/>
      <c r="AH507" s="85"/>
      <c r="AI507" s="85"/>
      <c r="AJ507" s="85"/>
      <c r="AK507" s="85"/>
      <c r="AL507" s="85"/>
      <c r="AM507" s="85"/>
      <c r="AN507" s="85"/>
      <c r="AO507" s="85"/>
      <c r="AP507" s="85"/>
      <c r="AQ507" s="85"/>
      <c r="AR507" s="85"/>
      <c r="AS507" s="85"/>
      <c r="AT507" s="85"/>
      <c r="AU507" s="85"/>
      <c r="AV507" s="85"/>
      <c r="AW507" s="85"/>
      <c r="AX507" s="85"/>
      <c r="AY507" s="85"/>
      <c r="AZ507" s="85"/>
      <c r="BA507" s="85"/>
      <c r="BB507" s="85"/>
      <c r="BC507" s="85"/>
    </row>
    <row r="508" spans="1:55" ht="15.75" customHeight="1">
      <c r="A508" s="104"/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  <c r="AA508" s="85"/>
      <c r="AB508" s="85"/>
      <c r="AC508" s="85"/>
      <c r="AD508" s="85"/>
      <c r="AE508" s="85"/>
      <c r="AF508" s="85"/>
      <c r="AG508" s="85"/>
      <c r="AH508" s="85"/>
      <c r="AI508" s="85"/>
      <c r="AJ508" s="85"/>
      <c r="AK508" s="85"/>
      <c r="AL508" s="85"/>
      <c r="AM508" s="85"/>
      <c r="AN508" s="85"/>
      <c r="AO508" s="85"/>
      <c r="AP508" s="85"/>
      <c r="AQ508" s="85"/>
      <c r="AR508" s="85"/>
      <c r="AS508" s="85"/>
      <c r="AT508" s="85"/>
      <c r="AU508" s="85"/>
      <c r="AV508" s="85"/>
      <c r="AW508" s="85"/>
      <c r="AX508" s="85"/>
      <c r="AY508" s="85"/>
      <c r="AZ508" s="85"/>
      <c r="BA508" s="85"/>
      <c r="BB508" s="85"/>
      <c r="BC508" s="85"/>
    </row>
    <row r="509" spans="1:55" ht="15.75" customHeight="1">
      <c r="A509" s="104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  <c r="AA509" s="85"/>
      <c r="AB509" s="85"/>
      <c r="AC509" s="85"/>
      <c r="AD509" s="85"/>
      <c r="AE509" s="85"/>
      <c r="AF509" s="85"/>
      <c r="AG509" s="85"/>
      <c r="AH509" s="85"/>
      <c r="AI509" s="85"/>
      <c r="AJ509" s="85"/>
      <c r="AK509" s="85"/>
      <c r="AL509" s="85"/>
      <c r="AM509" s="85"/>
      <c r="AN509" s="85"/>
      <c r="AO509" s="85"/>
      <c r="AP509" s="85"/>
      <c r="AQ509" s="85"/>
      <c r="AR509" s="85"/>
      <c r="AS509" s="85"/>
      <c r="AT509" s="85"/>
      <c r="AU509" s="85"/>
      <c r="AV509" s="85"/>
      <c r="AW509" s="85"/>
      <c r="AX509" s="85"/>
      <c r="AY509" s="85"/>
      <c r="AZ509" s="85"/>
      <c r="BA509" s="85"/>
      <c r="BB509" s="85"/>
      <c r="BC509" s="85"/>
    </row>
    <row r="510" spans="1:55" ht="15.75" customHeight="1">
      <c r="A510" s="104"/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  <c r="AA510" s="85"/>
      <c r="AB510" s="85"/>
      <c r="AC510" s="85"/>
      <c r="AD510" s="85"/>
      <c r="AE510" s="85"/>
      <c r="AF510" s="85"/>
      <c r="AG510" s="85"/>
      <c r="AH510" s="85"/>
      <c r="AI510" s="85"/>
      <c r="AJ510" s="85"/>
      <c r="AK510" s="85"/>
      <c r="AL510" s="85"/>
      <c r="AM510" s="85"/>
      <c r="AN510" s="85"/>
      <c r="AO510" s="85"/>
      <c r="AP510" s="85"/>
      <c r="AQ510" s="85"/>
      <c r="AR510" s="85"/>
      <c r="AS510" s="85"/>
      <c r="AT510" s="85"/>
      <c r="AU510" s="85"/>
      <c r="AV510" s="85"/>
      <c r="AW510" s="85"/>
      <c r="AX510" s="85"/>
      <c r="AY510" s="85"/>
      <c r="AZ510" s="85"/>
      <c r="BA510" s="85"/>
      <c r="BB510" s="85"/>
      <c r="BC510" s="85"/>
    </row>
    <row r="511" spans="1:55" ht="15.75" customHeight="1">
      <c r="A511" s="104"/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  <c r="AA511" s="85"/>
      <c r="AB511" s="85"/>
      <c r="AC511" s="85"/>
      <c r="AD511" s="85"/>
      <c r="AE511" s="85"/>
      <c r="AF511" s="85"/>
      <c r="AG511" s="85"/>
      <c r="AH511" s="85"/>
      <c r="AI511" s="85"/>
      <c r="AJ511" s="85"/>
      <c r="AK511" s="85"/>
      <c r="AL511" s="85"/>
      <c r="AM511" s="85"/>
      <c r="AN511" s="85"/>
      <c r="AO511" s="85"/>
      <c r="AP511" s="85"/>
      <c r="AQ511" s="85"/>
      <c r="AR511" s="85"/>
      <c r="AS511" s="85"/>
      <c r="AT511" s="85"/>
      <c r="AU511" s="85"/>
      <c r="AV511" s="85"/>
      <c r="AW511" s="85"/>
      <c r="AX511" s="85"/>
      <c r="AY511" s="85"/>
      <c r="AZ511" s="85"/>
      <c r="BA511" s="85"/>
      <c r="BB511" s="85"/>
      <c r="BC511" s="85"/>
    </row>
    <row r="512" spans="1:55" ht="15.75" customHeight="1">
      <c r="A512" s="104"/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  <c r="AA512" s="85"/>
      <c r="AB512" s="85"/>
      <c r="AC512" s="85"/>
      <c r="AD512" s="85"/>
      <c r="AE512" s="85"/>
      <c r="AF512" s="85"/>
      <c r="AG512" s="85"/>
      <c r="AH512" s="85"/>
      <c r="AI512" s="85"/>
      <c r="AJ512" s="85"/>
      <c r="AK512" s="85"/>
      <c r="AL512" s="85"/>
      <c r="AM512" s="85"/>
      <c r="AN512" s="85"/>
      <c r="AO512" s="85"/>
      <c r="AP512" s="85"/>
      <c r="AQ512" s="85"/>
      <c r="AR512" s="85"/>
      <c r="AS512" s="85"/>
      <c r="AT512" s="85"/>
      <c r="AU512" s="85"/>
      <c r="AV512" s="85"/>
      <c r="AW512" s="85"/>
      <c r="AX512" s="85"/>
      <c r="AY512" s="85"/>
      <c r="AZ512" s="85"/>
      <c r="BA512" s="85"/>
      <c r="BB512" s="85"/>
      <c r="BC512" s="85"/>
    </row>
    <row r="513" spans="1:55" ht="15.75" customHeight="1">
      <c r="A513" s="104"/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  <c r="AA513" s="85"/>
      <c r="AB513" s="85"/>
      <c r="AC513" s="85"/>
      <c r="AD513" s="85"/>
      <c r="AE513" s="85"/>
      <c r="AF513" s="85"/>
      <c r="AG513" s="85"/>
      <c r="AH513" s="85"/>
      <c r="AI513" s="85"/>
      <c r="AJ513" s="85"/>
      <c r="AK513" s="85"/>
      <c r="AL513" s="85"/>
      <c r="AM513" s="85"/>
      <c r="AN513" s="85"/>
      <c r="AO513" s="85"/>
      <c r="AP513" s="85"/>
      <c r="AQ513" s="85"/>
      <c r="AR513" s="85"/>
      <c r="AS513" s="85"/>
      <c r="AT513" s="85"/>
      <c r="AU513" s="85"/>
      <c r="AV513" s="85"/>
      <c r="AW513" s="85"/>
      <c r="AX513" s="85"/>
      <c r="AY513" s="85"/>
      <c r="AZ513" s="85"/>
      <c r="BA513" s="85"/>
      <c r="BB513" s="85"/>
      <c r="BC513" s="85"/>
    </row>
    <row r="514" spans="1:55" ht="15.75" customHeight="1">
      <c r="A514" s="104"/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  <c r="AA514" s="85"/>
      <c r="AB514" s="85"/>
      <c r="AC514" s="85"/>
      <c r="AD514" s="85"/>
      <c r="AE514" s="85"/>
      <c r="AF514" s="85"/>
      <c r="AG514" s="85"/>
      <c r="AH514" s="85"/>
      <c r="AI514" s="85"/>
      <c r="AJ514" s="85"/>
      <c r="AK514" s="85"/>
      <c r="AL514" s="85"/>
      <c r="AM514" s="85"/>
      <c r="AN514" s="85"/>
      <c r="AO514" s="85"/>
      <c r="AP514" s="85"/>
      <c r="AQ514" s="85"/>
      <c r="AR514" s="85"/>
      <c r="AS514" s="85"/>
      <c r="AT514" s="85"/>
      <c r="AU514" s="85"/>
      <c r="AV514" s="85"/>
      <c r="AW514" s="85"/>
      <c r="AX514" s="85"/>
      <c r="AY514" s="85"/>
      <c r="AZ514" s="85"/>
      <c r="BA514" s="85"/>
      <c r="BB514" s="85"/>
      <c r="BC514" s="85"/>
    </row>
    <row r="515" spans="1:55" ht="15.75" customHeight="1">
      <c r="A515" s="104"/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  <c r="AA515" s="85"/>
      <c r="AB515" s="85"/>
      <c r="AC515" s="85"/>
      <c r="AD515" s="85"/>
      <c r="AE515" s="85"/>
      <c r="AF515" s="85"/>
      <c r="AG515" s="85"/>
      <c r="AH515" s="85"/>
      <c r="AI515" s="85"/>
      <c r="AJ515" s="85"/>
      <c r="AK515" s="85"/>
      <c r="AL515" s="85"/>
      <c r="AM515" s="85"/>
      <c r="AN515" s="85"/>
      <c r="AO515" s="85"/>
      <c r="AP515" s="85"/>
      <c r="AQ515" s="85"/>
      <c r="AR515" s="85"/>
      <c r="AS515" s="85"/>
      <c r="AT515" s="85"/>
      <c r="AU515" s="85"/>
      <c r="AV515" s="85"/>
      <c r="AW515" s="85"/>
      <c r="AX515" s="85"/>
      <c r="AY515" s="85"/>
      <c r="AZ515" s="85"/>
      <c r="BA515" s="85"/>
      <c r="BB515" s="85"/>
      <c r="BC515" s="85"/>
    </row>
    <row r="516" spans="1:55" ht="15.75" customHeight="1">
      <c r="A516" s="104"/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  <c r="AA516" s="85"/>
      <c r="AB516" s="85"/>
      <c r="AC516" s="85"/>
      <c r="AD516" s="85"/>
      <c r="AE516" s="85"/>
      <c r="AF516" s="85"/>
      <c r="AG516" s="85"/>
      <c r="AH516" s="85"/>
      <c r="AI516" s="85"/>
      <c r="AJ516" s="85"/>
      <c r="AK516" s="85"/>
      <c r="AL516" s="85"/>
      <c r="AM516" s="85"/>
      <c r="AN516" s="85"/>
      <c r="AO516" s="85"/>
      <c r="AP516" s="85"/>
      <c r="AQ516" s="85"/>
      <c r="AR516" s="85"/>
      <c r="AS516" s="85"/>
      <c r="AT516" s="85"/>
      <c r="AU516" s="85"/>
      <c r="AV516" s="85"/>
      <c r="AW516" s="85"/>
      <c r="AX516" s="85"/>
      <c r="AY516" s="85"/>
      <c r="AZ516" s="85"/>
      <c r="BA516" s="85"/>
      <c r="BB516" s="85"/>
      <c r="BC516" s="85"/>
    </row>
    <row r="517" spans="1:55" ht="15.75" customHeight="1">
      <c r="A517" s="104"/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  <c r="AA517" s="85"/>
      <c r="AB517" s="85"/>
      <c r="AC517" s="85"/>
      <c r="AD517" s="85"/>
      <c r="AE517" s="85"/>
      <c r="AF517" s="85"/>
      <c r="AG517" s="85"/>
      <c r="AH517" s="85"/>
      <c r="AI517" s="85"/>
      <c r="AJ517" s="85"/>
      <c r="AK517" s="85"/>
      <c r="AL517" s="85"/>
      <c r="AM517" s="85"/>
      <c r="AN517" s="85"/>
      <c r="AO517" s="85"/>
      <c r="AP517" s="85"/>
      <c r="AQ517" s="85"/>
      <c r="AR517" s="85"/>
      <c r="AS517" s="85"/>
      <c r="AT517" s="85"/>
      <c r="AU517" s="85"/>
      <c r="AV517" s="85"/>
      <c r="AW517" s="85"/>
      <c r="AX517" s="85"/>
      <c r="AY517" s="85"/>
      <c r="AZ517" s="85"/>
      <c r="BA517" s="85"/>
      <c r="BB517" s="85"/>
      <c r="BC517" s="85"/>
    </row>
    <row r="518" spans="1:55" ht="15.75" customHeight="1">
      <c r="A518" s="104"/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  <c r="AA518" s="85"/>
      <c r="AB518" s="85"/>
      <c r="AC518" s="85"/>
      <c r="AD518" s="85"/>
      <c r="AE518" s="85"/>
      <c r="AF518" s="85"/>
      <c r="AG518" s="85"/>
      <c r="AH518" s="85"/>
      <c r="AI518" s="85"/>
      <c r="AJ518" s="85"/>
      <c r="AK518" s="85"/>
      <c r="AL518" s="85"/>
      <c r="AM518" s="85"/>
      <c r="AN518" s="85"/>
      <c r="AO518" s="85"/>
      <c r="AP518" s="85"/>
      <c r="AQ518" s="85"/>
      <c r="AR518" s="85"/>
      <c r="AS518" s="85"/>
      <c r="AT518" s="85"/>
      <c r="AU518" s="85"/>
      <c r="AV518" s="85"/>
      <c r="AW518" s="85"/>
      <c r="AX518" s="85"/>
      <c r="AY518" s="85"/>
      <c r="AZ518" s="85"/>
      <c r="BA518" s="85"/>
      <c r="BB518" s="85"/>
      <c r="BC518" s="85"/>
    </row>
    <row r="519" spans="1:55" ht="15.75" customHeight="1">
      <c r="A519" s="104"/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  <c r="AA519" s="85"/>
      <c r="AB519" s="85"/>
      <c r="AC519" s="85"/>
      <c r="AD519" s="85"/>
      <c r="AE519" s="85"/>
      <c r="AF519" s="85"/>
      <c r="AG519" s="85"/>
      <c r="AH519" s="85"/>
      <c r="AI519" s="85"/>
      <c r="AJ519" s="85"/>
      <c r="AK519" s="85"/>
      <c r="AL519" s="85"/>
      <c r="AM519" s="85"/>
      <c r="AN519" s="85"/>
      <c r="AO519" s="85"/>
      <c r="AP519" s="85"/>
      <c r="AQ519" s="85"/>
      <c r="AR519" s="85"/>
      <c r="AS519" s="85"/>
      <c r="AT519" s="85"/>
      <c r="AU519" s="85"/>
      <c r="AV519" s="85"/>
      <c r="AW519" s="85"/>
      <c r="AX519" s="85"/>
      <c r="AY519" s="85"/>
      <c r="AZ519" s="85"/>
      <c r="BA519" s="85"/>
      <c r="BB519" s="85"/>
      <c r="BC519" s="85"/>
    </row>
    <row r="520" spans="1:55" ht="15.75" customHeight="1">
      <c r="A520" s="104"/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  <c r="AA520" s="85"/>
      <c r="AB520" s="85"/>
      <c r="AC520" s="85"/>
      <c r="AD520" s="85"/>
      <c r="AE520" s="85"/>
      <c r="AF520" s="85"/>
      <c r="AG520" s="85"/>
      <c r="AH520" s="85"/>
      <c r="AI520" s="85"/>
      <c r="AJ520" s="85"/>
      <c r="AK520" s="85"/>
      <c r="AL520" s="85"/>
      <c r="AM520" s="85"/>
      <c r="AN520" s="85"/>
      <c r="AO520" s="85"/>
      <c r="AP520" s="85"/>
      <c r="AQ520" s="85"/>
      <c r="AR520" s="85"/>
      <c r="AS520" s="85"/>
      <c r="AT520" s="85"/>
      <c r="AU520" s="85"/>
      <c r="AV520" s="85"/>
      <c r="AW520" s="85"/>
      <c r="AX520" s="85"/>
      <c r="AY520" s="85"/>
      <c r="AZ520" s="85"/>
      <c r="BA520" s="85"/>
      <c r="BB520" s="85"/>
      <c r="BC520" s="85"/>
    </row>
    <row r="521" spans="1:55" ht="15.75" customHeight="1">
      <c r="A521" s="104"/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  <c r="AA521" s="85"/>
      <c r="AB521" s="85"/>
      <c r="AC521" s="85"/>
      <c r="AD521" s="85"/>
      <c r="AE521" s="85"/>
      <c r="AF521" s="85"/>
      <c r="AG521" s="85"/>
      <c r="AH521" s="85"/>
      <c r="AI521" s="85"/>
      <c r="AJ521" s="85"/>
      <c r="AK521" s="85"/>
      <c r="AL521" s="85"/>
      <c r="AM521" s="85"/>
      <c r="AN521" s="85"/>
      <c r="AO521" s="85"/>
      <c r="AP521" s="85"/>
      <c r="AQ521" s="85"/>
      <c r="AR521" s="85"/>
      <c r="AS521" s="85"/>
      <c r="AT521" s="85"/>
      <c r="AU521" s="85"/>
      <c r="AV521" s="85"/>
      <c r="AW521" s="85"/>
      <c r="AX521" s="85"/>
      <c r="AY521" s="85"/>
      <c r="AZ521" s="85"/>
      <c r="BA521" s="85"/>
      <c r="BB521" s="85"/>
      <c r="BC521" s="85"/>
    </row>
    <row r="522" spans="1:55" ht="15.75" customHeight="1">
      <c r="A522" s="104"/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  <c r="AA522" s="85"/>
      <c r="AB522" s="85"/>
      <c r="AC522" s="85"/>
      <c r="AD522" s="85"/>
      <c r="AE522" s="85"/>
      <c r="AF522" s="85"/>
      <c r="AG522" s="85"/>
      <c r="AH522" s="85"/>
      <c r="AI522" s="85"/>
      <c r="AJ522" s="85"/>
      <c r="AK522" s="85"/>
      <c r="AL522" s="85"/>
      <c r="AM522" s="85"/>
      <c r="AN522" s="85"/>
      <c r="AO522" s="85"/>
      <c r="AP522" s="85"/>
      <c r="AQ522" s="85"/>
      <c r="AR522" s="85"/>
      <c r="AS522" s="85"/>
      <c r="AT522" s="85"/>
      <c r="AU522" s="85"/>
      <c r="AV522" s="85"/>
      <c r="AW522" s="85"/>
      <c r="AX522" s="85"/>
      <c r="AY522" s="85"/>
      <c r="AZ522" s="85"/>
      <c r="BA522" s="85"/>
      <c r="BB522" s="85"/>
      <c r="BC522" s="85"/>
    </row>
    <row r="523" spans="1:55" ht="15.75" customHeight="1">
      <c r="A523" s="104"/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  <c r="AA523" s="85"/>
      <c r="AB523" s="85"/>
      <c r="AC523" s="85"/>
      <c r="AD523" s="85"/>
      <c r="AE523" s="85"/>
      <c r="AF523" s="85"/>
      <c r="AG523" s="85"/>
      <c r="AH523" s="85"/>
      <c r="AI523" s="85"/>
      <c r="AJ523" s="85"/>
      <c r="AK523" s="85"/>
      <c r="AL523" s="85"/>
      <c r="AM523" s="85"/>
      <c r="AN523" s="85"/>
      <c r="AO523" s="85"/>
      <c r="AP523" s="85"/>
      <c r="AQ523" s="85"/>
      <c r="AR523" s="85"/>
      <c r="AS523" s="85"/>
      <c r="AT523" s="85"/>
      <c r="AU523" s="85"/>
      <c r="AV523" s="85"/>
      <c r="AW523" s="85"/>
      <c r="AX523" s="85"/>
      <c r="AY523" s="85"/>
      <c r="AZ523" s="85"/>
      <c r="BA523" s="85"/>
      <c r="BB523" s="85"/>
      <c r="BC523" s="85"/>
    </row>
    <row r="524" spans="1:55" ht="15.75" customHeight="1">
      <c r="A524" s="104"/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  <c r="AE524" s="85"/>
      <c r="AF524" s="85"/>
      <c r="AG524" s="85"/>
      <c r="AH524" s="85"/>
      <c r="AI524" s="85"/>
      <c r="AJ524" s="85"/>
      <c r="AK524" s="85"/>
      <c r="AL524" s="85"/>
      <c r="AM524" s="85"/>
      <c r="AN524" s="85"/>
      <c r="AO524" s="85"/>
      <c r="AP524" s="85"/>
      <c r="AQ524" s="85"/>
      <c r="AR524" s="85"/>
      <c r="AS524" s="85"/>
      <c r="AT524" s="85"/>
      <c r="AU524" s="85"/>
      <c r="AV524" s="85"/>
      <c r="AW524" s="85"/>
      <c r="AX524" s="85"/>
      <c r="AY524" s="85"/>
      <c r="AZ524" s="85"/>
      <c r="BA524" s="85"/>
      <c r="BB524" s="85"/>
      <c r="BC524" s="85"/>
    </row>
    <row r="525" spans="1:55" ht="15.75" customHeight="1">
      <c r="A525" s="104"/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  <c r="AA525" s="85"/>
      <c r="AB525" s="85"/>
      <c r="AC525" s="85"/>
      <c r="AD525" s="85"/>
      <c r="AE525" s="85"/>
      <c r="AF525" s="85"/>
      <c r="AG525" s="85"/>
      <c r="AH525" s="85"/>
      <c r="AI525" s="85"/>
      <c r="AJ525" s="85"/>
      <c r="AK525" s="85"/>
      <c r="AL525" s="85"/>
      <c r="AM525" s="85"/>
      <c r="AN525" s="85"/>
      <c r="AO525" s="85"/>
      <c r="AP525" s="85"/>
      <c r="AQ525" s="85"/>
      <c r="AR525" s="85"/>
      <c r="AS525" s="85"/>
      <c r="AT525" s="85"/>
      <c r="AU525" s="85"/>
      <c r="AV525" s="85"/>
      <c r="AW525" s="85"/>
      <c r="AX525" s="85"/>
      <c r="AY525" s="85"/>
      <c r="AZ525" s="85"/>
      <c r="BA525" s="85"/>
      <c r="BB525" s="85"/>
      <c r="BC525" s="85"/>
    </row>
    <row r="526" spans="1:55" ht="15.75" customHeight="1">
      <c r="A526" s="104"/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  <c r="AA526" s="85"/>
      <c r="AB526" s="85"/>
      <c r="AC526" s="85"/>
      <c r="AD526" s="85"/>
      <c r="AE526" s="85"/>
      <c r="AF526" s="85"/>
      <c r="AG526" s="85"/>
      <c r="AH526" s="85"/>
      <c r="AI526" s="85"/>
      <c r="AJ526" s="85"/>
      <c r="AK526" s="85"/>
      <c r="AL526" s="85"/>
      <c r="AM526" s="85"/>
      <c r="AN526" s="85"/>
      <c r="AO526" s="85"/>
      <c r="AP526" s="85"/>
      <c r="AQ526" s="85"/>
      <c r="AR526" s="85"/>
      <c r="AS526" s="85"/>
      <c r="AT526" s="85"/>
      <c r="AU526" s="85"/>
      <c r="AV526" s="85"/>
      <c r="AW526" s="85"/>
      <c r="AX526" s="85"/>
      <c r="AY526" s="85"/>
      <c r="AZ526" s="85"/>
      <c r="BA526" s="85"/>
      <c r="BB526" s="85"/>
      <c r="BC526" s="85"/>
    </row>
    <row r="527" spans="1:55" ht="15.75" customHeight="1">
      <c r="A527" s="104"/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  <c r="AA527" s="85"/>
      <c r="AB527" s="85"/>
      <c r="AC527" s="85"/>
      <c r="AD527" s="85"/>
      <c r="AE527" s="85"/>
      <c r="AF527" s="85"/>
      <c r="AG527" s="85"/>
      <c r="AH527" s="85"/>
      <c r="AI527" s="85"/>
      <c r="AJ527" s="85"/>
      <c r="AK527" s="85"/>
      <c r="AL527" s="85"/>
      <c r="AM527" s="85"/>
      <c r="AN527" s="85"/>
      <c r="AO527" s="85"/>
      <c r="AP527" s="85"/>
      <c r="AQ527" s="85"/>
      <c r="AR527" s="85"/>
      <c r="AS527" s="85"/>
      <c r="AT527" s="85"/>
      <c r="AU527" s="85"/>
      <c r="AV527" s="85"/>
      <c r="AW527" s="85"/>
      <c r="AX527" s="85"/>
      <c r="AY527" s="85"/>
      <c r="AZ527" s="85"/>
      <c r="BA527" s="85"/>
      <c r="BB527" s="85"/>
      <c r="BC527" s="85"/>
    </row>
    <row r="528" spans="1:55" ht="15.75" customHeight="1">
      <c r="A528" s="104"/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  <c r="AA528" s="85"/>
      <c r="AB528" s="85"/>
      <c r="AC528" s="85"/>
      <c r="AD528" s="85"/>
      <c r="AE528" s="85"/>
      <c r="AF528" s="85"/>
      <c r="AG528" s="85"/>
      <c r="AH528" s="85"/>
      <c r="AI528" s="85"/>
      <c r="AJ528" s="85"/>
      <c r="AK528" s="85"/>
      <c r="AL528" s="85"/>
      <c r="AM528" s="85"/>
      <c r="AN528" s="85"/>
      <c r="AO528" s="85"/>
      <c r="AP528" s="85"/>
      <c r="AQ528" s="85"/>
      <c r="AR528" s="85"/>
      <c r="AS528" s="85"/>
      <c r="AT528" s="85"/>
      <c r="AU528" s="85"/>
      <c r="AV528" s="85"/>
      <c r="AW528" s="85"/>
      <c r="AX528" s="85"/>
      <c r="AY528" s="85"/>
      <c r="AZ528" s="85"/>
      <c r="BA528" s="85"/>
      <c r="BB528" s="85"/>
      <c r="BC528" s="85"/>
    </row>
    <row r="529" spans="1:55" ht="15.75" customHeight="1">
      <c r="A529" s="104"/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  <c r="AA529" s="85"/>
      <c r="AB529" s="85"/>
      <c r="AC529" s="85"/>
      <c r="AD529" s="85"/>
      <c r="AE529" s="85"/>
      <c r="AF529" s="85"/>
      <c r="AG529" s="85"/>
      <c r="AH529" s="85"/>
      <c r="AI529" s="85"/>
      <c r="AJ529" s="85"/>
      <c r="AK529" s="85"/>
      <c r="AL529" s="85"/>
      <c r="AM529" s="85"/>
      <c r="AN529" s="85"/>
      <c r="AO529" s="85"/>
      <c r="AP529" s="85"/>
      <c r="AQ529" s="85"/>
      <c r="AR529" s="85"/>
      <c r="AS529" s="85"/>
      <c r="AT529" s="85"/>
      <c r="AU529" s="85"/>
      <c r="AV529" s="85"/>
      <c r="AW529" s="85"/>
      <c r="AX529" s="85"/>
      <c r="AY529" s="85"/>
      <c r="AZ529" s="85"/>
      <c r="BA529" s="85"/>
      <c r="BB529" s="85"/>
      <c r="BC529" s="85"/>
    </row>
    <row r="530" spans="1:55" ht="15.75" customHeight="1">
      <c r="A530" s="104"/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  <c r="AA530" s="85"/>
      <c r="AB530" s="85"/>
      <c r="AC530" s="85"/>
      <c r="AD530" s="85"/>
      <c r="AE530" s="85"/>
      <c r="AF530" s="85"/>
      <c r="AG530" s="85"/>
      <c r="AH530" s="85"/>
      <c r="AI530" s="85"/>
      <c r="AJ530" s="85"/>
      <c r="AK530" s="85"/>
      <c r="AL530" s="85"/>
      <c r="AM530" s="85"/>
      <c r="AN530" s="85"/>
      <c r="AO530" s="85"/>
      <c r="AP530" s="85"/>
      <c r="AQ530" s="85"/>
      <c r="AR530" s="85"/>
      <c r="AS530" s="85"/>
      <c r="AT530" s="85"/>
      <c r="AU530" s="85"/>
      <c r="AV530" s="85"/>
      <c r="AW530" s="85"/>
      <c r="AX530" s="85"/>
      <c r="AY530" s="85"/>
      <c r="AZ530" s="85"/>
      <c r="BA530" s="85"/>
      <c r="BB530" s="85"/>
      <c r="BC530" s="85"/>
    </row>
    <row r="531" spans="1:55" ht="15.75" customHeight="1">
      <c r="A531" s="104"/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  <c r="AA531" s="85"/>
      <c r="AB531" s="85"/>
      <c r="AC531" s="85"/>
      <c r="AD531" s="85"/>
      <c r="AE531" s="85"/>
      <c r="AF531" s="85"/>
      <c r="AG531" s="85"/>
      <c r="AH531" s="85"/>
      <c r="AI531" s="85"/>
      <c r="AJ531" s="85"/>
      <c r="AK531" s="85"/>
      <c r="AL531" s="85"/>
      <c r="AM531" s="85"/>
      <c r="AN531" s="85"/>
      <c r="AO531" s="85"/>
      <c r="AP531" s="85"/>
      <c r="AQ531" s="85"/>
      <c r="AR531" s="85"/>
      <c r="AS531" s="85"/>
      <c r="AT531" s="85"/>
      <c r="AU531" s="85"/>
      <c r="AV531" s="85"/>
      <c r="AW531" s="85"/>
      <c r="AX531" s="85"/>
      <c r="AY531" s="85"/>
      <c r="AZ531" s="85"/>
      <c r="BA531" s="85"/>
      <c r="BB531" s="85"/>
      <c r="BC531" s="85"/>
    </row>
    <row r="532" spans="1:55" ht="15.75" customHeight="1">
      <c r="A532" s="104"/>
      <c r="B532" s="85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  <c r="AA532" s="85"/>
      <c r="AB532" s="85"/>
      <c r="AC532" s="85"/>
      <c r="AD532" s="85"/>
      <c r="AE532" s="85"/>
      <c r="AF532" s="85"/>
      <c r="AG532" s="85"/>
      <c r="AH532" s="85"/>
      <c r="AI532" s="85"/>
      <c r="AJ532" s="85"/>
      <c r="AK532" s="85"/>
      <c r="AL532" s="85"/>
      <c r="AM532" s="85"/>
      <c r="AN532" s="85"/>
      <c r="AO532" s="85"/>
      <c r="AP532" s="85"/>
      <c r="AQ532" s="85"/>
      <c r="AR532" s="85"/>
      <c r="AS532" s="85"/>
      <c r="AT532" s="85"/>
      <c r="AU532" s="85"/>
      <c r="AV532" s="85"/>
      <c r="AW532" s="85"/>
      <c r="AX532" s="85"/>
      <c r="AY532" s="85"/>
      <c r="AZ532" s="85"/>
      <c r="BA532" s="85"/>
      <c r="BB532" s="85"/>
      <c r="BC532" s="85"/>
    </row>
    <row r="533" spans="1:55" ht="15.75" customHeight="1">
      <c r="A533" s="104"/>
      <c r="B533" s="85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  <c r="AA533" s="85"/>
      <c r="AB533" s="85"/>
      <c r="AC533" s="85"/>
      <c r="AD533" s="85"/>
      <c r="AE533" s="85"/>
      <c r="AF533" s="85"/>
      <c r="AG533" s="85"/>
      <c r="AH533" s="85"/>
      <c r="AI533" s="85"/>
      <c r="AJ533" s="85"/>
      <c r="AK533" s="85"/>
      <c r="AL533" s="85"/>
      <c r="AM533" s="85"/>
      <c r="AN533" s="85"/>
      <c r="AO533" s="85"/>
      <c r="AP533" s="85"/>
      <c r="AQ533" s="85"/>
      <c r="AR533" s="85"/>
      <c r="AS533" s="85"/>
      <c r="AT533" s="85"/>
      <c r="AU533" s="85"/>
      <c r="AV533" s="85"/>
      <c r="AW533" s="85"/>
      <c r="AX533" s="85"/>
      <c r="AY533" s="85"/>
      <c r="AZ533" s="85"/>
      <c r="BA533" s="85"/>
      <c r="BB533" s="85"/>
      <c r="BC533" s="85"/>
    </row>
    <row r="534" spans="1:55" ht="15.75" customHeight="1">
      <c r="A534" s="104"/>
      <c r="B534" s="85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  <c r="AA534" s="85"/>
      <c r="AB534" s="85"/>
      <c r="AC534" s="85"/>
      <c r="AD534" s="85"/>
      <c r="AE534" s="85"/>
      <c r="AF534" s="85"/>
      <c r="AG534" s="85"/>
      <c r="AH534" s="85"/>
      <c r="AI534" s="85"/>
      <c r="AJ534" s="85"/>
      <c r="AK534" s="85"/>
      <c r="AL534" s="85"/>
      <c r="AM534" s="85"/>
      <c r="AN534" s="85"/>
      <c r="AO534" s="85"/>
      <c r="AP534" s="85"/>
      <c r="AQ534" s="85"/>
      <c r="AR534" s="85"/>
      <c r="AS534" s="85"/>
      <c r="AT534" s="85"/>
      <c r="AU534" s="85"/>
      <c r="AV534" s="85"/>
      <c r="AW534" s="85"/>
      <c r="AX534" s="85"/>
      <c r="AY534" s="85"/>
      <c r="AZ534" s="85"/>
      <c r="BA534" s="85"/>
      <c r="BB534" s="85"/>
      <c r="BC534" s="85"/>
    </row>
    <row r="535" spans="1:55" ht="15.75" customHeight="1">
      <c r="A535" s="104"/>
      <c r="B535" s="85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  <c r="AA535" s="85"/>
      <c r="AB535" s="85"/>
      <c r="AC535" s="85"/>
      <c r="AD535" s="85"/>
      <c r="AE535" s="85"/>
      <c r="AF535" s="85"/>
      <c r="AG535" s="85"/>
      <c r="AH535" s="85"/>
      <c r="AI535" s="85"/>
      <c r="AJ535" s="85"/>
      <c r="AK535" s="85"/>
      <c r="AL535" s="85"/>
      <c r="AM535" s="85"/>
      <c r="AN535" s="85"/>
      <c r="AO535" s="85"/>
      <c r="AP535" s="85"/>
      <c r="AQ535" s="85"/>
      <c r="AR535" s="85"/>
      <c r="AS535" s="85"/>
      <c r="AT535" s="85"/>
      <c r="AU535" s="85"/>
      <c r="AV535" s="85"/>
      <c r="AW535" s="85"/>
      <c r="AX535" s="85"/>
      <c r="AY535" s="85"/>
      <c r="AZ535" s="85"/>
      <c r="BA535" s="85"/>
      <c r="BB535" s="85"/>
      <c r="BC535" s="85"/>
    </row>
    <row r="536" spans="1:55" ht="15.75" customHeight="1">
      <c r="A536" s="104"/>
      <c r="B536" s="85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  <c r="AA536" s="85"/>
      <c r="AB536" s="85"/>
      <c r="AC536" s="85"/>
      <c r="AD536" s="85"/>
      <c r="AE536" s="85"/>
      <c r="AF536" s="85"/>
      <c r="AG536" s="85"/>
      <c r="AH536" s="85"/>
      <c r="AI536" s="85"/>
      <c r="AJ536" s="85"/>
      <c r="AK536" s="85"/>
      <c r="AL536" s="85"/>
      <c r="AM536" s="85"/>
      <c r="AN536" s="85"/>
      <c r="AO536" s="85"/>
      <c r="AP536" s="85"/>
      <c r="AQ536" s="85"/>
      <c r="AR536" s="85"/>
      <c r="AS536" s="85"/>
      <c r="AT536" s="85"/>
      <c r="AU536" s="85"/>
      <c r="AV536" s="85"/>
      <c r="AW536" s="85"/>
      <c r="AX536" s="85"/>
      <c r="AY536" s="85"/>
      <c r="AZ536" s="85"/>
      <c r="BA536" s="85"/>
      <c r="BB536" s="85"/>
      <c r="BC536" s="85"/>
    </row>
    <row r="537" spans="1:55" ht="15.75" customHeight="1">
      <c r="A537" s="104"/>
      <c r="B537" s="85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  <c r="AA537" s="85"/>
      <c r="AB537" s="85"/>
      <c r="AC537" s="85"/>
      <c r="AD537" s="85"/>
      <c r="AE537" s="85"/>
      <c r="AF537" s="85"/>
      <c r="AG537" s="85"/>
      <c r="AH537" s="85"/>
      <c r="AI537" s="85"/>
      <c r="AJ537" s="85"/>
      <c r="AK537" s="85"/>
      <c r="AL537" s="85"/>
      <c r="AM537" s="85"/>
      <c r="AN537" s="85"/>
      <c r="AO537" s="85"/>
      <c r="AP537" s="85"/>
      <c r="AQ537" s="85"/>
      <c r="AR537" s="85"/>
      <c r="AS537" s="85"/>
      <c r="AT537" s="85"/>
      <c r="AU537" s="85"/>
      <c r="AV537" s="85"/>
      <c r="AW537" s="85"/>
      <c r="AX537" s="85"/>
      <c r="AY537" s="85"/>
      <c r="AZ537" s="85"/>
      <c r="BA537" s="85"/>
      <c r="BB537" s="85"/>
      <c r="BC537" s="85"/>
    </row>
    <row r="538" spans="1:55" ht="15.75" customHeight="1">
      <c r="A538" s="104"/>
      <c r="B538" s="85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  <c r="AA538" s="85"/>
      <c r="AB538" s="85"/>
      <c r="AC538" s="85"/>
      <c r="AD538" s="85"/>
      <c r="AE538" s="85"/>
      <c r="AF538" s="85"/>
      <c r="AG538" s="85"/>
      <c r="AH538" s="85"/>
      <c r="AI538" s="85"/>
      <c r="AJ538" s="85"/>
      <c r="AK538" s="85"/>
      <c r="AL538" s="85"/>
      <c r="AM538" s="85"/>
      <c r="AN538" s="85"/>
      <c r="AO538" s="85"/>
      <c r="AP538" s="85"/>
      <c r="AQ538" s="85"/>
      <c r="AR538" s="85"/>
      <c r="AS538" s="85"/>
      <c r="AT538" s="85"/>
      <c r="AU538" s="85"/>
      <c r="AV538" s="85"/>
      <c r="AW538" s="85"/>
      <c r="AX538" s="85"/>
      <c r="AY538" s="85"/>
      <c r="AZ538" s="85"/>
      <c r="BA538" s="85"/>
      <c r="BB538" s="85"/>
      <c r="BC538" s="85"/>
    </row>
    <row r="539" spans="1:55" ht="15.75" customHeight="1">
      <c r="A539" s="104"/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  <c r="AA539" s="85"/>
      <c r="AB539" s="85"/>
      <c r="AC539" s="85"/>
      <c r="AD539" s="85"/>
      <c r="AE539" s="85"/>
      <c r="AF539" s="85"/>
      <c r="AG539" s="85"/>
      <c r="AH539" s="85"/>
      <c r="AI539" s="85"/>
      <c r="AJ539" s="85"/>
      <c r="AK539" s="85"/>
      <c r="AL539" s="85"/>
      <c r="AM539" s="85"/>
      <c r="AN539" s="85"/>
      <c r="AO539" s="85"/>
      <c r="AP539" s="85"/>
      <c r="AQ539" s="85"/>
      <c r="AR539" s="85"/>
      <c r="AS539" s="85"/>
      <c r="AT539" s="85"/>
      <c r="AU539" s="85"/>
      <c r="AV539" s="85"/>
      <c r="AW539" s="85"/>
      <c r="AX539" s="85"/>
      <c r="AY539" s="85"/>
      <c r="AZ539" s="85"/>
      <c r="BA539" s="85"/>
      <c r="BB539" s="85"/>
      <c r="BC539" s="85"/>
    </row>
    <row r="540" spans="1:55" ht="15.75" customHeight="1">
      <c r="A540" s="104"/>
      <c r="B540" s="85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  <c r="AA540" s="85"/>
      <c r="AB540" s="85"/>
      <c r="AC540" s="85"/>
      <c r="AD540" s="85"/>
      <c r="AE540" s="85"/>
      <c r="AF540" s="85"/>
      <c r="AG540" s="85"/>
      <c r="AH540" s="85"/>
      <c r="AI540" s="85"/>
      <c r="AJ540" s="85"/>
      <c r="AK540" s="85"/>
      <c r="AL540" s="85"/>
      <c r="AM540" s="85"/>
      <c r="AN540" s="85"/>
      <c r="AO540" s="85"/>
      <c r="AP540" s="85"/>
      <c r="AQ540" s="85"/>
      <c r="AR540" s="85"/>
      <c r="AS540" s="85"/>
      <c r="AT540" s="85"/>
      <c r="AU540" s="85"/>
      <c r="AV540" s="85"/>
      <c r="AW540" s="85"/>
      <c r="AX540" s="85"/>
      <c r="AY540" s="85"/>
      <c r="AZ540" s="85"/>
      <c r="BA540" s="85"/>
      <c r="BB540" s="85"/>
      <c r="BC540" s="85"/>
    </row>
    <row r="541" spans="1:55" ht="15.75" customHeight="1">
      <c r="A541" s="104"/>
      <c r="B541" s="85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  <c r="AC541" s="85"/>
      <c r="AD541" s="85"/>
      <c r="AE541" s="85"/>
      <c r="AF541" s="85"/>
      <c r="AG541" s="85"/>
      <c r="AH541" s="85"/>
      <c r="AI541" s="85"/>
      <c r="AJ541" s="85"/>
      <c r="AK541" s="85"/>
      <c r="AL541" s="85"/>
      <c r="AM541" s="85"/>
      <c r="AN541" s="85"/>
      <c r="AO541" s="85"/>
      <c r="AP541" s="85"/>
      <c r="AQ541" s="85"/>
      <c r="AR541" s="85"/>
      <c r="AS541" s="85"/>
      <c r="AT541" s="85"/>
      <c r="AU541" s="85"/>
      <c r="AV541" s="85"/>
      <c r="AW541" s="85"/>
      <c r="AX541" s="85"/>
      <c r="AY541" s="85"/>
      <c r="AZ541" s="85"/>
      <c r="BA541" s="85"/>
      <c r="BB541" s="85"/>
      <c r="BC541" s="85"/>
    </row>
    <row r="542" spans="1:55" ht="15.75" customHeight="1">
      <c r="A542" s="104"/>
      <c r="B542" s="85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  <c r="AA542" s="85"/>
      <c r="AB542" s="85"/>
      <c r="AC542" s="85"/>
      <c r="AD542" s="85"/>
      <c r="AE542" s="85"/>
      <c r="AF542" s="85"/>
      <c r="AG542" s="85"/>
      <c r="AH542" s="85"/>
      <c r="AI542" s="85"/>
      <c r="AJ542" s="85"/>
      <c r="AK542" s="85"/>
      <c r="AL542" s="85"/>
      <c r="AM542" s="85"/>
      <c r="AN542" s="85"/>
      <c r="AO542" s="85"/>
      <c r="AP542" s="85"/>
      <c r="AQ542" s="85"/>
      <c r="AR542" s="85"/>
      <c r="AS542" s="85"/>
      <c r="AT542" s="85"/>
      <c r="AU542" s="85"/>
      <c r="AV542" s="85"/>
      <c r="AW542" s="85"/>
      <c r="AX542" s="85"/>
      <c r="AY542" s="85"/>
      <c r="AZ542" s="85"/>
      <c r="BA542" s="85"/>
      <c r="BB542" s="85"/>
      <c r="BC542" s="85"/>
    </row>
    <row r="543" spans="1:55" ht="15.75" customHeight="1">
      <c r="A543" s="104"/>
      <c r="B543" s="85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  <c r="AA543" s="85"/>
      <c r="AB543" s="85"/>
      <c r="AC543" s="85"/>
      <c r="AD543" s="85"/>
      <c r="AE543" s="85"/>
      <c r="AF543" s="85"/>
      <c r="AG543" s="85"/>
      <c r="AH543" s="85"/>
      <c r="AI543" s="85"/>
      <c r="AJ543" s="85"/>
      <c r="AK543" s="85"/>
      <c r="AL543" s="85"/>
      <c r="AM543" s="85"/>
      <c r="AN543" s="85"/>
      <c r="AO543" s="85"/>
      <c r="AP543" s="85"/>
      <c r="AQ543" s="85"/>
      <c r="AR543" s="85"/>
      <c r="AS543" s="85"/>
      <c r="AT543" s="85"/>
      <c r="AU543" s="85"/>
      <c r="AV543" s="85"/>
      <c r="AW543" s="85"/>
      <c r="AX543" s="85"/>
      <c r="AY543" s="85"/>
      <c r="AZ543" s="85"/>
      <c r="BA543" s="85"/>
      <c r="BB543" s="85"/>
      <c r="BC543" s="85"/>
    </row>
    <row r="544" spans="1:55" ht="15.75" customHeight="1">
      <c r="A544" s="104"/>
      <c r="B544" s="85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  <c r="AA544" s="85"/>
      <c r="AB544" s="85"/>
      <c r="AC544" s="85"/>
      <c r="AD544" s="85"/>
      <c r="AE544" s="85"/>
      <c r="AF544" s="85"/>
      <c r="AG544" s="85"/>
      <c r="AH544" s="85"/>
      <c r="AI544" s="85"/>
      <c r="AJ544" s="85"/>
      <c r="AK544" s="85"/>
      <c r="AL544" s="85"/>
      <c r="AM544" s="85"/>
      <c r="AN544" s="85"/>
      <c r="AO544" s="85"/>
      <c r="AP544" s="85"/>
      <c r="AQ544" s="85"/>
      <c r="AR544" s="85"/>
      <c r="AS544" s="85"/>
      <c r="AT544" s="85"/>
      <c r="AU544" s="85"/>
      <c r="AV544" s="85"/>
      <c r="AW544" s="85"/>
      <c r="AX544" s="85"/>
      <c r="AY544" s="85"/>
      <c r="AZ544" s="85"/>
      <c r="BA544" s="85"/>
      <c r="BB544" s="85"/>
      <c r="BC544" s="85"/>
    </row>
    <row r="545" spans="1:55" ht="15.75" customHeight="1">
      <c r="A545" s="104"/>
      <c r="B545" s="85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  <c r="AA545" s="85"/>
      <c r="AB545" s="85"/>
      <c r="AC545" s="85"/>
      <c r="AD545" s="85"/>
      <c r="AE545" s="85"/>
      <c r="AF545" s="85"/>
      <c r="AG545" s="85"/>
      <c r="AH545" s="85"/>
      <c r="AI545" s="85"/>
      <c r="AJ545" s="85"/>
      <c r="AK545" s="85"/>
      <c r="AL545" s="85"/>
      <c r="AM545" s="85"/>
      <c r="AN545" s="85"/>
      <c r="AO545" s="85"/>
      <c r="AP545" s="85"/>
      <c r="AQ545" s="85"/>
      <c r="AR545" s="85"/>
      <c r="AS545" s="85"/>
      <c r="AT545" s="85"/>
      <c r="AU545" s="85"/>
      <c r="AV545" s="85"/>
      <c r="AW545" s="85"/>
      <c r="AX545" s="85"/>
      <c r="AY545" s="85"/>
      <c r="AZ545" s="85"/>
      <c r="BA545" s="85"/>
      <c r="BB545" s="85"/>
      <c r="BC545" s="85"/>
    </row>
    <row r="546" spans="1:55" ht="15.75" customHeight="1">
      <c r="A546" s="104"/>
      <c r="B546" s="85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  <c r="AA546" s="85"/>
      <c r="AB546" s="85"/>
      <c r="AC546" s="85"/>
      <c r="AD546" s="85"/>
      <c r="AE546" s="85"/>
      <c r="AF546" s="85"/>
      <c r="AG546" s="85"/>
      <c r="AH546" s="85"/>
      <c r="AI546" s="85"/>
      <c r="AJ546" s="85"/>
      <c r="AK546" s="85"/>
      <c r="AL546" s="85"/>
      <c r="AM546" s="85"/>
      <c r="AN546" s="85"/>
      <c r="AO546" s="85"/>
      <c r="AP546" s="85"/>
      <c r="AQ546" s="85"/>
      <c r="AR546" s="85"/>
      <c r="AS546" s="85"/>
      <c r="AT546" s="85"/>
      <c r="AU546" s="85"/>
      <c r="AV546" s="85"/>
      <c r="AW546" s="85"/>
      <c r="AX546" s="85"/>
      <c r="AY546" s="85"/>
      <c r="AZ546" s="85"/>
      <c r="BA546" s="85"/>
      <c r="BB546" s="85"/>
      <c r="BC546" s="85"/>
    </row>
    <row r="547" spans="1:55" ht="15.75" customHeight="1">
      <c r="A547" s="104"/>
      <c r="B547" s="85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  <c r="AA547" s="85"/>
      <c r="AB547" s="85"/>
      <c r="AC547" s="85"/>
      <c r="AD547" s="85"/>
      <c r="AE547" s="85"/>
      <c r="AF547" s="85"/>
      <c r="AG547" s="85"/>
      <c r="AH547" s="85"/>
      <c r="AI547" s="85"/>
      <c r="AJ547" s="85"/>
      <c r="AK547" s="85"/>
      <c r="AL547" s="85"/>
      <c r="AM547" s="85"/>
      <c r="AN547" s="85"/>
      <c r="AO547" s="85"/>
      <c r="AP547" s="85"/>
      <c r="AQ547" s="85"/>
      <c r="AR547" s="85"/>
      <c r="AS547" s="85"/>
      <c r="AT547" s="85"/>
      <c r="AU547" s="85"/>
      <c r="AV547" s="85"/>
      <c r="AW547" s="85"/>
      <c r="AX547" s="85"/>
      <c r="AY547" s="85"/>
      <c r="AZ547" s="85"/>
      <c r="BA547" s="85"/>
      <c r="BB547" s="85"/>
      <c r="BC547" s="85"/>
    </row>
    <row r="548" spans="1:55" ht="15.75" customHeight="1">
      <c r="A548" s="104"/>
      <c r="B548" s="85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  <c r="AA548" s="85"/>
      <c r="AB548" s="85"/>
      <c r="AC548" s="85"/>
      <c r="AD548" s="85"/>
      <c r="AE548" s="85"/>
      <c r="AF548" s="85"/>
      <c r="AG548" s="85"/>
      <c r="AH548" s="85"/>
      <c r="AI548" s="85"/>
      <c r="AJ548" s="85"/>
      <c r="AK548" s="85"/>
      <c r="AL548" s="85"/>
      <c r="AM548" s="85"/>
      <c r="AN548" s="85"/>
      <c r="AO548" s="85"/>
      <c r="AP548" s="85"/>
      <c r="AQ548" s="85"/>
      <c r="AR548" s="85"/>
      <c r="AS548" s="85"/>
      <c r="AT548" s="85"/>
      <c r="AU548" s="85"/>
      <c r="AV548" s="85"/>
      <c r="AW548" s="85"/>
      <c r="AX548" s="85"/>
      <c r="AY548" s="85"/>
      <c r="AZ548" s="85"/>
      <c r="BA548" s="85"/>
      <c r="BB548" s="85"/>
      <c r="BC548" s="85"/>
    </row>
    <row r="549" spans="1:55" ht="15.75" customHeight="1">
      <c r="A549" s="104"/>
      <c r="B549" s="85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  <c r="AA549" s="85"/>
      <c r="AB549" s="85"/>
      <c r="AC549" s="85"/>
      <c r="AD549" s="85"/>
      <c r="AE549" s="85"/>
      <c r="AF549" s="85"/>
      <c r="AG549" s="85"/>
      <c r="AH549" s="85"/>
      <c r="AI549" s="85"/>
      <c r="AJ549" s="85"/>
      <c r="AK549" s="85"/>
      <c r="AL549" s="85"/>
      <c r="AM549" s="85"/>
      <c r="AN549" s="85"/>
      <c r="AO549" s="85"/>
      <c r="AP549" s="85"/>
      <c r="AQ549" s="85"/>
      <c r="AR549" s="85"/>
      <c r="AS549" s="85"/>
      <c r="AT549" s="85"/>
      <c r="AU549" s="85"/>
      <c r="AV549" s="85"/>
      <c r="AW549" s="85"/>
      <c r="AX549" s="85"/>
      <c r="AY549" s="85"/>
      <c r="AZ549" s="85"/>
      <c r="BA549" s="85"/>
      <c r="BB549" s="85"/>
      <c r="BC549" s="85"/>
    </row>
    <row r="550" spans="1:55" ht="15.75" customHeight="1">
      <c r="A550" s="104"/>
      <c r="B550" s="85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  <c r="AA550" s="85"/>
      <c r="AB550" s="85"/>
      <c r="AC550" s="85"/>
      <c r="AD550" s="85"/>
      <c r="AE550" s="85"/>
      <c r="AF550" s="85"/>
      <c r="AG550" s="85"/>
      <c r="AH550" s="85"/>
      <c r="AI550" s="85"/>
      <c r="AJ550" s="85"/>
      <c r="AK550" s="85"/>
      <c r="AL550" s="85"/>
      <c r="AM550" s="85"/>
      <c r="AN550" s="85"/>
      <c r="AO550" s="85"/>
      <c r="AP550" s="85"/>
      <c r="AQ550" s="85"/>
      <c r="AR550" s="85"/>
      <c r="AS550" s="85"/>
      <c r="AT550" s="85"/>
      <c r="AU550" s="85"/>
      <c r="AV550" s="85"/>
      <c r="AW550" s="85"/>
      <c r="AX550" s="85"/>
      <c r="AY550" s="85"/>
      <c r="AZ550" s="85"/>
      <c r="BA550" s="85"/>
      <c r="BB550" s="85"/>
      <c r="BC550" s="85"/>
    </row>
    <row r="551" spans="1:55" ht="15.75" customHeight="1">
      <c r="A551" s="104"/>
      <c r="B551" s="85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  <c r="AA551" s="85"/>
      <c r="AB551" s="85"/>
      <c r="AC551" s="85"/>
      <c r="AD551" s="85"/>
      <c r="AE551" s="85"/>
      <c r="AF551" s="85"/>
      <c r="AG551" s="85"/>
      <c r="AH551" s="85"/>
      <c r="AI551" s="85"/>
      <c r="AJ551" s="85"/>
      <c r="AK551" s="85"/>
      <c r="AL551" s="85"/>
      <c r="AM551" s="85"/>
      <c r="AN551" s="85"/>
      <c r="AO551" s="85"/>
      <c r="AP551" s="85"/>
      <c r="AQ551" s="85"/>
      <c r="AR551" s="85"/>
      <c r="AS551" s="85"/>
      <c r="AT551" s="85"/>
      <c r="AU551" s="85"/>
      <c r="AV551" s="85"/>
      <c r="AW551" s="85"/>
      <c r="AX551" s="85"/>
      <c r="AY551" s="85"/>
      <c r="AZ551" s="85"/>
      <c r="BA551" s="85"/>
      <c r="BB551" s="85"/>
      <c r="BC551" s="85"/>
    </row>
    <row r="552" spans="1:55" ht="15.75" customHeight="1">
      <c r="A552" s="104"/>
      <c r="B552" s="85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  <c r="AA552" s="85"/>
      <c r="AB552" s="85"/>
      <c r="AC552" s="85"/>
      <c r="AD552" s="85"/>
      <c r="AE552" s="85"/>
      <c r="AF552" s="85"/>
      <c r="AG552" s="85"/>
      <c r="AH552" s="85"/>
      <c r="AI552" s="85"/>
      <c r="AJ552" s="85"/>
      <c r="AK552" s="85"/>
      <c r="AL552" s="85"/>
      <c r="AM552" s="85"/>
      <c r="AN552" s="85"/>
      <c r="AO552" s="85"/>
      <c r="AP552" s="85"/>
      <c r="AQ552" s="85"/>
      <c r="AR552" s="85"/>
      <c r="AS552" s="85"/>
      <c r="AT552" s="85"/>
      <c r="AU552" s="85"/>
      <c r="AV552" s="85"/>
      <c r="AW552" s="85"/>
      <c r="AX552" s="85"/>
      <c r="AY552" s="85"/>
      <c r="AZ552" s="85"/>
      <c r="BA552" s="85"/>
      <c r="BB552" s="85"/>
      <c r="BC552" s="85"/>
    </row>
    <row r="553" spans="1:55" ht="15.75" customHeight="1">
      <c r="A553" s="104"/>
      <c r="B553" s="85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  <c r="AA553" s="85"/>
      <c r="AB553" s="85"/>
      <c r="AC553" s="85"/>
      <c r="AD553" s="85"/>
      <c r="AE553" s="85"/>
      <c r="AF553" s="85"/>
      <c r="AG553" s="85"/>
      <c r="AH553" s="85"/>
      <c r="AI553" s="85"/>
      <c r="AJ553" s="85"/>
      <c r="AK553" s="85"/>
      <c r="AL553" s="85"/>
      <c r="AM553" s="85"/>
      <c r="AN553" s="85"/>
      <c r="AO553" s="85"/>
      <c r="AP553" s="85"/>
      <c r="AQ553" s="85"/>
      <c r="AR553" s="85"/>
      <c r="AS553" s="85"/>
      <c r="AT553" s="85"/>
      <c r="AU553" s="85"/>
      <c r="AV553" s="85"/>
      <c r="AW553" s="85"/>
      <c r="AX553" s="85"/>
      <c r="AY553" s="85"/>
      <c r="AZ553" s="85"/>
      <c r="BA553" s="85"/>
      <c r="BB553" s="85"/>
      <c r="BC553" s="85"/>
    </row>
    <row r="554" spans="1:55" ht="15.75" customHeight="1">
      <c r="A554" s="104"/>
      <c r="B554" s="85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  <c r="AA554" s="85"/>
      <c r="AB554" s="85"/>
      <c r="AC554" s="85"/>
      <c r="AD554" s="85"/>
      <c r="AE554" s="85"/>
      <c r="AF554" s="85"/>
      <c r="AG554" s="85"/>
      <c r="AH554" s="85"/>
      <c r="AI554" s="85"/>
      <c r="AJ554" s="85"/>
      <c r="AK554" s="85"/>
      <c r="AL554" s="85"/>
      <c r="AM554" s="85"/>
      <c r="AN554" s="85"/>
      <c r="AO554" s="85"/>
      <c r="AP554" s="85"/>
      <c r="AQ554" s="85"/>
      <c r="AR554" s="85"/>
      <c r="AS554" s="85"/>
      <c r="AT554" s="85"/>
      <c r="AU554" s="85"/>
      <c r="AV554" s="85"/>
      <c r="AW554" s="85"/>
      <c r="AX554" s="85"/>
      <c r="AY554" s="85"/>
      <c r="AZ554" s="85"/>
      <c r="BA554" s="85"/>
      <c r="BB554" s="85"/>
      <c r="BC554" s="85"/>
    </row>
    <row r="555" spans="1:55" ht="15.75" customHeight="1">
      <c r="A555" s="104"/>
      <c r="B555" s="85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  <c r="AA555" s="85"/>
      <c r="AB555" s="85"/>
      <c r="AC555" s="85"/>
      <c r="AD555" s="85"/>
      <c r="AE555" s="85"/>
      <c r="AF555" s="85"/>
      <c r="AG555" s="85"/>
      <c r="AH555" s="85"/>
      <c r="AI555" s="85"/>
      <c r="AJ555" s="85"/>
      <c r="AK555" s="85"/>
      <c r="AL555" s="85"/>
      <c r="AM555" s="85"/>
      <c r="AN555" s="85"/>
      <c r="AO555" s="85"/>
      <c r="AP555" s="85"/>
      <c r="AQ555" s="85"/>
      <c r="AR555" s="85"/>
      <c r="AS555" s="85"/>
      <c r="AT555" s="85"/>
      <c r="AU555" s="85"/>
      <c r="AV555" s="85"/>
      <c r="AW555" s="85"/>
      <c r="AX555" s="85"/>
      <c r="AY555" s="85"/>
      <c r="AZ555" s="85"/>
      <c r="BA555" s="85"/>
      <c r="BB555" s="85"/>
      <c r="BC555" s="85"/>
    </row>
    <row r="556" spans="1:55" ht="15.75" customHeight="1">
      <c r="A556" s="104"/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  <c r="AA556" s="85"/>
      <c r="AB556" s="85"/>
      <c r="AC556" s="85"/>
      <c r="AD556" s="85"/>
      <c r="AE556" s="85"/>
      <c r="AF556" s="85"/>
      <c r="AG556" s="85"/>
      <c r="AH556" s="85"/>
      <c r="AI556" s="85"/>
      <c r="AJ556" s="85"/>
      <c r="AK556" s="85"/>
      <c r="AL556" s="85"/>
      <c r="AM556" s="85"/>
      <c r="AN556" s="85"/>
      <c r="AO556" s="85"/>
      <c r="AP556" s="85"/>
      <c r="AQ556" s="85"/>
      <c r="AR556" s="85"/>
      <c r="AS556" s="85"/>
      <c r="AT556" s="85"/>
      <c r="AU556" s="85"/>
      <c r="AV556" s="85"/>
      <c r="AW556" s="85"/>
      <c r="AX556" s="85"/>
      <c r="AY556" s="85"/>
      <c r="AZ556" s="85"/>
      <c r="BA556" s="85"/>
      <c r="BB556" s="85"/>
      <c r="BC556" s="85"/>
    </row>
    <row r="557" spans="1:55" ht="15.75" customHeight="1">
      <c r="A557" s="104"/>
      <c r="B557" s="85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  <c r="AA557" s="85"/>
      <c r="AB557" s="85"/>
      <c r="AC557" s="85"/>
      <c r="AD557" s="85"/>
      <c r="AE557" s="85"/>
      <c r="AF557" s="85"/>
      <c r="AG557" s="85"/>
      <c r="AH557" s="85"/>
      <c r="AI557" s="85"/>
      <c r="AJ557" s="85"/>
      <c r="AK557" s="85"/>
      <c r="AL557" s="85"/>
      <c r="AM557" s="85"/>
      <c r="AN557" s="85"/>
      <c r="AO557" s="85"/>
      <c r="AP557" s="85"/>
      <c r="AQ557" s="85"/>
      <c r="AR557" s="85"/>
      <c r="AS557" s="85"/>
      <c r="AT557" s="85"/>
      <c r="AU557" s="85"/>
      <c r="AV557" s="85"/>
      <c r="AW557" s="85"/>
      <c r="AX557" s="85"/>
      <c r="AY557" s="85"/>
      <c r="AZ557" s="85"/>
      <c r="BA557" s="85"/>
      <c r="BB557" s="85"/>
      <c r="BC557" s="85"/>
    </row>
    <row r="558" spans="1:55" ht="15.75" customHeight="1">
      <c r="A558" s="104"/>
      <c r="B558" s="85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  <c r="AA558" s="85"/>
      <c r="AB558" s="85"/>
      <c r="AC558" s="85"/>
      <c r="AD558" s="85"/>
      <c r="AE558" s="85"/>
      <c r="AF558" s="85"/>
      <c r="AG558" s="85"/>
      <c r="AH558" s="85"/>
      <c r="AI558" s="85"/>
      <c r="AJ558" s="85"/>
      <c r="AK558" s="85"/>
      <c r="AL558" s="85"/>
      <c r="AM558" s="85"/>
      <c r="AN558" s="85"/>
      <c r="AO558" s="85"/>
      <c r="AP558" s="85"/>
      <c r="AQ558" s="85"/>
      <c r="AR558" s="85"/>
      <c r="AS558" s="85"/>
      <c r="AT558" s="85"/>
      <c r="AU558" s="85"/>
      <c r="AV558" s="85"/>
      <c r="AW558" s="85"/>
      <c r="AX558" s="85"/>
      <c r="AY558" s="85"/>
      <c r="AZ558" s="85"/>
      <c r="BA558" s="85"/>
      <c r="BB558" s="85"/>
      <c r="BC558" s="85"/>
    </row>
    <row r="559" spans="1:55" ht="15.75" customHeight="1">
      <c r="A559" s="104"/>
      <c r="B559" s="85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  <c r="AA559" s="85"/>
      <c r="AB559" s="85"/>
      <c r="AC559" s="85"/>
      <c r="AD559" s="85"/>
      <c r="AE559" s="85"/>
      <c r="AF559" s="85"/>
      <c r="AG559" s="85"/>
      <c r="AH559" s="85"/>
      <c r="AI559" s="85"/>
      <c r="AJ559" s="85"/>
      <c r="AK559" s="85"/>
      <c r="AL559" s="85"/>
      <c r="AM559" s="85"/>
      <c r="AN559" s="85"/>
      <c r="AO559" s="85"/>
      <c r="AP559" s="85"/>
      <c r="AQ559" s="85"/>
      <c r="AR559" s="85"/>
      <c r="AS559" s="85"/>
      <c r="AT559" s="85"/>
      <c r="AU559" s="85"/>
      <c r="AV559" s="85"/>
      <c r="AW559" s="85"/>
      <c r="AX559" s="85"/>
      <c r="AY559" s="85"/>
      <c r="AZ559" s="85"/>
      <c r="BA559" s="85"/>
      <c r="BB559" s="85"/>
      <c r="BC559" s="85"/>
    </row>
    <row r="560" spans="1:55" ht="15.75" customHeight="1">
      <c r="A560" s="104"/>
      <c r="B560" s="85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  <c r="AA560" s="85"/>
      <c r="AB560" s="85"/>
      <c r="AC560" s="85"/>
      <c r="AD560" s="85"/>
      <c r="AE560" s="85"/>
      <c r="AF560" s="85"/>
      <c r="AG560" s="85"/>
      <c r="AH560" s="85"/>
      <c r="AI560" s="85"/>
      <c r="AJ560" s="85"/>
      <c r="AK560" s="85"/>
      <c r="AL560" s="85"/>
      <c r="AM560" s="85"/>
      <c r="AN560" s="85"/>
      <c r="AO560" s="85"/>
      <c r="AP560" s="85"/>
      <c r="AQ560" s="85"/>
      <c r="AR560" s="85"/>
      <c r="AS560" s="85"/>
      <c r="AT560" s="85"/>
      <c r="AU560" s="85"/>
      <c r="AV560" s="85"/>
      <c r="AW560" s="85"/>
      <c r="AX560" s="85"/>
      <c r="AY560" s="85"/>
      <c r="AZ560" s="85"/>
      <c r="BA560" s="85"/>
      <c r="BB560" s="85"/>
      <c r="BC560" s="85"/>
    </row>
    <row r="561" spans="1:55" ht="15.75" customHeight="1">
      <c r="A561" s="104"/>
      <c r="B561" s="85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  <c r="AA561" s="85"/>
      <c r="AB561" s="85"/>
      <c r="AC561" s="85"/>
      <c r="AD561" s="85"/>
      <c r="AE561" s="85"/>
      <c r="AF561" s="85"/>
      <c r="AG561" s="85"/>
      <c r="AH561" s="85"/>
      <c r="AI561" s="85"/>
      <c r="AJ561" s="85"/>
      <c r="AK561" s="85"/>
      <c r="AL561" s="85"/>
      <c r="AM561" s="85"/>
      <c r="AN561" s="85"/>
      <c r="AO561" s="85"/>
      <c r="AP561" s="85"/>
      <c r="AQ561" s="85"/>
      <c r="AR561" s="85"/>
      <c r="AS561" s="85"/>
      <c r="AT561" s="85"/>
      <c r="AU561" s="85"/>
      <c r="AV561" s="85"/>
      <c r="AW561" s="85"/>
      <c r="AX561" s="85"/>
      <c r="AY561" s="85"/>
      <c r="AZ561" s="85"/>
      <c r="BA561" s="85"/>
      <c r="BB561" s="85"/>
      <c r="BC561" s="85"/>
    </row>
    <row r="562" spans="1:55" ht="15.75" customHeight="1">
      <c r="A562" s="104"/>
      <c r="B562" s="85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  <c r="AA562" s="85"/>
      <c r="AB562" s="85"/>
      <c r="AC562" s="85"/>
      <c r="AD562" s="85"/>
      <c r="AE562" s="85"/>
      <c r="AF562" s="85"/>
      <c r="AG562" s="85"/>
      <c r="AH562" s="85"/>
      <c r="AI562" s="85"/>
      <c r="AJ562" s="85"/>
      <c r="AK562" s="85"/>
      <c r="AL562" s="85"/>
      <c r="AM562" s="85"/>
      <c r="AN562" s="85"/>
      <c r="AO562" s="85"/>
      <c r="AP562" s="85"/>
      <c r="AQ562" s="85"/>
      <c r="AR562" s="85"/>
      <c r="AS562" s="85"/>
      <c r="AT562" s="85"/>
      <c r="AU562" s="85"/>
      <c r="AV562" s="85"/>
      <c r="AW562" s="85"/>
      <c r="AX562" s="85"/>
      <c r="AY562" s="85"/>
      <c r="AZ562" s="85"/>
      <c r="BA562" s="85"/>
      <c r="BB562" s="85"/>
      <c r="BC562" s="85"/>
    </row>
    <row r="563" spans="1:55" ht="15.75" customHeight="1">
      <c r="A563" s="104"/>
      <c r="B563" s="85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  <c r="AA563" s="85"/>
      <c r="AB563" s="85"/>
      <c r="AC563" s="85"/>
      <c r="AD563" s="85"/>
      <c r="AE563" s="85"/>
      <c r="AF563" s="85"/>
      <c r="AG563" s="85"/>
      <c r="AH563" s="85"/>
      <c r="AI563" s="85"/>
      <c r="AJ563" s="85"/>
      <c r="AK563" s="85"/>
      <c r="AL563" s="85"/>
      <c r="AM563" s="85"/>
      <c r="AN563" s="85"/>
      <c r="AO563" s="85"/>
      <c r="AP563" s="85"/>
      <c r="AQ563" s="85"/>
      <c r="AR563" s="85"/>
      <c r="AS563" s="85"/>
      <c r="AT563" s="85"/>
      <c r="AU563" s="85"/>
      <c r="AV563" s="85"/>
      <c r="AW563" s="85"/>
      <c r="AX563" s="85"/>
      <c r="AY563" s="85"/>
      <c r="AZ563" s="85"/>
      <c r="BA563" s="85"/>
      <c r="BB563" s="85"/>
      <c r="BC563" s="85"/>
    </row>
    <row r="564" spans="1:55" ht="15.75" customHeight="1">
      <c r="A564" s="104"/>
      <c r="B564" s="85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  <c r="AB564" s="85"/>
      <c r="AC564" s="85"/>
      <c r="AD564" s="85"/>
      <c r="AE564" s="85"/>
      <c r="AF564" s="85"/>
      <c r="AG564" s="85"/>
      <c r="AH564" s="85"/>
      <c r="AI564" s="85"/>
      <c r="AJ564" s="85"/>
      <c r="AK564" s="85"/>
      <c r="AL564" s="85"/>
      <c r="AM564" s="85"/>
      <c r="AN564" s="85"/>
      <c r="AO564" s="85"/>
      <c r="AP564" s="85"/>
      <c r="AQ564" s="85"/>
      <c r="AR564" s="85"/>
      <c r="AS564" s="85"/>
      <c r="AT564" s="85"/>
      <c r="AU564" s="85"/>
      <c r="AV564" s="85"/>
      <c r="AW564" s="85"/>
      <c r="AX564" s="85"/>
      <c r="AY564" s="85"/>
      <c r="AZ564" s="85"/>
      <c r="BA564" s="85"/>
      <c r="BB564" s="85"/>
      <c r="BC564" s="85"/>
    </row>
    <row r="565" spans="1:55" ht="15.75" customHeight="1">
      <c r="A565" s="104"/>
      <c r="B565" s="85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  <c r="AA565" s="85"/>
      <c r="AB565" s="85"/>
      <c r="AC565" s="85"/>
      <c r="AD565" s="85"/>
      <c r="AE565" s="85"/>
      <c r="AF565" s="85"/>
      <c r="AG565" s="85"/>
      <c r="AH565" s="85"/>
      <c r="AI565" s="85"/>
      <c r="AJ565" s="85"/>
      <c r="AK565" s="85"/>
      <c r="AL565" s="85"/>
      <c r="AM565" s="85"/>
      <c r="AN565" s="85"/>
      <c r="AO565" s="85"/>
      <c r="AP565" s="85"/>
      <c r="AQ565" s="85"/>
      <c r="AR565" s="85"/>
      <c r="AS565" s="85"/>
      <c r="AT565" s="85"/>
      <c r="AU565" s="85"/>
      <c r="AV565" s="85"/>
      <c r="AW565" s="85"/>
      <c r="AX565" s="85"/>
      <c r="AY565" s="85"/>
      <c r="AZ565" s="85"/>
      <c r="BA565" s="85"/>
      <c r="BB565" s="85"/>
      <c r="BC565" s="85"/>
    </row>
    <row r="566" spans="1:55" ht="15.75" customHeight="1">
      <c r="A566" s="104"/>
      <c r="B566" s="85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  <c r="AA566" s="85"/>
      <c r="AB566" s="85"/>
      <c r="AC566" s="85"/>
      <c r="AD566" s="85"/>
      <c r="AE566" s="85"/>
      <c r="AF566" s="85"/>
      <c r="AG566" s="85"/>
      <c r="AH566" s="85"/>
      <c r="AI566" s="85"/>
      <c r="AJ566" s="85"/>
      <c r="AK566" s="85"/>
      <c r="AL566" s="85"/>
      <c r="AM566" s="85"/>
      <c r="AN566" s="85"/>
      <c r="AO566" s="85"/>
      <c r="AP566" s="85"/>
      <c r="AQ566" s="85"/>
      <c r="AR566" s="85"/>
      <c r="AS566" s="85"/>
      <c r="AT566" s="85"/>
      <c r="AU566" s="85"/>
      <c r="AV566" s="85"/>
      <c r="AW566" s="85"/>
      <c r="AX566" s="85"/>
      <c r="AY566" s="85"/>
      <c r="AZ566" s="85"/>
      <c r="BA566" s="85"/>
      <c r="BB566" s="85"/>
      <c r="BC566" s="85"/>
    </row>
    <row r="567" spans="1:55" ht="15.75" customHeight="1">
      <c r="A567" s="104"/>
      <c r="B567" s="85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  <c r="AA567" s="85"/>
      <c r="AB567" s="85"/>
      <c r="AC567" s="85"/>
      <c r="AD567" s="85"/>
      <c r="AE567" s="85"/>
      <c r="AF567" s="85"/>
      <c r="AG567" s="85"/>
      <c r="AH567" s="85"/>
      <c r="AI567" s="85"/>
      <c r="AJ567" s="85"/>
      <c r="AK567" s="85"/>
      <c r="AL567" s="85"/>
      <c r="AM567" s="85"/>
      <c r="AN567" s="85"/>
      <c r="AO567" s="85"/>
      <c r="AP567" s="85"/>
      <c r="AQ567" s="85"/>
      <c r="AR567" s="85"/>
      <c r="AS567" s="85"/>
      <c r="AT567" s="85"/>
      <c r="AU567" s="85"/>
      <c r="AV567" s="85"/>
      <c r="AW567" s="85"/>
      <c r="AX567" s="85"/>
      <c r="AY567" s="85"/>
      <c r="AZ567" s="85"/>
      <c r="BA567" s="85"/>
      <c r="BB567" s="85"/>
      <c r="BC567" s="85"/>
    </row>
    <row r="568" spans="1:55" ht="15.75" customHeight="1">
      <c r="A568" s="104"/>
      <c r="B568" s="85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  <c r="AA568" s="85"/>
      <c r="AB568" s="85"/>
      <c r="AC568" s="85"/>
      <c r="AD568" s="85"/>
      <c r="AE568" s="85"/>
      <c r="AF568" s="85"/>
      <c r="AG568" s="85"/>
      <c r="AH568" s="85"/>
      <c r="AI568" s="85"/>
      <c r="AJ568" s="85"/>
      <c r="AK568" s="85"/>
      <c r="AL568" s="85"/>
      <c r="AM568" s="85"/>
      <c r="AN568" s="85"/>
      <c r="AO568" s="85"/>
      <c r="AP568" s="85"/>
      <c r="AQ568" s="85"/>
      <c r="AR568" s="85"/>
      <c r="AS568" s="85"/>
      <c r="AT568" s="85"/>
      <c r="AU568" s="85"/>
      <c r="AV568" s="85"/>
      <c r="AW568" s="85"/>
      <c r="AX568" s="85"/>
      <c r="AY568" s="85"/>
      <c r="AZ568" s="85"/>
      <c r="BA568" s="85"/>
      <c r="BB568" s="85"/>
      <c r="BC568" s="85"/>
    </row>
    <row r="569" spans="1:55" ht="15.75" customHeight="1">
      <c r="A569" s="104"/>
      <c r="B569" s="85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  <c r="AA569" s="85"/>
      <c r="AB569" s="85"/>
      <c r="AC569" s="85"/>
      <c r="AD569" s="85"/>
      <c r="AE569" s="85"/>
      <c r="AF569" s="85"/>
      <c r="AG569" s="85"/>
      <c r="AH569" s="85"/>
      <c r="AI569" s="85"/>
      <c r="AJ569" s="85"/>
      <c r="AK569" s="85"/>
      <c r="AL569" s="85"/>
      <c r="AM569" s="85"/>
      <c r="AN569" s="85"/>
      <c r="AO569" s="85"/>
      <c r="AP569" s="85"/>
      <c r="AQ569" s="85"/>
      <c r="AR569" s="85"/>
      <c r="AS569" s="85"/>
      <c r="AT569" s="85"/>
      <c r="AU569" s="85"/>
      <c r="AV569" s="85"/>
      <c r="AW569" s="85"/>
      <c r="AX569" s="85"/>
      <c r="AY569" s="85"/>
      <c r="AZ569" s="85"/>
      <c r="BA569" s="85"/>
      <c r="BB569" s="85"/>
      <c r="BC569" s="85"/>
    </row>
    <row r="570" spans="1:55" ht="15.75" customHeight="1">
      <c r="A570" s="104"/>
      <c r="B570" s="85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  <c r="AA570" s="85"/>
      <c r="AB570" s="85"/>
      <c r="AC570" s="85"/>
      <c r="AD570" s="85"/>
      <c r="AE570" s="85"/>
      <c r="AF570" s="85"/>
      <c r="AG570" s="85"/>
      <c r="AH570" s="85"/>
      <c r="AI570" s="85"/>
      <c r="AJ570" s="85"/>
      <c r="AK570" s="85"/>
      <c r="AL570" s="85"/>
      <c r="AM570" s="85"/>
      <c r="AN570" s="85"/>
      <c r="AO570" s="85"/>
      <c r="AP570" s="85"/>
      <c r="AQ570" s="85"/>
      <c r="AR570" s="85"/>
      <c r="AS570" s="85"/>
      <c r="AT570" s="85"/>
      <c r="AU570" s="85"/>
      <c r="AV570" s="85"/>
      <c r="AW570" s="85"/>
      <c r="AX570" s="85"/>
      <c r="AY570" s="85"/>
      <c r="AZ570" s="85"/>
      <c r="BA570" s="85"/>
      <c r="BB570" s="85"/>
      <c r="BC570" s="85"/>
    </row>
    <row r="571" spans="1:55" ht="15.75" customHeight="1">
      <c r="A571" s="104"/>
      <c r="B571" s="85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  <c r="AA571" s="85"/>
      <c r="AB571" s="85"/>
      <c r="AC571" s="85"/>
      <c r="AD571" s="85"/>
      <c r="AE571" s="85"/>
      <c r="AF571" s="85"/>
      <c r="AG571" s="85"/>
      <c r="AH571" s="85"/>
      <c r="AI571" s="85"/>
      <c r="AJ571" s="85"/>
      <c r="AK571" s="85"/>
      <c r="AL571" s="85"/>
      <c r="AM571" s="85"/>
      <c r="AN571" s="85"/>
      <c r="AO571" s="85"/>
      <c r="AP571" s="85"/>
      <c r="AQ571" s="85"/>
      <c r="AR571" s="85"/>
      <c r="AS571" s="85"/>
      <c r="AT571" s="85"/>
      <c r="AU571" s="85"/>
      <c r="AV571" s="85"/>
      <c r="AW571" s="85"/>
      <c r="AX571" s="85"/>
      <c r="AY571" s="85"/>
      <c r="AZ571" s="85"/>
      <c r="BA571" s="85"/>
      <c r="BB571" s="85"/>
      <c r="BC571" s="85"/>
    </row>
    <row r="572" spans="1:55" ht="15.75" customHeight="1">
      <c r="A572" s="104"/>
      <c r="B572" s="85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  <c r="AA572" s="85"/>
      <c r="AB572" s="85"/>
      <c r="AC572" s="85"/>
      <c r="AD572" s="85"/>
      <c r="AE572" s="85"/>
      <c r="AF572" s="85"/>
      <c r="AG572" s="85"/>
      <c r="AH572" s="85"/>
      <c r="AI572" s="85"/>
      <c r="AJ572" s="85"/>
      <c r="AK572" s="85"/>
      <c r="AL572" s="85"/>
      <c r="AM572" s="85"/>
      <c r="AN572" s="85"/>
      <c r="AO572" s="85"/>
      <c r="AP572" s="85"/>
      <c r="AQ572" s="85"/>
      <c r="AR572" s="85"/>
      <c r="AS572" s="85"/>
      <c r="AT572" s="85"/>
      <c r="AU572" s="85"/>
      <c r="AV572" s="85"/>
      <c r="AW572" s="85"/>
      <c r="AX572" s="85"/>
      <c r="AY572" s="85"/>
      <c r="AZ572" s="85"/>
      <c r="BA572" s="85"/>
      <c r="BB572" s="85"/>
      <c r="BC572" s="85"/>
    </row>
    <row r="573" spans="1:55" ht="15.75" customHeight="1">
      <c r="A573" s="104"/>
      <c r="B573" s="85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  <c r="AA573" s="85"/>
      <c r="AB573" s="85"/>
      <c r="AC573" s="85"/>
      <c r="AD573" s="85"/>
      <c r="AE573" s="85"/>
      <c r="AF573" s="85"/>
      <c r="AG573" s="85"/>
      <c r="AH573" s="85"/>
      <c r="AI573" s="85"/>
      <c r="AJ573" s="85"/>
      <c r="AK573" s="85"/>
      <c r="AL573" s="85"/>
      <c r="AM573" s="85"/>
      <c r="AN573" s="85"/>
      <c r="AO573" s="85"/>
      <c r="AP573" s="85"/>
      <c r="AQ573" s="85"/>
      <c r="AR573" s="85"/>
      <c r="AS573" s="85"/>
      <c r="AT573" s="85"/>
      <c r="AU573" s="85"/>
      <c r="AV573" s="85"/>
      <c r="AW573" s="85"/>
      <c r="AX573" s="85"/>
      <c r="AY573" s="85"/>
      <c r="AZ573" s="85"/>
      <c r="BA573" s="85"/>
      <c r="BB573" s="85"/>
      <c r="BC573" s="85"/>
    </row>
    <row r="574" spans="1:55" ht="15.75" customHeight="1">
      <c r="A574" s="104"/>
      <c r="B574" s="85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  <c r="AA574" s="85"/>
      <c r="AB574" s="85"/>
      <c r="AC574" s="85"/>
      <c r="AD574" s="85"/>
      <c r="AE574" s="85"/>
      <c r="AF574" s="85"/>
      <c r="AG574" s="85"/>
      <c r="AH574" s="85"/>
      <c r="AI574" s="85"/>
      <c r="AJ574" s="85"/>
      <c r="AK574" s="85"/>
      <c r="AL574" s="85"/>
      <c r="AM574" s="85"/>
      <c r="AN574" s="85"/>
      <c r="AO574" s="85"/>
      <c r="AP574" s="85"/>
      <c r="AQ574" s="85"/>
      <c r="AR574" s="85"/>
      <c r="AS574" s="85"/>
      <c r="AT574" s="85"/>
      <c r="AU574" s="85"/>
      <c r="AV574" s="85"/>
      <c r="AW574" s="85"/>
      <c r="AX574" s="85"/>
      <c r="AY574" s="85"/>
      <c r="AZ574" s="85"/>
      <c r="BA574" s="85"/>
      <c r="BB574" s="85"/>
      <c r="BC574" s="85"/>
    </row>
    <row r="575" spans="1:55" ht="15.75" customHeight="1">
      <c r="A575" s="104"/>
      <c r="B575" s="85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  <c r="AA575" s="85"/>
      <c r="AB575" s="85"/>
      <c r="AC575" s="85"/>
      <c r="AD575" s="85"/>
      <c r="AE575" s="85"/>
      <c r="AF575" s="85"/>
      <c r="AG575" s="85"/>
      <c r="AH575" s="85"/>
      <c r="AI575" s="85"/>
      <c r="AJ575" s="85"/>
      <c r="AK575" s="85"/>
      <c r="AL575" s="85"/>
      <c r="AM575" s="85"/>
      <c r="AN575" s="85"/>
      <c r="AO575" s="85"/>
      <c r="AP575" s="85"/>
      <c r="AQ575" s="85"/>
      <c r="AR575" s="85"/>
      <c r="AS575" s="85"/>
      <c r="AT575" s="85"/>
      <c r="AU575" s="85"/>
      <c r="AV575" s="85"/>
      <c r="AW575" s="85"/>
      <c r="AX575" s="85"/>
      <c r="AY575" s="85"/>
      <c r="AZ575" s="85"/>
      <c r="BA575" s="85"/>
      <c r="BB575" s="85"/>
      <c r="BC575" s="85"/>
    </row>
    <row r="576" spans="1:55" ht="15.75" customHeight="1">
      <c r="A576" s="104"/>
      <c r="B576" s="85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  <c r="AA576" s="85"/>
      <c r="AB576" s="85"/>
      <c r="AC576" s="85"/>
      <c r="AD576" s="85"/>
      <c r="AE576" s="85"/>
      <c r="AF576" s="85"/>
      <c r="AG576" s="85"/>
      <c r="AH576" s="85"/>
      <c r="AI576" s="85"/>
      <c r="AJ576" s="85"/>
      <c r="AK576" s="85"/>
      <c r="AL576" s="85"/>
      <c r="AM576" s="85"/>
      <c r="AN576" s="85"/>
      <c r="AO576" s="85"/>
      <c r="AP576" s="85"/>
      <c r="AQ576" s="85"/>
      <c r="AR576" s="85"/>
      <c r="AS576" s="85"/>
      <c r="AT576" s="85"/>
      <c r="AU576" s="85"/>
      <c r="AV576" s="85"/>
      <c r="AW576" s="85"/>
      <c r="AX576" s="85"/>
      <c r="AY576" s="85"/>
      <c r="AZ576" s="85"/>
      <c r="BA576" s="85"/>
      <c r="BB576" s="85"/>
      <c r="BC576" s="85"/>
    </row>
    <row r="577" spans="1:55" ht="15.75" customHeight="1">
      <c r="A577" s="104"/>
      <c r="B577" s="85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  <c r="AA577" s="85"/>
      <c r="AB577" s="85"/>
      <c r="AC577" s="85"/>
      <c r="AD577" s="85"/>
      <c r="AE577" s="85"/>
      <c r="AF577" s="85"/>
      <c r="AG577" s="85"/>
      <c r="AH577" s="85"/>
      <c r="AI577" s="85"/>
      <c r="AJ577" s="85"/>
      <c r="AK577" s="85"/>
      <c r="AL577" s="85"/>
      <c r="AM577" s="85"/>
      <c r="AN577" s="85"/>
      <c r="AO577" s="85"/>
      <c r="AP577" s="85"/>
      <c r="AQ577" s="85"/>
      <c r="AR577" s="85"/>
      <c r="AS577" s="85"/>
      <c r="AT577" s="85"/>
      <c r="AU577" s="85"/>
      <c r="AV577" s="85"/>
      <c r="AW577" s="85"/>
      <c r="AX577" s="85"/>
      <c r="AY577" s="85"/>
      <c r="AZ577" s="85"/>
      <c r="BA577" s="85"/>
      <c r="BB577" s="85"/>
      <c r="BC577" s="85"/>
    </row>
    <row r="578" spans="1:55" ht="15.75" customHeight="1">
      <c r="A578" s="104"/>
      <c r="B578" s="85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  <c r="AA578" s="85"/>
      <c r="AB578" s="85"/>
      <c r="AC578" s="85"/>
      <c r="AD578" s="85"/>
      <c r="AE578" s="85"/>
      <c r="AF578" s="85"/>
      <c r="AG578" s="85"/>
      <c r="AH578" s="85"/>
      <c r="AI578" s="85"/>
      <c r="AJ578" s="85"/>
      <c r="AK578" s="85"/>
      <c r="AL578" s="85"/>
      <c r="AM578" s="85"/>
      <c r="AN578" s="85"/>
      <c r="AO578" s="85"/>
      <c r="AP578" s="85"/>
      <c r="AQ578" s="85"/>
      <c r="AR578" s="85"/>
      <c r="AS578" s="85"/>
      <c r="AT578" s="85"/>
      <c r="AU578" s="85"/>
      <c r="AV578" s="85"/>
      <c r="AW578" s="85"/>
      <c r="AX578" s="85"/>
      <c r="AY578" s="85"/>
      <c r="AZ578" s="85"/>
      <c r="BA578" s="85"/>
      <c r="BB578" s="85"/>
      <c r="BC578" s="85"/>
    </row>
    <row r="579" spans="1:55" ht="15.75" customHeight="1">
      <c r="A579" s="104"/>
      <c r="B579" s="85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  <c r="AA579" s="85"/>
      <c r="AB579" s="85"/>
      <c r="AC579" s="85"/>
      <c r="AD579" s="85"/>
      <c r="AE579" s="85"/>
      <c r="AF579" s="85"/>
      <c r="AG579" s="85"/>
      <c r="AH579" s="85"/>
      <c r="AI579" s="85"/>
      <c r="AJ579" s="85"/>
      <c r="AK579" s="85"/>
      <c r="AL579" s="85"/>
      <c r="AM579" s="85"/>
      <c r="AN579" s="85"/>
      <c r="AO579" s="85"/>
      <c r="AP579" s="85"/>
      <c r="AQ579" s="85"/>
      <c r="AR579" s="85"/>
      <c r="AS579" s="85"/>
      <c r="AT579" s="85"/>
      <c r="AU579" s="85"/>
      <c r="AV579" s="85"/>
      <c r="AW579" s="85"/>
      <c r="AX579" s="85"/>
      <c r="AY579" s="85"/>
      <c r="AZ579" s="85"/>
      <c r="BA579" s="85"/>
      <c r="BB579" s="85"/>
      <c r="BC579" s="85"/>
    </row>
    <row r="580" spans="1:55" ht="15.75" customHeight="1">
      <c r="A580" s="104"/>
      <c r="B580" s="85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  <c r="AA580" s="85"/>
      <c r="AB580" s="85"/>
      <c r="AC580" s="85"/>
      <c r="AD580" s="85"/>
      <c r="AE580" s="85"/>
      <c r="AF580" s="85"/>
      <c r="AG580" s="85"/>
      <c r="AH580" s="85"/>
      <c r="AI580" s="85"/>
      <c r="AJ580" s="85"/>
      <c r="AK580" s="85"/>
      <c r="AL580" s="85"/>
      <c r="AM580" s="85"/>
      <c r="AN580" s="85"/>
      <c r="AO580" s="85"/>
      <c r="AP580" s="85"/>
      <c r="AQ580" s="85"/>
      <c r="AR580" s="85"/>
      <c r="AS580" s="85"/>
      <c r="AT580" s="85"/>
      <c r="AU580" s="85"/>
      <c r="AV580" s="85"/>
      <c r="AW580" s="85"/>
      <c r="AX580" s="85"/>
      <c r="AY580" s="85"/>
      <c r="AZ580" s="85"/>
      <c r="BA580" s="85"/>
      <c r="BB580" s="85"/>
      <c r="BC580" s="85"/>
    </row>
    <row r="581" spans="1:55" ht="15.75" customHeight="1">
      <c r="A581" s="104"/>
      <c r="B581" s="85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  <c r="AA581" s="85"/>
      <c r="AB581" s="85"/>
      <c r="AC581" s="85"/>
      <c r="AD581" s="85"/>
      <c r="AE581" s="85"/>
      <c r="AF581" s="85"/>
      <c r="AG581" s="85"/>
      <c r="AH581" s="85"/>
      <c r="AI581" s="85"/>
      <c r="AJ581" s="85"/>
      <c r="AK581" s="85"/>
      <c r="AL581" s="85"/>
      <c r="AM581" s="85"/>
      <c r="AN581" s="85"/>
      <c r="AO581" s="85"/>
      <c r="AP581" s="85"/>
      <c r="AQ581" s="85"/>
      <c r="AR581" s="85"/>
      <c r="AS581" s="85"/>
      <c r="AT581" s="85"/>
      <c r="AU581" s="85"/>
      <c r="AV581" s="85"/>
      <c r="AW581" s="85"/>
      <c r="AX581" s="85"/>
      <c r="AY581" s="85"/>
      <c r="AZ581" s="85"/>
      <c r="BA581" s="85"/>
      <c r="BB581" s="85"/>
      <c r="BC581" s="85"/>
    </row>
    <row r="582" spans="1:55" ht="15.75" customHeight="1">
      <c r="A582" s="104"/>
      <c r="B582" s="85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  <c r="AA582" s="85"/>
      <c r="AB582" s="85"/>
      <c r="AC582" s="85"/>
      <c r="AD582" s="85"/>
      <c r="AE582" s="85"/>
      <c r="AF582" s="85"/>
      <c r="AG582" s="85"/>
      <c r="AH582" s="85"/>
      <c r="AI582" s="85"/>
      <c r="AJ582" s="85"/>
      <c r="AK582" s="85"/>
      <c r="AL582" s="85"/>
      <c r="AM582" s="85"/>
      <c r="AN582" s="85"/>
      <c r="AO582" s="85"/>
      <c r="AP582" s="85"/>
      <c r="AQ582" s="85"/>
      <c r="AR582" s="85"/>
      <c r="AS582" s="85"/>
      <c r="AT582" s="85"/>
      <c r="AU582" s="85"/>
      <c r="AV582" s="85"/>
      <c r="AW582" s="85"/>
      <c r="AX582" s="85"/>
      <c r="AY582" s="85"/>
      <c r="AZ582" s="85"/>
      <c r="BA582" s="85"/>
      <c r="BB582" s="85"/>
      <c r="BC582" s="85"/>
    </row>
    <row r="583" spans="1:55" ht="15.75" customHeight="1">
      <c r="A583" s="104"/>
      <c r="B583" s="85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  <c r="AA583" s="85"/>
      <c r="AB583" s="85"/>
      <c r="AC583" s="85"/>
      <c r="AD583" s="85"/>
      <c r="AE583" s="85"/>
      <c r="AF583" s="85"/>
      <c r="AG583" s="85"/>
      <c r="AH583" s="85"/>
      <c r="AI583" s="85"/>
      <c r="AJ583" s="85"/>
      <c r="AK583" s="85"/>
      <c r="AL583" s="85"/>
      <c r="AM583" s="85"/>
      <c r="AN583" s="85"/>
      <c r="AO583" s="85"/>
      <c r="AP583" s="85"/>
      <c r="AQ583" s="85"/>
      <c r="AR583" s="85"/>
      <c r="AS583" s="85"/>
      <c r="AT583" s="85"/>
      <c r="AU583" s="85"/>
      <c r="AV583" s="85"/>
      <c r="AW583" s="85"/>
      <c r="AX583" s="85"/>
      <c r="AY583" s="85"/>
      <c r="AZ583" s="85"/>
      <c r="BA583" s="85"/>
      <c r="BB583" s="85"/>
      <c r="BC583" s="85"/>
    </row>
    <row r="584" spans="1:55" ht="15.75" customHeight="1">
      <c r="A584" s="104"/>
      <c r="B584" s="85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  <c r="AA584" s="85"/>
      <c r="AB584" s="85"/>
      <c r="AC584" s="85"/>
      <c r="AD584" s="85"/>
      <c r="AE584" s="85"/>
      <c r="AF584" s="85"/>
      <c r="AG584" s="85"/>
      <c r="AH584" s="85"/>
      <c r="AI584" s="85"/>
      <c r="AJ584" s="85"/>
      <c r="AK584" s="85"/>
      <c r="AL584" s="85"/>
      <c r="AM584" s="85"/>
      <c r="AN584" s="85"/>
      <c r="AO584" s="85"/>
      <c r="AP584" s="85"/>
      <c r="AQ584" s="85"/>
      <c r="AR584" s="85"/>
      <c r="AS584" s="85"/>
      <c r="AT584" s="85"/>
      <c r="AU584" s="85"/>
      <c r="AV584" s="85"/>
      <c r="AW584" s="85"/>
      <c r="AX584" s="85"/>
      <c r="AY584" s="85"/>
      <c r="AZ584" s="85"/>
      <c r="BA584" s="85"/>
      <c r="BB584" s="85"/>
      <c r="BC584" s="85"/>
    </row>
    <row r="585" spans="1:55" ht="15.75" customHeight="1">
      <c r="A585" s="104"/>
      <c r="B585" s="85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  <c r="AA585" s="85"/>
      <c r="AB585" s="85"/>
      <c r="AC585" s="85"/>
      <c r="AD585" s="85"/>
      <c r="AE585" s="85"/>
      <c r="AF585" s="85"/>
      <c r="AG585" s="85"/>
      <c r="AH585" s="85"/>
      <c r="AI585" s="85"/>
      <c r="AJ585" s="85"/>
      <c r="AK585" s="85"/>
      <c r="AL585" s="85"/>
      <c r="AM585" s="85"/>
      <c r="AN585" s="85"/>
      <c r="AO585" s="85"/>
      <c r="AP585" s="85"/>
      <c r="AQ585" s="85"/>
      <c r="AR585" s="85"/>
      <c r="AS585" s="85"/>
      <c r="AT585" s="85"/>
      <c r="AU585" s="85"/>
      <c r="AV585" s="85"/>
      <c r="AW585" s="85"/>
      <c r="AX585" s="85"/>
      <c r="AY585" s="85"/>
      <c r="AZ585" s="85"/>
      <c r="BA585" s="85"/>
      <c r="BB585" s="85"/>
      <c r="BC585" s="85"/>
    </row>
    <row r="586" spans="1:55" ht="15.75" customHeight="1">
      <c r="A586" s="104"/>
      <c r="B586" s="85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  <c r="AA586" s="85"/>
      <c r="AB586" s="85"/>
      <c r="AC586" s="85"/>
      <c r="AD586" s="85"/>
      <c r="AE586" s="85"/>
      <c r="AF586" s="85"/>
      <c r="AG586" s="85"/>
      <c r="AH586" s="85"/>
      <c r="AI586" s="85"/>
      <c r="AJ586" s="85"/>
      <c r="AK586" s="85"/>
      <c r="AL586" s="85"/>
      <c r="AM586" s="85"/>
      <c r="AN586" s="85"/>
      <c r="AO586" s="85"/>
      <c r="AP586" s="85"/>
      <c r="AQ586" s="85"/>
      <c r="AR586" s="85"/>
      <c r="AS586" s="85"/>
      <c r="AT586" s="85"/>
      <c r="AU586" s="85"/>
      <c r="AV586" s="85"/>
      <c r="AW586" s="85"/>
      <c r="AX586" s="85"/>
      <c r="AY586" s="85"/>
      <c r="AZ586" s="85"/>
      <c r="BA586" s="85"/>
      <c r="BB586" s="85"/>
      <c r="BC586" s="85"/>
    </row>
    <row r="587" spans="1:55" ht="15.75" customHeight="1">
      <c r="A587" s="104"/>
      <c r="B587" s="85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  <c r="AA587" s="85"/>
      <c r="AB587" s="85"/>
      <c r="AC587" s="85"/>
      <c r="AD587" s="85"/>
      <c r="AE587" s="85"/>
      <c r="AF587" s="85"/>
      <c r="AG587" s="85"/>
      <c r="AH587" s="85"/>
      <c r="AI587" s="85"/>
      <c r="AJ587" s="85"/>
      <c r="AK587" s="85"/>
      <c r="AL587" s="85"/>
      <c r="AM587" s="85"/>
      <c r="AN587" s="85"/>
      <c r="AO587" s="85"/>
      <c r="AP587" s="85"/>
      <c r="AQ587" s="85"/>
      <c r="AR587" s="85"/>
      <c r="AS587" s="85"/>
      <c r="AT587" s="85"/>
      <c r="AU587" s="85"/>
      <c r="AV587" s="85"/>
      <c r="AW587" s="85"/>
      <c r="AX587" s="85"/>
      <c r="AY587" s="85"/>
      <c r="AZ587" s="85"/>
      <c r="BA587" s="85"/>
      <c r="BB587" s="85"/>
      <c r="BC587" s="85"/>
    </row>
    <row r="588" spans="1:55" ht="15.75" customHeight="1">
      <c r="A588" s="104"/>
      <c r="B588" s="85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  <c r="AA588" s="85"/>
      <c r="AB588" s="85"/>
      <c r="AC588" s="85"/>
      <c r="AD588" s="85"/>
      <c r="AE588" s="85"/>
      <c r="AF588" s="85"/>
      <c r="AG588" s="85"/>
      <c r="AH588" s="85"/>
      <c r="AI588" s="85"/>
      <c r="AJ588" s="85"/>
      <c r="AK588" s="85"/>
      <c r="AL588" s="85"/>
      <c r="AM588" s="85"/>
      <c r="AN588" s="85"/>
      <c r="AO588" s="85"/>
      <c r="AP588" s="85"/>
      <c r="AQ588" s="85"/>
      <c r="AR588" s="85"/>
      <c r="AS588" s="85"/>
      <c r="AT588" s="85"/>
      <c r="AU588" s="85"/>
      <c r="AV588" s="85"/>
      <c r="AW588" s="85"/>
      <c r="AX588" s="85"/>
      <c r="AY588" s="85"/>
      <c r="AZ588" s="85"/>
      <c r="BA588" s="85"/>
      <c r="BB588" s="85"/>
      <c r="BC588" s="85"/>
    </row>
    <row r="589" spans="1:55" ht="15.75" customHeight="1">
      <c r="A589" s="104"/>
      <c r="B589" s="85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  <c r="AA589" s="85"/>
      <c r="AB589" s="85"/>
      <c r="AC589" s="85"/>
      <c r="AD589" s="85"/>
      <c r="AE589" s="85"/>
      <c r="AF589" s="85"/>
      <c r="AG589" s="85"/>
      <c r="AH589" s="85"/>
      <c r="AI589" s="85"/>
      <c r="AJ589" s="85"/>
      <c r="AK589" s="85"/>
      <c r="AL589" s="85"/>
      <c r="AM589" s="85"/>
      <c r="AN589" s="85"/>
      <c r="AO589" s="85"/>
      <c r="AP589" s="85"/>
      <c r="AQ589" s="85"/>
      <c r="AR589" s="85"/>
      <c r="AS589" s="85"/>
      <c r="AT589" s="85"/>
      <c r="AU589" s="85"/>
      <c r="AV589" s="85"/>
      <c r="AW589" s="85"/>
      <c r="AX589" s="85"/>
      <c r="AY589" s="85"/>
      <c r="AZ589" s="85"/>
      <c r="BA589" s="85"/>
      <c r="BB589" s="85"/>
      <c r="BC589" s="85"/>
    </row>
    <row r="590" spans="1:55" ht="15.75" customHeight="1">
      <c r="A590" s="104"/>
      <c r="B590" s="85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  <c r="AA590" s="85"/>
      <c r="AB590" s="85"/>
      <c r="AC590" s="85"/>
      <c r="AD590" s="85"/>
      <c r="AE590" s="85"/>
      <c r="AF590" s="85"/>
      <c r="AG590" s="85"/>
      <c r="AH590" s="85"/>
      <c r="AI590" s="85"/>
      <c r="AJ590" s="85"/>
      <c r="AK590" s="85"/>
      <c r="AL590" s="85"/>
      <c r="AM590" s="85"/>
      <c r="AN590" s="85"/>
      <c r="AO590" s="85"/>
      <c r="AP590" s="85"/>
      <c r="AQ590" s="85"/>
      <c r="AR590" s="85"/>
      <c r="AS590" s="85"/>
      <c r="AT590" s="85"/>
      <c r="AU590" s="85"/>
      <c r="AV590" s="85"/>
      <c r="AW590" s="85"/>
      <c r="AX590" s="85"/>
      <c r="AY590" s="85"/>
      <c r="AZ590" s="85"/>
      <c r="BA590" s="85"/>
      <c r="BB590" s="85"/>
      <c r="BC590" s="85"/>
    </row>
    <row r="591" spans="1:55" ht="15.75" customHeight="1">
      <c r="A591" s="104"/>
      <c r="B591" s="85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  <c r="AA591" s="85"/>
      <c r="AB591" s="85"/>
      <c r="AC591" s="85"/>
      <c r="AD591" s="85"/>
      <c r="AE591" s="85"/>
      <c r="AF591" s="85"/>
      <c r="AG591" s="85"/>
      <c r="AH591" s="85"/>
      <c r="AI591" s="85"/>
      <c r="AJ591" s="85"/>
      <c r="AK591" s="85"/>
      <c r="AL591" s="85"/>
      <c r="AM591" s="85"/>
      <c r="AN591" s="85"/>
      <c r="AO591" s="85"/>
      <c r="AP591" s="85"/>
      <c r="AQ591" s="85"/>
      <c r="AR591" s="85"/>
      <c r="AS591" s="85"/>
      <c r="AT591" s="85"/>
      <c r="AU591" s="85"/>
      <c r="AV591" s="85"/>
      <c r="AW591" s="85"/>
      <c r="AX591" s="85"/>
      <c r="AY591" s="85"/>
      <c r="AZ591" s="85"/>
      <c r="BA591" s="85"/>
      <c r="BB591" s="85"/>
      <c r="BC591" s="85"/>
    </row>
    <row r="592" spans="1:55" ht="15.75" customHeight="1">
      <c r="A592" s="104"/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  <c r="AA592" s="85"/>
      <c r="AB592" s="85"/>
      <c r="AC592" s="85"/>
      <c r="AD592" s="85"/>
      <c r="AE592" s="85"/>
      <c r="AF592" s="85"/>
      <c r="AG592" s="85"/>
      <c r="AH592" s="85"/>
      <c r="AI592" s="85"/>
      <c r="AJ592" s="85"/>
      <c r="AK592" s="85"/>
      <c r="AL592" s="85"/>
      <c r="AM592" s="85"/>
      <c r="AN592" s="85"/>
      <c r="AO592" s="85"/>
      <c r="AP592" s="85"/>
      <c r="AQ592" s="85"/>
      <c r="AR592" s="85"/>
      <c r="AS592" s="85"/>
      <c r="AT592" s="85"/>
      <c r="AU592" s="85"/>
      <c r="AV592" s="85"/>
      <c r="AW592" s="85"/>
      <c r="AX592" s="85"/>
      <c r="AY592" s="85"/>
      <c r="AZ592" s="85"/>
      <c r="BA592" s="85"/>
      <c r="BB592" s="85"/>
      <c r="BC592" s="85"/>
    </row>
    <row r="593" spans="1:55" ht="15.75" customHeight="1">
      <c r="A593" s="104"/>
      <c r="B593" s="85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  <c r="AA593" s="85"/>
      <c r="AB593" s="85"/>
      <c r="AC593" s="85"/>
      <c r="AD593" s="85"/>
      <c r="AE593" s="85"/>
      <c r="AF593" s="85"/>
      <c r="AG593" s="85"/>
      <c r="AH593" s="85"/>
      <c r="AI593" s="85"/>
      <c r="AJ593" s="85"/>
      <c r="AK593" s="85"/>
      <c r="AL593" s="85"/>
      <c r="AM593" s="85"/>
      <c r="AN593" s="85"/>
      <c r="AO593" s="85"/>
      <c r="AP593" s="85"/>
      <c r="AQ593" s="85"/>
      <c r="AR593" s="85"/>
      <c r="AS593" s="85"/>
      <c r="AT593" s="85"/>
      <c r="AU593" s="85"/>
      <c r="AV593" s="85"/>
      <c r="AW593" s="85"/>
      <c r="AX593" s="85"/>
      <c r="AY593" s="85"/>
      <c r="AZ593" s="85"/>
      <c r="BA593" s="85"/>
      <c r="BB593" s="85"/>
      <c r="BC593" s="85"/>
    </row>
    <row r="594" spans="1:55" ht="15.75" customHeight="1">
      <c r="A594" s="104"/>
      <c r="B594" s="85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  <c r="AA594" s="85"/>
      <c r="AB594" s="85"/>
      <c r="AC594" s="85"/>
      <c r="AD594" s="85"/>
      <c r="AE594" s="85"/>
      <c r="AF594" s="85"/>
      <c r="AG594" s="85"/>
      <c r="AH594" s="85"/>
      <c r="AI594" s="85"/>
      <c r="AJ594" s="85"/>
      <c r="AK594" s="85"/>
      <c r="AL594" s="85"/>
      <c r="AM594" s="85"/>
      <c r="AN594" s="85"/>
      <c r="AO594" s="85"/>
      <c r="AP594" s="85"/>
      <c r="AQ594" s="85"/>
      <c r="AR594" s="85"/>
      <c r="AS594" s="85"/>
      <c r="AT594" s="85"/>
      <c r="AU594" s="85"/>
      <c r="AV594" s="85"/>
      <c r="AW594" s="85"/>
      <c r="AX594" s="85"/>
      <c r="AY594" s="85"/>
      <c r="AZ594" s="85"/>
      <c r="BA594" s="85"/>
      <c r="BB594" s="85"/>
      <c r="BC594" s="85"/>
    </row>
    <row r="595" spans="1:55" ht="15.75" customHeight="1">
      <c r="A595" s="104"/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  <c r="AA595" s="85"/>
      <c r="AB595" s="85"/>
      <c r="AC595" s="85"/>
      <c r="AD595" s="85"/>
      <c r="AE595" s="85"/>
      <c r="AF595" s="85"/>
      <c r="AG595" s="85"/>
      <c r="AH595" s="85"/>
      <c r="AI595" s="85"/>
      <c r="AJ595" s="85"/>
      <c r="AK595" s="85"/>
      <c r="AL595" s="85"/>
      <c r="AM595" s="85"/>
      <c r="AN595" s="85"/>
      <c r="AO595" s="85"/>
      <c r="AP595" s="85"/>
      <c r="AQ595" s="85"/>
      <c r="AR595" s="85"/>
      <c r="AS595" s="85"/>
      <c r="AT595" s="85"/>
      <c r="AU595" s="85"/>
      <c r="AV595" s="85"/>
      <c r="AW595" s="85"/>
      <c r="AX595" s="85"/>
      <c r="AY595" s="85"/>
      <c r="AZ595" s="85"/>
      <c r="BA595" s="85"/>
      <c r="BB595" s="85"/>
      <c r="BC595" s="85"/>
    </row>
    <row r="596" spans="1:55" ht="15.75" customHeight="1">
      <c r="A596" s="104"/>
      <c r="B596" s="85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  <c r="AA596" s="85"/>
      <c r="AB596" s="85"/>
      <c r="AC596" s="85"/>
      <c r="AD596" s="85"/>
      <c r="AE596" s="85"/>
      <c r="AF596" s="85"/>
      <c r="AG596" s="85"/>
      <c r="AH596" s="85"/>
      <c r="AI596" s="85"/>
      <c r="AJ596" s="85"/>
      <c r="AK596" s="85"/>
      <c r="AL596" s="85"/>
      <c r="AM596" s="85"/>
      <c r="AN596" s="85"/>
      <c r="AO596" s="85"/>
      <c r="AP596" s="85"/>
      <c r="AQ596" s="85"/>
      <c r="AR596" s="85"/>
      <c r="AS596" s="85"/>
      <c r="AT596" s="85"/>
      <c r="AU596" s="85"/>
      <c r="AV596" s="85"/>
      <c r="AW596" s="85"/>
      <c r="AX596" s="85"/>
      <c r="AY596" s="85"/>
      <c r="AZ596" s="85"/>
      <c r="BA596" s="85"/>
      <c r="BB596" s="85"/>
      <c r="BC596" s="85"/>
    </row>
    <row r="597" spans="1:55" ht="15.75" customHeight="1">
      <c r="A597" s="104"/>
      <c r="B597" s="85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  <c r="AA597" s="85"/>
      <c r="AB597" s="85"/>
      <c r="AC597" s="85"/>
      <c r="AD597" s="85"/>
      <c r="AE597" s="85"/>
      <c r="AF597" s="85"/>
      <c r="AG597" s="85"/>
      <c r="AH597" s="85"/>
      <c r="AI597" s="85"/>
      <c r="AJ597" s="85"/>
      <c r="AK597" s="85"/>
      <c r="AL597" s="85"/>
      <c r="AM597" s="85"/>
      <c r="AN597" s="85"/>
      <c r="AO597" s="85"/>
      <c r="AP597" s="85"/>
      <c r="AQ597" s="85"/>
      <c r="AR597" s="85"/>
      <c r="AS597" s="85"/>
      <c r="AT597" s="85"/>
      <c r="AU597" s="85"/>
      <c r="AV597" s="85"/>
      <c r="AW597" s="85"/>
      <c r="AX597" s="85"/>
      <c r="AY597" s="85"/>
      <c r="AZ597" s="85"/>
      <c r="BA597" s="85"/>
      <c r="BB597" s="85"/>
      <c r="BC597" s="85"/>
    </row>
    <row r="598" spans="1:55" ht="15.75" customHeight="1">
      <c r="A598" s="104"/>
      <c r="B598" s="85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  <c r="AA598" s="85"/>
      <c r="AB598" s="85"/>
      <c r="AC598" s="85"/>
      <c r="AD598" s="85"/>
      <c r="AE598" s="85"/>
      <c r="AF598" s="85"/>
      <c r="AG598" s="85"/>
      <c r="AH598" s="85"/>
      <c r="AI598" s="85"/>
      <c r="AJ598" s="85"/>
      <c r="AK598" s="85"/>
      <c r="AL598" s="85"/>
      <c r="AM598" s="85"/>
      <c r="AN598" s="85"/>
      <c r="AO598" s="85"/>
      <c r="AP598" s="85"/>
      <c r="AQ598" s="85"/>
      <c r="AR598" s="85"/>
      <c r="AS598" s="85"/>
      <c r="AT598" s="85"/>
      <c r="AU598" s="85"/>
      <c r="AV598" s="85"/>
      <c r="AW598" s="85"/>
      <c r="AX598" s="85"/>
      <c r="AY598" s="85"/>
      <c r="AZ598" s="85"/>
      <c r="BA598" s="85"/>
      <c r="BB598" s="85"/>
      <c r="BC598" s="85"/>
    </row>
    <row r="599" spans="1:55" ht="15.75" customHeight="1">
      <c r="A599" s="104"/>
      <c r="B599" s="85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  <c r="AA599" s="85"/>
      <c r="AB599" s="85"/>
      <c r="AC599" s="85"/>
      <c r="AD599" s="85"/>
      <c r="AE599" s="85"/>
      <c r="AF599" s="85"/>
      <c r="AG599" s="85"/>
      <c r="AH599" s="85"/>
      <c r="AI599" s="85"/>
      <c r="AJ599" s="85"/>
      <c r="AK599" s="85"/>
      <c r="AL599" s="85"/>
      <c r="AM599" s="85"/>
      <c r="AN599" s="85"/>
      <c r="AO599" s="85"/>
      <c r="AP599" s="85"/>
      <c r="AQ599" s="85"/>
      <c r="AR599" s="85"/>
      <c r="AS599" s="85"/>
      <c r="AT599" s="85"/>
      <c r="AU599" s="85"/>
      <c r="AV599" s="85"/>
      <c r="AW599" s="85"/>
      <c r="AX599" s="85"/>
      <c r="AY599" s="85"/>
      <c r="AZ599" s="85"/>
      <c r="BA599" s="85"/>
      <c r="BB599" s="85"/>
      <c r="BC599" s="85"/>
    </row>
    <row r="600" spans="1:55" ht="15.75" customHeight="1">
      <c r="A600" s="104"/>
      <c r="B600" s="85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  <c r="AA600" s="85"/>
      <c r="AB600" s="85"/>
      <c r="AC600" s="85"/>
      <c r="AD600" s="85"/>
      <c r="AE600" s="85"/>
      <c r="AF600" s="85"/>
      <c r="AG600" s="85"/>
      <c r="AH600" s="85"/>
      <c r="AI600" s="85"/>
      <c r="AJ600" s="85"/>
      <c r="AK600" s="85"/>
      <c r="AL600" s="85"/>
      <c r="AM600" s="85"/>
      <c r="AN600" s="85"/>
      <c r="AO600" s="85"/>
      <c r="AP600" s="85"/>
      <c r="AQ600" s="85"/>
      <c r="AR600" s="85"/>
      <c r="AS600" s="85"/>
      <c r="AT600" s="85"/>
      <c r="AU600" s="85"/>
      <c r="AV600" s="85"/>
      <c r="AW600" s="85"/>
      <c r="AX600" s="85"/>
      <c r="AY600" s="85"/>
      <c r="AZ600" s="85"/>
      <c r="BA600" s="85"/>
      <c r="BB600" s="85"/>
      <c r="BC600" s="85"/>
    </row>
    <row r="601" spans="1:55" ht="15.75" customHeight="1">
      <c r="A601" s="104"/>
      <c r="B601" s="85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  <c r="AA601" s="85"/>
      <c r="AB601" s="85"/>
      <c r="AC601" s="85"/>
      <c r="AD601" s="85"/>
      <c r="AE601" s="85"/>
      <c r="AF601" s="85"/>
      <c r="AG601" s="85"/>
      <c r="AH601" s="85"/>
      <c r="AI601" s="85"/>
      <c r="AJ601" s="85"/>
      <c r="AK601" s="85"/>
      <c r="AL601" s="85"/>
      <c r="AM601" s="85"/>
      <c r="AN601" s="85"/>
      <c r="AO601" s="85"/>
      <c r="AP601" s="85"/>
      <c r="AQ601" s="85"/>
      <c r="AR601" s="85"/>
      <c r="AS601" s="85"/>
      <c r="AT601" s="85"/>
      <c r="AU601" s="85"/>
      <c r="AV601" s="85"/>
      <c r="AW601" s="85"/>
      <c r="AX601" s="85"/>
      <c r="AY601" s="85"/>
      <c r="AZ601" s="85"/>
      <c r="BA601" s="85"/>
      <c r="BB601" s="85"/>
      <c r="BC601" s="85"/>
    </row>
    <row r="602" spans="1:55" ht="15.75" customHeight="1">
      <c r="A602" s="104"/>
      <c r="B602" s="85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  <c r="AA602" s="85"/>
      <c r="AB602" s="85"/>
      <c r="AC602" s="85"/>
      <c r="AD602" s="85"/>
      <c r="AE602" s="85"/>
      <c r="AF602" s="85"/>
      <c r="AG602" s="85"/>
      <c r="AH602" s="85"/>
      <c r="AI602" s="85"/>
      <c r="AJ602" s="85"/>
      <c r="AK602" s="85"/>
      <c r="AL602" s="85"/>
      <c r="AM602" s="85"/>
      <c r="AN602" s="85"/>
      <c r="AO602" s="85"/>
      <c r="AP602" s="85"/>
      <c r="AQ602" s="85"/>
      <c r="AR602" s="85"/>
      <c r="AS602" s="85"/>
      <c r="AT602" s="85"/>
      <c r="AU602" s="85"/>
      <c r="AV602" s="85"/>
      <c r="AW602" s="85"/>
      <c r="AX602" s="85"/>
      <c r="AY602" s="85"/>
      <c r="AZ602" s="85"/>
      <c r="BA602" s="85"/>
      <c r="BB602" s="85"/>
      <c r="BC602" s="85"/>
    </row>
    <row r="603" spans="1:55" ht="15.75" customHeight="1">
      <c r="A603" s="104"/>
      <c r="B603" s="85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  <c r="AA603" s="85"/>
      <c r="AB603" s="85"/>
      <c r="AC603" s="85"/>
      <c r="AD603" s="85"/>
      <c r="AE603" s="85"/>
      <c r="AF603" s="85"/>
      <c r="AG603" s="85"/>
      <c r="AH603" s="85"/>
      <c r="AI603" s="85"/>
      <c r="AJ603" s="85"/>
      <c r="AK603" s="85"/>
      <c r="AL603" s="85"/>
      <c r="AM603" s="85"/>
      <c r="AN603" s="85"/>
      <c r="AO603" s="85"/>
      <c r="AP603" s="85"/>
      <c r="AQ603" s="85"/>
      <c r="AR603" s="85"/>
      <c r="AS603" s="85"/>
      <c r="AT603" s="85"/>
      <c r="AU603" s="85"/>
      <c r="AV603" s="85"/>
      <c r="AW603" s="85"/>
      <c r="AX603" s="85"/>
      <c r="AY603" s="85"/>
      <c r="AZ603" s="85"/>
      <c r="BA603" s="85"/>
      <c r="BB603" s="85"/>
      <c r="BC603" s="85"/>
    </row>
    <row r="604" spans="1:55" ht="15.75" customHeight="1">
      <c r="A604" s="104"/>
      <c r="B604" s="85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  <c r="AA604" s="85"/>
      <c r="AB604" s="85"/>
      <c r="AC604" s="85"/>
      <c r="AD604" s="85"/>
      <c r="AE604" s="85"/>
      <c r="AF604" s="85"/>
      <c r="AG604" s="85"/>
      <c r="AH604" s="85"/>
      <c r="AI604" s="85"/>
      <c r="AJ604" s="85"/>
      <c r="AK604" s="85"/>
      <c r="AL604" s="85"/>
      <c r="AM604" s="85"/>
      <c r="AN604" s="85"/>
      <c r="AO604" s="85"/>
      <c r="AP604" s="85"/>
      <c r="AQ604" s="85"/>
      <c r="AR604" s="85"/>
      <c r="AS604" s="85"/>
      <c r="AT604" s="85"/>
      <c r="AU604" s="85"/>
      <c r="AV604" s="85"/>
      <c r="AW604" s="85"/>
      <c r="AX604" s="85"/>
      <c r="AY604" s="85"/>
      <c r="AZ604" s="85"/>
      <c r="BA604" s="85"/>
      <c r="BB604" s="85"/>
      <c r="BC604" s="85"/>
    </row>
    <row r="605" spans="1:55" ht="15.75" customHeight="1">
      <c r="A605" s="104"/>
      <c r="B605" s="85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  <c r="AA605" s="85"/>
      <c r="AB605" s="85"/>
      <c r="AC605" s="85"/>
      <c r="AD605" s="85"/>
      <c r="AE605" s="85"/>
      <c r="AF605" s="85"/>
      <c r="AG605" s="85"/>
      <c r="AH605" s="85"/>
      <c r="AI605" s="85"/>
      <c r="AJ605" s="85"/>
      <c r="AK605" s="85"/>
      <c r="AL605" s="85"/>
      <c r="AM605" s="85"/>
      <c r="AN605" s="85"/>
      <c r="AO605" s="85"/>
      <c r="AP605" s="85"/>
      <c r="AQ605" s="85"/>
      <c r="AR605" s="85"/>
      <c r="AS605" s="85"/>
      <c r="AT605" s="85"/>
      <c r="AU605" s="85"/>
      <c r="AV605" s="85"/>
      <c r="AW605" s="85"/>
      <c r="AX605" s="85"/>
      <c r="AY605" s="85"/>
      <c r="AZ605" s="85"/>
      <c r="BA605" s="85"/>
      <c r="BB605" s="85"/>
      <c r="BC605" s="85"/>
    </row>
    <row r="606" spans="1:55" ht="15.75" customHeight="1">
      <c r="A606" s="104"/>
      <c r="B606" s="85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  <c r="AA606" s="85"/>
      <c r="AB606" s="85"/>
      <c r="AC606" s="85"/>
      <c r="AD606" s="85"/>
      <c r="AE606" s="85"/>
      <c r="AF606" s="85"/>
      <c r="AG606" s="85"/>
      <c r="AH606" s="85"/>
      <c r="AI606" s="85"/>
      <c r="AJ606" s="85"/>
      <c r="AK606" s="85"/>
      <c r="AL606" s="85"/>
      <c r="AM606" s="85"/>
      <c r="AN606" s="85"/>
      <c r="AO606" s="85"/>
      <c r="AP606" s="85"/>
      <c r="AQ606" s="85"/>
      <c r="AR606" s="85"/>
      <c r="AS606" s="85"/>
      <c r="AT606" s="85"/>
      <c r="AU606" s="85"/>
      <c r="AV606" s="85"/>
      <c r="AW606" s="85"/>
      <c r="AX606" s="85"/>
      <c r="AY606" s="85"/>
      <c r="AZ606" s="85"/>
      <c r="BA606" s="85"/>
      <c r="BB606" s="85"/>
      <c r="BC606" s="85"/>
    </row>
    <row r="607" spans="1:55" ht="15.75" customHeight="1">
      <c r="A607" s="104"/>
      <c r="B607" s="85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  <c r="AA607" s="85"/>
      <c r="AB607" s="85"/>
      <c r="AC607" s="85"/>
      <c r="AD607" s="85"/>
      <c r="AE607" s="85"/>
      <c r="AF607" s="85"/>
      <c r="AG607" s="85"/>
      <c r="AH607" s="85"/>
      <c r="AI607" s="85"/>
      <c r="AJ607" s="85"/>
      <c r="AK607" s="85"/>
      <c r="AL607" s="85"/>
      <c r="AM607" s="85"/>
      <c r="AN607" s="85"/>
      <c r="AO607" s="85"/>
      <c r="AP607" s="85"/>
      <c r="AQ607" s="85"/>
      <c r="AR607" s="85"/>
      <c r="AS607" s="85"/>
      <c r="AT607" s="85"/>
      <c r="AU607" s="85"/>
      <c r="AV607" s="85"/>
      <c r="AW607" s="85"/>
      <c r="AX607" s="85"/>
      <c r="AY607" s="85"/>
      <c r="AZ607" s="85"/>
      <c r="BA607" s="85"/>
      <c r="BB607" s="85"/>
      <c r="BC607" s="85"/>
    </row>
    <row r="608" spans="1:55" ht="15.75" customHeight="1">
      <c r="A608" s="104"/>
      <c r="B608" s="85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  <c r="AA608" s="85"/>
      <c r="AB608" s="85"/>
      <c r="AC608" s="85"/>
      <c r="AD608" s="85"/>
      <c r="AE608" s="85"/>
      <c r="AF608" s="85"/>
      <c r="AG608" s="85"/>
      <c r="AH608" s="85"/>
      <c r="AI608" s="85"/>
      <c r="AJ608" s="85"/>
      <c r="AK608" s="85"/>
      <c r="AL608" s="85"/>
      <c r="AM608" s="85"/>
      <c r="AN608" s="85"/>
      <c r="AO608" s="85"/>
      <c r="AP608" s="85"/>
      <c r="AQ608" s="85"/>
      <c r="AR608" s="85"/>
      <c r="AS608" s="85"/>
      <c r="AT608" s="85"/>
      <c r="AU608" s="85"/>
      <c r="AV608" s="85"/>
      <c r="AW608" s="85"/>
      <c r="AX608" s="85"/>
      <c r="AY608" s="85"/>
      <c r="AZ608" s="85"/>
      <c r="BA608" s="85"/>
      <c r="BB608" s="85"/>
      <c r="BC608" s="85"/>
    </row>
    <row r="609" spans="1:55" ht="15.75" customHeight="1">
      <c r="A609" s="104"/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  <c r="AA609" s="85"/>
      <c r="AB609" s="85"/>
      <c r="AC609" s="85"/>
      <c r="AD609" s="85"/>
      <c r="AE609" s="85"/>
      <c r="AF609" s="85"/>
      <c r="AG609" s="85"/>
      <c r="AH609" s="85"/>
      <c r="AI609" s="85"/>
      <c r="AJ609" s="85"/>
      <c r="AK609" s="85"/>
      <c r="AL609" s="85"/>
      <c r="AM609" s="85"/>
      <c r="AN609" s="85"/>
      <c r="AO609" s="85"/>
      <c r="AP609" s="85"/>
      <c r="AQ609" s="85"/>
      <c r="AR609" s="85"/>
      <c r="AS609" s="85"/>
      <c r="AT609" s="85"/>
      <c r="AU609" s="85"/>
      <c r="AV609" s="85"/>
      <c r="AW609" s="85"/>
      <c r="AX609" s="85"/>
      <c r="AY609" s="85"/>
      <c r="AZ609" s="85"/>
      <c r="BA609" s="85"/>
      <c r="BB609" s="85"/>
      <c r="BC609" s="85"/>
    </row>
    <row r="610" spans="1:55" ht="15.75" customHeight="1">
      <c r="A610" s="104"/>
      <c r="B610" s="85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  <c r="AA610" s="85"/>
      <c r="AB610" s="85"/>
      <c r="AC610" s="85"/>
      <c r="AD610" s="85"/>
      <c r="AE610" s="85"/>
      <c r="AF610" s="85"/>
      <c r="AG610" s="85"/>
      <c r="AH610" s="85"/>
      <c r="AI610" s="85"/>
      <c r="AJ610" s="85"/>
      <c r="AK610" s="85"/>
      <c r="AL610" s="85"/>
      <c r="AM610" s="85"/>
      <c r="AN610" s="85"/>
      <c r="AO610" s="85"/>
      <c r="AP610" s="85"/>
      <c r="AQ610" s="85"/>
      <c r="AR610" s="85"/>
      <c r="AS610" s="85"/>
      <c r="AT610" s="85"/>
      <c r="AU610" s="85"/>
      <c r="AV610" s="85"/>
      <c r="AW610" s="85"/>
      <c r="AX610" s="85"/>
      <c r="AY610" s="85"/>
      <c r="AZ610" s="85"/>
      <c r="BA610" s="85"/>
      <c r="BB610" s="85"/>
      <c r="BC610" s="85"/>
    </row>
    <row r="611" spans="1:55" ht="15.75" customHeight="1">
      <c r="A611" s="104"/>
      <c r="B611" s="85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  <c r="AA611" s="85"/>
      <c r="AB611" s="85"/>
      <c r="AC611" s="85"/>
      <c r="AD611" s="85"/>
      <c r="AE611" s="85"/>
      <c r="AF611" s="85"/>
      <c r="AG611" s="85"/>
      <c r="AH611" s="85"/>
      <c r="AI611" s="85"/>
      <c r="AJ611" s="85"/>
      <c r="AK611" s="85"/>
      <c r="AL611" s="85"/>
      <c r="AM611" s="85"/>
      <c r="AN611" s="85"/>
      <c r="AO611" s="85"/>
      <c r="AP611" s="85"/>
      <c r="AQ611" s="85"/>
      <c r="AR611" s="85"/>
      <c r="AS611" s="85"/>
      <c r="AT611" s="85"/>
      <c r="AU611" s="85"/>
      <c r="AV611" s="85"/>
      <c r="AW611" s="85"/>
      <c r="AX611" s="85"/>
      <c r="AY611" s="85"/>
      <c r="AZ611" s="85"/>
      <c r="BA611" s="85"/>
      <c r="BB611" s="85"/>
      <c r="BC611" s="85"/>
    </row>
    <row r="612" spans="1:55" ht="15.75" customHeight="1">
      <c r="A612" s="104"/>
      <c r="B612" s="85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  <c r="AA612" s="85"/>
      <c r="AB612" s="85"/>
      <c r="AC612" s="85"/>
      <c r="AD612" s="85"/>
      <c r="AE612" s="85"/>
      <c r="AF612" s="85"/>
      <c r="AG612" s="85"/>
      <c r="AH612" s="85"/>
      <c r="AI612" s="85"/>
      <c r="AJ612" s="85"/>
      <c r="AK612" s="85"/>
      <c r="AL612" s="85"/>
      <c r="AM612" s="85"/>
      <c r="AN612" s="85"/>
      <c r="AO612" s="85"/>
      <c r="AP612" s="85"/>
      <c r="AQ612" s="85"/>
      <c r="AR612" s="85"/>
      <c r="AS612" s="85"/>
      <c r="AT612" s="85"/>
      <c r="AU612" s="85"/>
      <c r="AV612" s="85"/>
      <c r="AW612" s="85"/>
      <c r="AX612" s="85"/>
      <c r="AY612" s="85"/>
      <c r="AZ612" s="85"/>
      <c r="BA612" s="85"/>
      <c r="BB612" s="85"/>
      <c r="BC612" s="85"/>
    </row>
    <row r="613" spans="1:55" ht="15.75" customHeight="1">
      <c r="A613" s="104"/>
      <c r="B613" s="85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  <c r="AA613" s="85"/>
      <c r="AB613" s="85"/>
      <c r="AC613" s="85"/>
      <c r="AD613" s="85"/>
      <c r="AE613" s="85"/>
      <c r="AF613" s="85"/>
      <c r="AG613" s="85"/>
      <c r="AH613" s="85"/>
      <c r="AI613" s="85"/>
      <c r="AJ613" s="85"/>
      <c r="AK613" s="85"/>
      <c r="AL613" s="85"/>
      <c r="AM613" s="85"/>
      <c r="AN613" s="85"/>
      <c r="AO613" s="85"/>
      <c r="AP613" s="85"/>
      <c r="AQ613" s="85"/>
      <c r="AR613" s="85"/>
      <c r="AS613" s="85"/>
      <c r="AT613" s="85"/>
      <c r="AU613" s="85"/>
      <c r="AV613" s="85"/>
      <c r="AW613" s="85"/>
      <c r="AX613" s="85"/>
      <c r="AY613" s="85"/>
      <c r="AZ613" s="85"/>
      <c r="BA613" s="85"/>
      <c r="BB613" s="85"/>
      <c r="BC613" s="85"/>
    </row>
    <row r="614" spans="1:55" ht="15.75" customHeight="1">
      <c r="A614" s="104"/>
      <c r="B614" s="85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  <c r="AA614" s="85"/>
      <c r="AB614" s="85"/>
      <c r="AC614" s="85"/>
      <c r="AD614" s="85"/>
      <c r="AE614" s="85"/>
      <c r="AF614" s="85"/>
      <c r="AG614" s="85"/>
      <c r="AH614" s="85"/>
      <c r="AI614" s="85"/>
      <c r="AJ614" s="85"/>
      <c r="AK614" s="85"/>
      <c r="AL614" s="85"/>
      <c r="AM614" s="85"/>
      <c r="AN614" s="85"/>
      <c r="AO614" s="85"/>
      <c r="AP614" s="85"/>
      <c r="AQ614" s="85"/>
      <c r="AR614" s="85"/>
      <c r="AS614" s="85"/>
      <c r="AT614" s="85"/>
      <c r="AU614" s="85"/>
      <c r="AV614" s="85"/>
      <c r="AW614" s="85"/>
      <c r="AX614" s="85"/>
      <c r="AY614" s="85"/>
      <c r="AZ614" s="85"/>
      <c r="BA614" s="85"/>
      <c r="BB614" s="85"/>
      <c r="BC614" s="85"/>
    </row>
    <row r="615" spans="1:55" ht="15.75" customHeight="1">
      <c r="A615" s="104"/>
      <c r="B615" s="85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  <c r="AA615" s="85"/>
      <c r="AB615" s="85"/>
      <c r="AC615" s="85"/>
      <c r="AD615" s="85"/>
      <c r="AE615" s="85"/>
      <c r="AF615" s="85"/>
      <c r="AG615" s="85"/>
      <c r="AH615" s="85"/>
      <c r="AI615" s="85"/>
      <c r="AJ615" s="85"/>
      <c r="AK615" s="85"/>
      <c r="AL615" s="85"/>
      <c r="AM615" s="85"/>
      <c r="AN615" s="85"/>
      <c r="AO615" s="85"/>
      <c r="AP615" s="85"/>
      <c r="AQ615" s="85"/>
      <c r="AR615" s="85"/>
      <c r="AS615" s="85"/>
      <c r="AT615" s="85"/>
      <c r="AU615" s="85"/>
      <c r="AV615" s="85"/>
      <c r="AW615" s="85"/>
      <c r="AX615" s="85"/>
      <c r="AY615" s="85"/>
      <c r="AZ615" s="85"/>
      <c r="BA615" s="85"/>
      <c r="BB615" s="85"/>
      <c r="BC615" s="85"/>
    </row>
    <row r="616" spans="1:55" ht="15.75" customHeight="1">
      <c r="A616" s="104"/>
      <c r="B616" s="85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  <c r="AA616" s="85"/>
      <c r="AB616" s="85"/>
      <c r="AC616" s="85"/>
      <c r="AD616" s="85"/>
      <c r="AE616" s="85"/>
      <c r="AF616" s="85"/>
      <c r="AG616" s="85"/>
      <c r="AH616" s="85"/>
      <c r="AI616" s="85"/>
      <c r="AJ616" s="85"/>
      <c r="AK616" s="85"/>
      <c r="AL616" s="85"/>
      <c r="AM616" s="85"/>
      <c r="AN616" s="85"/>
      <c r="AO616" s="85"/>
      <c r="AP616" s="85"/>
      <c r="AQ616" s="85"/>
      <c r="AR616" s="85"/>
      <c r="AS616" s="85"/>
      <c r="AT616" s="85"/>
      <c r="AU616" s="85"/>
      <c r="AV616" s="85"/>
      <c r="AW616" s="85"/>
      <c r="AX616" s="85"/>
      <c r="AY616" s="85"/>
      <c r="AZ616" s="85"/>
      <c r="BA616" s="85"/>
      <c r="BB616" s="85"/>
      <c r="BC616" s="85"/>
    </row>
    <row r="617" spans="1:55" ht="15.75" customHeight="1">
      <c r="A617" s="104"/>
      <c r="B617" s="85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  <c r="AA617" s="85"/>
      <c r="AB617" s="85"/>
      <c r="AC617" s="85"/>
      <c r="AD617" s="85"/>
      <c r="AE617" s="85"/>
      <c r="AF617" s="85"/>
      <c r="AG617" s="85"/>
      <c r="AH617" s="85"/>
      <c r="AI617" s="85"/>
      <c r="AJ617" s="85"/>
      <c r="AK617" s="85"/>
      <c r="AL617" s="85"/>
      <c r="AM617" s="85"/>
      <c r="AN617" s="85"/>
      <c r="AO617" s="85"/>
      <c r="AP617" s="85"/>
      <c r="AQ617" s="85"/>
      <c r="AR617" s="85"/>
      <c r="AS617" s="85"/>
      <c r="AT617" s="85"/>
      <c r="AU617" s="85"/>
      <c r="AV617" s="85"/>
      <c r="AW617" s="85"/>
      <c r="AX617" s="85"/>
      <c r="AY617" s="85"/>
      <c r="AZ617" s="85"/>
      <c r="BA617" s="85"/>
      <c r="BB617" s="85"/>
      <c r="BC617" s="85"/>
    </row>
    <row r="618" spans="1:55" ht="15.75" customHeight="1">
      <c r="A618" s="104"/>
      <c r="B618" s="85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  <c r="AA618" s="85"/>
      <c r="AB618" s="85"/>
      <c r="AC618" s="85"/>
      <c r="AD618" s="85"/>
      <c r="AE618" s="85"/>
      <c r="AF618" s="85"/>
      <c r="AG618" s="85"/>
      <c r="AH618" s="85"/>
      <c r="AI618" s="85"/>
      <c r="AJ618" s="85"/>
      <c r="AK618" s="85"/>
      <c r="AL618" s="85"/>
      <c r="AM618" s="85"/>
      <c r="AN618" s="85"/>
      <c r="AO618" s="85"/>
      <c r="AP618" s="85"/>
      <c r="AQ618" s="85"/>
      <c r="AR618" s="85"/>
      <c r="AS618" s="85"/>
      <c r="AT618" s="85"/>
      <c r="AU618" s="85"/>
      <c r="AV618" s="85"/>
      <c r="AW618" s="85"/>
      <c r="AX618" s="85"/>
      <c r="AY618" s="85"/>
      <c r="AZ618" s="85"/>
      <c r="BA618" s="85"/>
      <c r="BB618" s="85"/>
      <c r="BC618" s="85"/>
    </row>
    <row r="619" spans="1:55" ht="15.75" customHeight="1">
      <c r="A619" s="104"/>
      <c r="B619" s="85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  <c r="AA619" s="85"/>
      <c r="AB619" s="85"/>
      <c r="AC619" s="85"/>
      <c r="AD619" s="85"/>
      <c r="AE619" s="85"/>
      <c r="AF619" s="85"/>
      <c r="AG619" s="85"/>
      <c r="AH619" s="85"/>
      <c r="AI619" s="85"/>
      <c r="AJ619" s="85"/>
      <c r="AK619" s="85"/>
      <c r="AL619" s="85"/>
      <c r="AM619" s="85"/>
      <c r="AN619" s="85"/>
      <c r="AO619" s="85"/>
      <c r="AP619" s="85"/>
      <c r="AQ619" s="85"/>
      <c r="AR619" s="85"/>
      <c r="AS619" s="85"/>
      <c r="AT619" s="85"/>
      <c r="AU619" s="85"/>
      <c r="AV619" s="85"/>
      <c r="AW619" s="85"/>
      <c r="AX619" s="85"/>
      <c r="AY619" s="85"/>
      <c r="AZ619" s="85"/>
      <c r="BA619" s="85"/>
      <c r="BB619" s="85"/>
      <c r="BC619" s="85"/>
    </row>
    <row r="620" spans="1:55" ht="15.75" customHeight="1">
      <c r="A620" s="104"/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  <c r="AA620" s="85"/>
      <c r="AB620" s="85"/>
      <c r="AC620" s="85"/>
      <c r="AD620" s="85"/>
      <c r="AE620" s="85"/>
      <c r="AF620" s="85"/>
      <c r="AG620" s="85"/>
      <c r="AH620" s="85"/>
      <c r="AI620" s="85"/>
      <c r="AJ620" s="85"/>
      <c r="AK620" s="85"/>
      <c r="AL620" s="85"/>
      <c r="AM620" s="85"/>
      <c r="AN620" s="85"/>
      <c r="AO620" s="85"/>
      <c r="AP620" s="85"/>
      <c r="AQ620" s="85"/>
      <c r="AR620" s="85"/>
      <c r="AS620" s="85"/>
      <c r="AT620" s="85"/>
      <c r="AU620" s="85"/>
      <c r="AV620" s="85"/>
      <c r="AW620" s="85"/>
      <c r="AX620" s="85"/>
      <c r="AY620" s="85"/>
      <c r="AZ620" s="85"/>
      <c r="BA620" s="85"/>
      <c r="BB620" s="85"/>
      <c r="BC620" s="85"/>
    </row>
    <row r="621" spans="1:55" ht="15.75" customHeight="1">
      <c r="A621" s="104"/>
      <c r="B621" s="85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  <c r="AA621" s="85"/>
      <c r="AB621" s="85"/>
      <c r="AC621" s="85"/>
      <c r="AD621" s="85"/>
      <c r="AE621" s="85"/>
      <c r="AF621" s="85"/>
      <c r="AG621" s="85"/>
      <c r="AH621" s="85"/>
      <c r="AI621" s="85"/>
      <c r="AJ621" s="85"/>
      <c r="AK621" s="85"/>
      <c r="AL621" s="85"/>
      <c r="AM621" s="85"/>
      <c r="AN621" s="85"/>
      <c r="AO621" s="85"/>
      <c r="AP621" s="85"/>
      <c r="AQ621" s="85"/>
      <c r="AR621" s="85"/>
      <c r="AS621" s="85"/>
      <c r="AT621" s="85"/>
      <c r="AU621" s="85"/>
      <c r="AV621" s="85"/>
      <c r="AW621" s="85"/>
      <c r="AX621" s="85"/>
      <c r="AY621" s="85"/>
      <c r="AZ621" s="85"/>
      <c r="BA621" s="85"/>
      <c r="BB621" s="85"/>
      <c r="BC621" s="85"/>
    </row>
    <row r="622" spans="1:55" ht="15.75" customHeight="1">
      <c r="A622" s="104"/>
      <c r="B622" s="85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  <c r="AA622" s="85"/>
      <c r="AB622" s="85"/>
      <c r="AC622" s="85"/>
      <c r="AD622" s="85"/>
      <c r="AE622" s="85"/>
      <c r="AF622" s="85"/>
      <c r="AG622" s="85"/>
      <c r="AH622" s="85"/>
      <c r="AI622" s="85"/>
      <c r="AJ622" s="85"/>
      <c r="AK622" s="85"/>
      <c r="AL622" s="85"/>
      <c r="AM622" s="85"/>
      <c r="AN622" s="85"/>
      <c r="AO622" s="85"/>
      <c r="AP622" s="85"/>
      <c r="AQ622" s="85"/>
      <c r="AR622" s="85"/>
      <c r="AS622" s="85"/>
      <c r="AT622" s="85"/>
      <c r="AU622" s="85"/>
      <c r="AV622" s="85"/>
      <c r="AW622" s="85"/>
      <c r="AX622" s="85"/>
      <c r="AY622" s="85"/>
      <c r="AZ622" s="85"/>
      <c r="BA622" s="85"/>
      <c r="BB622" s="85"/>
      <c r="BC622" s="85"/>
    </row>
    <row r="623" spans="1:55" ht="15.75" customHeight="1">
      <c r="A623" s="104"/>
      <c r="B623" s="85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  <c r="AA623" s="85"/>
      <c r="AB623" s="85"/>
      <c r="AC623" s="85"/>
      <c r="AD623" s="85"/>
      <c r="AE623" s="85"/>
      <c r="AF623" s="85"/>
      <c r="AG623" s="85"/>
      <c r="AH623" s="85"/>
      <c r="AI623" s="85"/>
      <c r="AJ623" s="85"/>
      <c r="AK623" s="85"/>
      <c r="AL623" s="85"/>
      <c r="AM623" s="85"/>
      <c r="AN623" s="85"/>
      <c r="AO623" s="85"/>
      <c r="AP623" s="85"/>
      <c r="AQ623" s="85"/>
      <c r="AR623" s="85"/>
      <c r="AS623" s="85"/>
      <c r="AT623" s="85"/>
      <c r="AU623" s="85"/>
      <c r="AV623" s="85"/>
      <c r="AW623" s="85"/>
      <c r="AX623" s="85"/>
      <c r="AY623" s="85"/>
      <c r="AZ623" s="85"/>
      <c r="BA623" s="85"/>
      <c r="BB623" s="85"/>
      <c r="BC623" s="85"/>
    </row>
    <row r="624" spans="1:55" ht="15.75" customHeight="1">
      <c r="A624" s="104"/>
      <c r="B624" s="85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  <c r="AA624" s="85"/>
      <c r="AB624" s="85"/>
      <c r="AC624" s="85"/>
      <c r="AD624" s="85"/>
      <c r="AE624" s="85"/>
      <c r="AF624" s="85"/>
      <c r="AG624" s="85"/>
      <c r="AH624" s="85"/>
      <c r="AI624" s="85"/>
      <c r="AJ624" s="85"/>
      <c r="AK624" s="85"/>
      <c r="AL624" s="85"/>
      <c r="AM624" s="85"/>
      <c r="AN624" s="85"/>
      <c r="AO624" s="85"/>
      <c r="AP624" s="85"/>
      <c r="AQ624" s="85"/>
      <c r="AR624" s="85"/>
      <c r="AS624" s="85"/>
      <c r="AT624" s="85"/>
      <c r="AU624" s="85"/>
      <c r="AV624" s="85"/>
      <c r="AW624" s="85"/>
      <c r="AX624" s="85"/>
      <c r="AY624" s="85"/>
      <c r="AZ624" s="85"/>
      <c r="BA624" s="85"/>
      <c r="BB624" s="85"/>
      <c r="BC624" s="85"/>
    </row>
    <row r="625" spans="1:55" ht="15.75" customHeight="1">
      <c r="A625" s="104"/>
      <c r="B625" s="85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  <c r="AA625" s="85"/>
      <c r="AB625" s="85"/>
      <c r="AC625" s="85"/>
      <c r="AD625" s="85"/>
      <c r="AE625" s="85"/>
      <c r="AF625" s="85"/>
      <c r="AG625" s="85"/>
      <c r="AH625" s="85"/>
      <c r="AI625" s="85"/>
      <c r="AJ625" s="85"/>
      <c r="AK625" s="85"/>
      <c r="AL625" s="85"/>
      <c r="AM625" s="85"/>
      <c r="AN625" s="85"/>
      <c r="AO625" s="85"/>
      <c r="AP625" s="85"/>
      <c r="AQ625" s="85"/>
      <c r="AR625" s="85"/>
      <c r="AS625" s="85"/>
      <c r="AT625" s="85"/>
      <c r="AU625" s="85"/>
      <c r="AV625" s="85"/>
      <c r="AW625" s="85"/>
      <c r="AX625" s="85"/>
      <c r="AY625" s="85"/>
      <c r="AZ625" s="85"/>
      <c r="BA625" s="85"/>
      <c r="BB625" s="85"/>
      <c r="BC625" s="85"/>
    </row>
    <row r="626" spans="1:55" ht="15.75" customHeight="1">
      <c r="A626" s="104"/>
      <c r="B626" s="85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  <c r="AA626" s="85"/>
      <c r="AB626" s="85"/>
      <c r="AC626" s="85"/>
      <c r="AD626" s="85"/>
      <c r="AE626" s="85"/>
      <c r="AF626" s="85"/>
      <c r="AG626" s="85"/>
      <c r="AH626" s="85"/>
      <c r="AI626" s="85"/>
      <c r="AJ626" s="85"/>
      <c r="AK626" s="85"/>
      <c r="AL626" s="85"/>
      <c r="AM626" s="85"/>
      <c r="AN626" s="85"/>
      <c r="AO626" s="85"/>
      <c r="AP626" s="85"/>
      <c r="AQ626" s="85"/>
      <c r="AR626" s="85"/>
      <c r="AS626" s="85"/>
      <c r="AT626" s="85"/>
      <c r="AU626" s="85"/>
      <c r="AV626" s="85"/>
      <c r="AW626" s="85"/>
      <c r="AX626" s="85"/>
      <c r="AY626" s="85"/>
      <c r="AZ626" s="85"/>
      <c r="BA626" s="85"/>
      <c r="BB626" s="85"/>
      <c r="BC626" s="85"/>
    </row>
    <row r="627" spans="1:55" ht="15.75" customHeight="1">
      <c r="A627" s="104"/>
      <c r="B627" s="85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  <c r="AA627" s="85"/>
      <c r="AB627" s="85"/>
      <c r="AC627" s="85"/>
      <c r="AD627" s="85"/>
      <c r="AE627" s="85"/>
      <c r="AF627" s="85"/>
      <c r="AG627" s="85"/>
      <c r="AH627" s="85"/>
      <c r="AI627" s="85"/>
      <c r="AJ627" s="85"/>
      <c r="AK627" s="85"/>
      <c r="AL627" s="85"/>
      <c r="AM627" s="85"/>
      <c r="AN627" s="85"/>
      <c r="AO627" s="85"/>
      <c r="AP627" s="85"/>
      <c r="AQ627" s="85"/>
      <c r="AR627" s="85"/>
      <c r="AS627" s="85"/>
      <c r="AT627" s="85"/>
      <c r="AU627" s="85"/>
      <c r="AV627" s="85"/>
      <c r="AW627" s="85"/>
      <c r="AX627" s="85"/>
      <c r="AY627" s="85"/>
      <c r="AZ627" s="85"/>
      <c r="BA627" s="85"/>
      <c r="BB627" s="85"/>
      <c r="BC627" s="85"/>
    </row>
    <row r="628" spans="1:55" ht="15.75" customHeight="1">
      <c r="A628" s="104"/>
      <c r="B628" s="85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  <c r="AA628" s="85"/>
      <c r="AB628" s="85"/>
      <c r="AC628" s="85"/>
      <c r="AD628" s="85"/>
      <c r="AE628" s="85"/>
      <c r="AF628" s="85"/>
      <c r="AG628" s="85"/>
      <c r="AH628" s="85"/>
      <c r="AI628" s="85"/>
      <c r="AJ628" s="85"/>
      <c r="AK628" s="85"/>
      <c r="AL628" s="85"/>
      <c r="AM628" s="85"/>
      <c r="AN628" s="85"/>
      <c r="AO628" s="85"/>
      <c r="AP628" s="85"/>
      <c r="AQ628" s="85"/>
      <c r="AR628" s="85"/>
      <c r="AS628" s="85"/>
      <c r="AT628" s="85"/>
      <c r="AU628" s="85"/>
      <c r="AV628" s="85"/>
      <c r="AW628" s="85"/>
      <c r="AX628" s="85"/>
      <c r="AY628" s="85"/>
      <c r="AZ628" s="85"/>
      <c r="BA628" s="85"/>
      <c r="BB628" s="85"/>
      <c r="BC628" s="85"/>
    </row>
    <row r="629" spans="1:55" ht="15.75" customHeight="1">
      <c r="A629" s="104"/>
      <c r="B629" s="85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  <c r="AA629" s="85"/>
      <c r="AB629" s="85"/>
      <c r="AC629" s="85"/>
      <c r="AD629" s="85"/>
      <c r="AE629" s="85"/>
      <c r="AF629" s="85"/>
      <c r="AG629" s="85"/>
      <c r="AH629" s="85"/>
      <c r="AI629" s="85"/>
      <c r="AJ629" s="85"/>
      <c r="AK629" s="85"/>
      <c r="AL629" s="85"/>
      <c r="AM629" s="85"/>
      <c r="AN629" s="85"/>
      <c r="AO629" s="85"/>
      <c r="AP629" s="85"/>
      <c r="AQ629" s="85"/>
      <c r="AR629" s="85"/>
      <c r="AS629" s="85"/>
      <c r="AT629" s="85"/>
      <c r="AU629" s="85"/>
      <c r="AV629" s="85"/>
      <c r="AW629" s="85"/>
      <c r="AX629" s="85"/>
      <c r="AY629" s="85"/>
      <c r="AZ629" s="85"/>
      <c r="BA629" s="85"/>
      <c r="BB629" s="85"/>
      <c r="BC629" s="85"/>
    </row>
    <row r="630" spans="1:55" ht="15.75" customHeight="1">
      <c r="A630" s="104"/>
      <c r="B630" s="85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  <c r="AA630" s="85"/>
      <c r="AB630" s="85"/>
      <c r="AC630" s="85"/>
      <c r="AD630" s="85"/>
      <c r="AE630" s="85"/>
      <c r="AF630" s="85"/>
      <c r="AG630" s="85"/>
      <c r="AH630" s="85"/>
      <c r="AI630" s="85"/>
      <c r="AJ630" s="85"/>
      <c r="AK630" s="85"/>
      <c r="AL630" s="85"/>
      <c r="AM630" s="85"/>
      <c r="AN630" s="85"/>
      <c r="AO630" s="85"/>
      <c r="AP630" s="85"/>
      <c r="AQ630" s="85"/>
      <c r="AR630" s="85"/>
      <c r="AS630" s="85"/>
      <c r="AT630" s="85"/>
      <c r="AU630" s="85"/>
      <c r="AV630" s="85"/>
      <c r="AW630" s="85"/>
      <c r="AX630" s="85"/>
      <c r="AY630" s="85"/>
      <c r="AZ630" s="85"/>
      <c r="BA630" s="85"/>
      <c r="BB630" s="85"/>
      <c r="BC630" s="85"/>
    </row>
    <row r="631" spans="1:55" ht="15.75" customHeight="1">
      <c r="A631" s="104"/>
      <c r="B631" s="85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  <c r="AA631" s="85"/>
      <c r="AB631" s="85"/>
      <c r="AC631" s="85"/>
      <c r="AD631" s="85"/>
      <c r="AE631" s="85"/>
      <c r="AF631" s="85"/>
      <c r="AG631" s="85"/>
      <c r="AH631" s="85"/>
      <c r="AI631" s="85"/>
      <c r="AJ631" s="85"/>
      <c r="AK631" s="85"/>
      <c r="AL631" s="85"/>
      <c r="AM631" s="85"/>
      <c r="AN631" s="85"/>
      <c r="AO631" s="85"/>
      <c r="AP631" s="85"/>
      <c r="AQ631" s="85"/>
      <c r="AR631" s="85"/>
      <c r="AS631" s="85"/>
      <c r="AT631" s="85"/>
      <c r="AU631" s="85"/>
      <c r="AV631" s="85"/>
      <c r="AW631" s="85"/>
      <c r="AX631" s="85"/>
      <c r="AY631" s="85"/>
      <c r="AZ631" s="85"/>
      <c r="BA631" s="85"/>
      <c r="BB631" s="85"/>
      <c r="BC631" s="85"/>
    </row>
    <row r="632" spans="1:55" ht="15.75" customHeight="1">
      <c r="A632" s="104"/>
      <c r="B632" s="85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  <c r="AA632" s="85"/>
      <c r="AB632" s="85"/>
      <c r="AC632" s="85"/>
      <c r="AD632" s="85"/>
      <c r="AE632" s="85"/>
      <c r="AF632" s="85"/>
      <c r="AG632" s="85"/>
      <c r="AH632" s="85"/>
      <c r="AI632" s="85"/>
      <c r="AJ632" s="85"/>
      <c r="AK632" s="85"/>
      <c r="AL632" s="85"/>
      <c r="AM632" s="85"/>
      <c r="AN632" s="85"/>
      <c r="AO632" s="85"/>
      <c r="AP632" s="85"/>
      <c r="AQ632" s="85"/>
      <c r="AR632" s="85"/>
      <c r="AS632" s="85"/>
      <c r="AT632" s="85"/>
      <c r="AU632" s="85"/>
      <c r="AV632" s="85"/>
      <c r="AW632" s="85"/>
      <c r="AX632" s="85"/>
      <c r="AY632" s="85"/>
      <c r="AZ632" s="85"/>
      <c r="BA632" s="85"/>
      <c r="BB632" s="85"/>
      <c r="BC632" s="85"/>
    </row>
    <row r="633" spans="1:55" ht="15.75" customHeight="1">
      <c r="A633" s="104"/>
      <c r="B633" s="85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  <c r="AA633" s="85"/>
      <c r="AB633" s="85"/>
      <c r="AC633" s="85"/>
      <c r="AD633" s="85"/>
      <c r="AE633" s="85"/>
      <c r="AF633" s="85"/>
      <c r="AG633" s="85"/>
      <c r="AH633" s="85"/>
      <c r="AI633" s="85"/>
      <c r="AJ633" s="85"/>
      <c r="AK633" s="85"/>
      <c r="AL633" s="85"/>
      <c r="AM633" s="85"/>
      <c r="AN633" s="85"/>
      <c r="AO633" s="85"/>
      <c r="AP633" s="85"/>
      <c r="AQ633" s="85"/>
      <c r="AR633" s="85"/>
      <c r="AS633" s="85"/>
      <c r="AT633" s="85"/>
      <c r="AU633" s="85"/>
      <c r="AV633" s="85"/>
      <c r="AW633" s="85"/>
      <c r="AX633" s="85"/>
      <c r="AY633" s="85"/>
      <c r="AZ633" s="85"/>
      <c r="BA633" s="85"/>
      <c r="BB633" s="85"/>
      <c r="BC633" s="85"/>
    </row>
    <row r="634" spans="1:55" ht="15.75" customHeight="1">
      <c r="A634" s="104"/>
      <c r="B634" s="85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  <c r="AA634" s="85"/>
      <c r="AB634" s="85"/>
      <c r="AC634" s="85"/>
      <c r="AD634" s="85"/>
      <c r="AE634" s="85"/>
      <c r="AF634" s="85"/>
      <c r="AG634" s="85"/>
      <c r="AH634" s="85"/>
      <c r="AI634" s="85"/>
      <c r="AJ634" s="85"/>
      <c r="AK634" s="85"/>
      <c r="AL634" s="85"/>
      <c r="AM634" s="85"/>
      <c r="AN634" s="85"/>
      <c r="AO634" s="85"/>
      <c r="AP634" s="85"/>
      <c r="AQ634" s="85"/>
      <c r="AR634" s="85"/>
      <c r="AS634" s="85"/>
      <c r="AT634" s="85"/>
      <c r="AU634" s="85"/>
      <c r="AV634" s="85"/>
      <c r="AW634" s="85"/>
      <c r="AX634" s="85"/>
      <c r="AY634" s="85"/>
      <c r="AZ634" s="85"/>
      <c r="BA634" s="85"/>
      <c r="BB634" s="85"/>
      <c r="BC634" s="85"/>
    </row>
    <row r="635" spans="1:55" ht="15.75" customHeight="1">
      <c r="A635" s="104"/>
      <c r="B635" s="85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  <c r="AA635" s="85"/>
      <c r="AB635" s="85"/>
      <c r="AC635" s="85"/>
      <c r="AD635" s="85"/>
      <c r="AE635" s="85"/>
      <c r="AF635" s="85"/>
      <c r="AG635" s="85"/>
      <c r="AH635" s="85"/>
      <c r="AI635" s="85"/>
      <c r="AJ635" s="85"/>
      <c r="AK635" s="85"/>
      <c r="AL635" s="85"/>
      <c r="AM635" s="85"/>
      <c r="AN635" s="85"/>
      <c r="AO635" s="85"/>
      <c r="AP635" s="85"/>
      <c r="AQ635" s="85"/>
      <c r="AR635" s="85"/>
      <c r="AS635" s="85"/>
      <c r="AT635" s="85"/>
      <c r="AU635" s="85"/>
      <c r="AV635" s="85"/>
      <c r="AW635" s="85"/>
      <c r="AX635" s="85"/>
      <c r="AY635" s="85"/>
      <c r="AZ635" s="85"/>
      <c r="BA635" s="85"/>
      <c r="BB635" s="85"/>
      <c r="BC635" s="85"/>
    </row>
    <row r="636" spans="1:55" ht="15.75" customHeight="1">
      <c r="A636" s="104"/>
      <c r="B636" s="85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  <c r="AA636" s="85"/>
      <c r="AB636" s="85"/>
      <c r="AC636" s="85"/>
      <c r="AD636" s="85"/>
      <c r="AE636" s="85"/>
      <c r="AF636" s="85"/>
      <c r="AG636" s="85"/>
      <c r="AH636" s="85"/>
      <c r="AI636" s="85"/>
      <c r="AJ636" s="85"/>
      <c r="AK636" s="85"/>
      <c r="AL636" s="85"/>
      <c r="AM636" s="85"/>
      <c r="AN636" s="85"/>
      <c r="AO636" s="85"/>
      <c r="AP636" s="85"/>
      <c r="AQ636" s="85"/>
      <c r="AR636" s="85"/>
      <c r="AS636" s="85"/>
      <c r="AT636" s="85"/>
      <c r="AU636" s="85"/>
      <c r="AV636" s="85"/>
      <c r="AW636" s="85"/>
      <c r="AX636" s="85"/>
      <c r="AY636" s="85"/>
      <c r="AZ636" s="85"/>
      <c r="BA636" s="85"/>
      <c r="BB636" s="85"/>
      <c r="BC636" s="85"/>
    </row>
    <row r="637" spans="1:55" ht="15.75" customHeight="1">
      <c r="A637" s="104"/>
      <c r="B637" s="85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  <c r="AA637" s="85"/>
      <c r="AB637" s="85"/>
      <c r="AC637" s="85"/>
      <c r="AD637" s="85"/>
      <c r="AE637" s="85"/>
      <c r="AF637" s="85"/>
      <c r="AG637" s="85"/>
      <c r="AH637" s="85"/>
      <c r="AI637" s="85"/>
      <c r="AJ637" s="85"/>
      <c r="AK637" s="85"/>
      <c r="AL637" s="85"/>
      <c r="AM637" s="85"/>
      <c r="AN637" s="85"/>
      <c r="AO637" s="85"/>
      <c r="AP637" s="85"/>
      <c r="AQ637" s="85"/>
      <c r="AR637" s="85"/>
      <c r="AS637" s="85"/>
      <c r="AT637" s="85"/>
      <c r="AU637" s="85"/>
      <c r="AV637" s="85"/>
      <c r="AW637" s="85"/>
      <c r="AX637" s="85"/>
      <c r="AY637" s="85"/>
      <c r="AZ637" s="85"/>
      <c r="BA637" s="85"/>
      <c r="BB637" s="85"/>
      <c r="BC637" s="85"/>
    </row>
    <row r="638" spans="1:55" ht="15.75" customHeight="1">
      <c r="A638" s="104"/>
      <c r="B638" s="85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  <c r="AA638" s="85"/>
      <c r="AB638" s="85"/>
      <c r="AC638" s="85"/>
      <c r="AD638" s="85"/>
      <c r="AE638" s="85"/>
      <c r="AF638" s="85"/>
      <c r="AG638" s="85"/>
      <c r="AH638" s="85"/>
      <c r="AI638" s="85"/>
      <c r="AJ638" s="85"/>
      <c r="AK638" s="85"/>
      <c r="AL638" s="85"/>
      <c r="AM638" s="85"/>
      <c r="AN638" s="85"/>
      <c r="AO638" s="85"/>
      <c r="AP638" s="85"/>
      <c r="AQ638" s="85"/>
      <c r="AR638" s="85"/>
      <c r="AS638" s="85"/>
      <c r="AT638" s="85"/>
      <c r="AU638" s="85"/>
      <c r="AV638" s="85"/>
      <c r="AW638" s="85"/>
      <c r="AX638" s="85"/>
      <c r="AY638" s="85"/>
      <c r="AZ638" s="85"/>
      <c r="BA638" s="85"/>
      <c r="BB638" s="85"/>
      <c r="BC638" s="85"/>
    </row>
    <row r="639" spans="1:55" ht="15.75" customHeight="1">
      <c r="A639" s="104"/>
      <c r="B639" s="85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  <c r="AA639" s="85"/>
      <c r="AB639" s="85"/>
      <c r="AC639" s="85"/>
      <c r="AD639" s="85"/>
      <c r="AE639" s="85"/>
      <c r="AF639" s="85"/>
      <c r="AG639" s="85"/>
      <c r="AH639" s="85"/>
      <c r="AI639" s="85"/>
      <c r="AJ639" s="85"/>
      <c r="AK639" s="85"/>
      <c r="AL639" s="85"/>
      <c r="AM639" s="85"/>
      <c r="AN639" s="85"/>
      <c r="AO639" s="85"/>
      <c r="AP639" s="85"/>
      <c r="AQ639" s="85"/>
      <c r="AR639" s="85"/>
      <c r="AS639" s="85"/>
      <c r="AT639" s="85"/>
      <c r="AU639" s="85"/>
      <c r="AV639" s="85"/>
      <c r="AW639" s="85"/>
      <c r="AX639" s="85"/>
      <c r="AY639" s="85"/>
      <c r="AZ639" s="85"/>
      <c r="BA639" s="85"/>
      <c r="BB639" s="85"/>
      <c r="BC639" s="85"/>
    </row>
    <row r="640" spans="1:55" ht="15.75" customHeight="1">
      <c r="A640" s="104"/>
      <c r="B640" s="85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  <c r="AA640" s="85"/>
      <c r="AB640" s="85"/>
      <c r="AC640" s="85"/>
      <c r="AD640" s="85"/>
      <c r="AE640" s="85"/>
      <c r="AF640" s="85"/>
      <c r="AG640" s="85"/>
      <c r="AH640" s="85"/>
      <c r="AI640" s="85"/>
      <c r="AJ640" s="85"/>
      <c r="AK640" s="85"/>
      <c r="AL640" s="85"/>
      <c r="AM640" s="85"/>
      <c r="AN640" s="85"/>
      <c r="AO640" s="85"/>
      <c r="AP640" s="85"/>
      <c r="AQ640" s="85"/>
      <c r="AR640" s="85"/>
      <c r="AS640" s="85"/>
      <c r="AT640" s="85"/>
      <c r="AU640" s="85"/>
      <c r="AV640" s="85"/>
      <c r="AW640" s="85"/>
      <c r="AX640" s="85"/>
      <c r="AY640" s="85"/>
      <c r="AZ640" s="85"/>
      <c r="BA640" s="85"/>
      <c r="BB640" s="85"/>
      <c r="BC640" s="85"/>
    </row>
    <row r="641" spans="1:55" ht="15.75" customHeight="1">
      <c r="A641" s="104"/>
      <c r="B641" s="85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  <c r="AA641" s="85"/>
      <c r="AB641" s="85"/>
      <c r="AC641" s="85"/>
      <c r="AD641" s="85"/>
      <c r="AE641" s="85"/>
      <c r="AF641" s="85"/>
      <c r="AG641" s="85"/>
      <c r="AH641" s="85"/>
      <c r="AI641" s="85"/>
      <c r="AJ641" s="85"/>
      <c r="AK641" s="85"/>
      <c r="AL641" s="85"/>
      <c r="AM641" s="85"/>
      <c r="AN641" s="85"/>
      <c r="AO641" s="85"/>
      <c r="AP641" s="85"/>
      <c r="AQ641" s="85"/>
      <c r="AR641" s="85"/>
      <c r="AS641" s="85"/>
      <c r="AT641" s="85"/>
      <c r="AU641" s="85"/>
      <c r="AV641" s="85"/>
      <c r="AW641" s="85"/>
      <c r="AX641" s="85"/>
      <c r="AY641" s="85"/>
      <c r="AZ641" s="85"/>
      <c r="BA641" s="85"/>
      <c r="BB641" s="85"/>
      <c r="BC641" s="85"/>
    </row>
    <row r="642" spans="1:55" ht="15.75" customHeight="1">
      <c r="A642" s="104"/>
      <c r="B642" s="85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  <c r="AA642" s="85"/>
      <c r="AB642" s="85"/>
      <c r="AC642" s="85"/>
      <c r="AD642" s="85"/>
      <c r="AE642" s="85"/>
      <c r="AF642" s="85"/>
      <c r="AG642" s="85"/>
      <c r="AH642" s="85"/>
      <c r="AI642" s="85"/>
      <c r="AJ642" s="85"/>
      <c r="AK642" s="85"/>
      <c r="AL642" s="85"/>
      <c r="AM642" s="85"/>
      <c r="AN642" s="85"/>
      <c r="AO642" s="85"/>
      <c r="AP642" s="85"/>
      <c r="AQ642" s="85"/>
      <c r="AR642" s="85"/>
      <c r="AS642" s="85"/>
      <c r="AT642" s="85"/>
      <c r="AU642" s="85"/>
      <c r="AV642" s="85"/>
      <c r="AW642" s="85"/>
      <c r="AX642" s="85"/>
      <c r="AY642" s="85"/>
      <c r="AZ642" s="85"/>
      <c r="BA642" s="85"/>
      <c r="BB642" s="85"/>
      <c r="BC642" s="85"/>
    </row>
    <row r="643" spans="1:55" ht="15.75" customHeight="1">
      <c r="A643" s="104"/>
      <c r="B643" s="85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  <c r="AA643" s="85"/>
      <c r="AB643" s="85"/>
      <c r="AC643" s="85"/>
      <c r="AD643" s="85"/>
      <c r="AE643" s="85"/>
      <c r="AF643" s="85"/>
      <c r="AG643" s="85"/>
      <c r="AH643" s="85"/>
      <c r="AI643" s="85"/>
      <c r="AJ643" s="85"/>
      <c r="AK643" s="85"/>
      <c r="AL643" s="85"/>
      <c r="AM643" s="85"/>
      <c r="AN643" s="85"/>
      <c r="AO643" s="85"/>
      <c r="AP643" s="85"/>
      <c r="AQ643" s="85"/>
      <c r="AR643" s="85"/>
      <c r="AS643" s="85"/>
      <c r="AT643" s="85"/>
      <c r="AU643" s="85"/>
      <c r="AV643" s="85"/>
      <c r="AW643" s="85"/>
      <c r="AX643" s="85"/>
      <c r="AY643" s="85"/>
      <c r="AZ643" s="85"/>
      <c r="BA643" s="85"/>
      <c r="BB643" s="85"/>
      <c r="BC643" s="85"/>
    </row>
    <row r="644" spans="1:55" ht="15.75" customHeight="1">
      <c r="A644" s="104"/>
      <c r="B644" s="85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  <c r="AA644" s="85"/>
      <c r="AB644" s="85"/>
      <c r="AC644" s="85"/>
      <c r="AD644" s="85"/>
      <c r="AE644" s="85"/>
      <c r="AF644" s="85"/>
      <c r="AG644" s="85"/>
      <c r="AH644" s="85"/>
      <c r="AI644" s="85"/>
      <c r="AJ644" s="85"/>
      <c r="AK644" s="85"/>
      <c r="AL644" s="85"/>
      <c r="AM644" s="85"/>
      <c r="AN644" s="85"/>
      <c r="AO644" s="85"/>
      <c r="AP644" s="85"/>
      <c r="AQ644" s="85"/>
      <c r="AR644" s="85"/>
      <c r="AS644" s="85"/>
      <c r="AT644" s="85"/>
      <c r="AU644" s="85"/>
      <c r="AV644" s="85"/>
      <c r="AW644" s="85"/>
      <c r="AX644" s="85"/>
      <c r="AY644" s="85"/>
      <c r="AZ644" s="85"/>
      <c r="BA644" s="85"/>
      <c r="BB644" s="85"/>
      <c r="BC644" s="85"/>
    </row>
    <row r="645" spans="1:55" ht="15.75" customHeight="1">
      <c r="A645" s="104"/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  <c r="AA645" s="85"/>
      <c r="AB645" s="85"/>
      <c r="AC645" s="85"/>
      <c r="AD645" s="85"/>
      <c r="AE645" s="85"/>
      <c r="AF645" s="85"/>
      <c r="AG645" s="85"/>
      <c r="AH645" s="85"/>
      <c r="AI645" s="85"/>
      <c r="AJ645" s="85"/>
      <c r="AK645" s="85"/>
      <c r="AL645" s="85"/>
      <c r="AM645" s="85"/>
      <c r="AN645" s="85"/>
      <c r="AO645" s="85"/>
      <c r="AP645" s="85"/>
      <c r="AQ645" s="85"/>
      <c r="AR645" s="85"/>
      <c r="AS645" s="85"/>
      <c r="AT645" s="85"/>
      <c r="AU645" s="85"/>
      <c r="AV645" s="85"/>
      <c r="AW645" s="85"/>
      <c r="AX645" s="85"/>
      <c r="AY645" s="85"/>
      <c r="AZ645" s="85"/>
      <c r="BA645" s="85"/>
      <c r="BB645" s="85"/>
      <c r="BC645" s="85"/>
    </row>
    <row r="646" spans="1:55" ht="15.75" customHeight="1">
      <c r="A646" s="104"/>
      <c r="B646" s="85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  <c r="AA646" s="85"/>
      <c r="AB646" s="85"/>
      <c r="AC646" s="85"/>
      <c r="AD646" s="85"/>
      <c r="AE646" s="85"/>
      <c r="AF646" s="85"/>
      <c r="AG646" s="85"/>
      <c r="AH646" s="85"/>
      <c r="AI646" s="85"/>
      <c r="AJ646" s="85"/>
      <c r="AK646" s="85"/>
      <c r="AL646" s="85"/>
      <c r="AM646" s="85"/>
      <c r="AN646" s="85"/>
      <c r="AO646" s="85"/>
      <c r="AP646" s="85"/>
      <c r="AQ646" s="85"/>
      <c r="AR646" s="85"/>
      <c r="AS646" s="85"/>
      <c r="AT646" s="85"/>
      <c r="AU646" s="85"/>
      <c r="AV646" s="85"/>
      <c r="AW646" s="85"/>
      <c r="AX646" s="85"/>
      <c r="AY646" s="85"/>
      <c r="AZ646" s="85"/>
      <c r="BA646" s="85"/>
      <c r="BB646" s="85"/>
      <c r="BC646" s="85"/>
    </row>
    <row r="647" spans="1:55" ht="15.75" customHeight="1">
      <c r="A647" s="104"/>
      <c r="B647" s="85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  <c r="AA647" s="85"/>
      <c r="AB647" s="85"/>
      <c r="AC647" s="85"/>
      <c r="AD647" s="85"/>
      <c r="AE647" s="85"/>
      <c r="AF647" s="85"/>
      <c r="AG647" s="85"/>
      <c r="AH647" s="85"/>
      <c r="AI647" s="85"/>
      <c r="AJ647" s="85"/>
      <c r="AK647" s="85"/>
      <c r="AL647" s="85"/>
      <c r="AM647" s="85"/>
      <c r="AN647" s="85"/>
      <c r="AO647" s="85"/>
      <c r="AP647" s="85"/>
      <c r="AQ647" s="85"/>
      <c r="AR647" s="85"/>
      <c r="AS647" s="85"/>
      <c r="AT647" s="85"/>
      <c r="AU647" s="85"/>
      <c r="AV647" s="85"/>
      <c r="AW647" s="85"/>
      <c r="AX647" s="85"/>
      <c r="AY647" s="85"/>
      <c r="AZ647" s="85"/>
      <c r="BA647" s="85"/>
      <c r="BB647" s="85"/>
      <c r="BC647" s="85"/>
    </row>
    <row r="648" spans="1:55" ht="15.75" customHeight="1">
      <c r="A648" s="104"/>
      <c r="B648" s="85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  <c r="AA648" s="85"/>
      <c r="AB648" s="85"/>
      <c r="AC648" s="85"/>
      <c r="AD648" s="85"/>
      <c r="AE648" s="85"/>
      <c r="AF648" s="85"/>
      <c r="AG648" s="85"/>
      <c r="AH648" s="85"/>
      <c r="AI648" s="85"/>
      <c r="AJ648" s="85"/>
      <c r="AK648" s="85"/>
      <c r="AL648" s="85"/>
      <c r="AM648" s="85"/>
      <c r="AN648" s="85"/>
      <c r="AO648" s="85"/>
      <c r="AP648" s="85"/>
      <c r="AQ648" s="85"/>
      <c r="AR648" s="85"/>
      <c r="AS648" s="85"/>
      <c r="AT648" s="85"/>
      <c r="AU648" s="85"/>
      <c r="AV648" s="85"/>
      <c r="AW648" s="85"/>
      <c r="AX648" s="85"/>
      <c r="AY648" s="85"/>
      <c r="AZ648" s="85"/>
      <c r="BA648" s="85"/>
      <c r="BB648" s="85"/>
      <c r="BC648" s="85"/>
    </row>
    <row r="649" spans="1:55" ht="15.75" customHeight="1">
      <c r="A649" s="104"/>
      <c r="B649" s="85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  <c r="AA649" s="85"/>
      <c r="AB649" s="85"/>
      <c r="AC649" s="85"/>
      <c r="AD649" s="85"/>
      <c r="AE649" s="85"/>
      <c r="AF649" s="85"/>
      <c r="AG649" s="85"/>
      <c r="AH649" s="85"/>
      <c r="AI649" s="85"/>
      <c r="AJ649" s="85"/>
      <c r="AK649" s="85"/>
      <c r="AL649" s="85"/>
      <c r="AM649" s="85"/>
      <c r="AN649" s="85"/>
      <c r="AO649" s="85"/>
      <c r="AP649" s="85"/>
      <c r="AQ649" s="85"/>
      <c r="AR649" s="85"/>
      <c r="AS649" s="85"/>
      <c r="AT649" s="85"/>
      <c r="AU649" s="85"/>
      <c r="AV649" s="85"/>
      <c r="AW649" s="85"/>
      <c r="AX649" s="85"/>
      <c r="AY649" s="85"/>
      <c r="AZ649" s="85"/>
      <c r="BA649" s="85"/>
      <c r="BB649" s="85"/>
      <c r="BC649" s="85"/>
    </row>
    <row r="650" spans="1:55" ht="15.75" customHeight="1">
      <c r="A650" s="104"/>
      <c r="B650" s="85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  <c r="AA650" s="85"/>
      <c r="AB650" s="85"/>
      <c r="AC650" s="85"/>
      <c r="AD650" s="85"/>
      <c r="AE650" s="85"/>
      <c r="AF650" s="85"/>
      <c r="AG650" s="85"/>
      <c r="AH650" s="85"/>
      <c r="AI650" s="85"/>
      <c r="AJ650" s="85"/>
      <c r="AK650" s="85"/>
      <c r="AL650" s="85"/>
      <c r="AM650" s="85"/>
      <c r="AN650" s="85"/>
      <c r="AO650" s="85"/>
      <c r="AP650" s="85"/>
      <c r="AQ650" s="85"/>
      <c r="AR650" s="85"/>
      <c r="AS650" s="85"/>
      <c r="AT650" s="85"/>
      <c r="AU650" s="85"/>
      <c r="AV650" s="85"/>
      <c r="AW650" s="85"/>
      <c r="AX650" s="85"/>
      <c r="AY650" s="85"/>
      <c r="AZ650" s="85"/>
      <c r="BA650" s="85"/>
      <c r="BB650" s="85"/>
      <c r="BC650" s="85"/>
    </row>
    <row r="651" spans="1:55" ht="15.75" customHeight="1">
      <c r="A651" s="104"/>
      <c r="B651" s="85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  <c r="AA651" s="85"/>
      <c r="AB651" s="85"/>
      <c r="AC651" s="85"/>
      <c r="AD651" s="85"/>
      <c r="AE651" s="85"/>
      <c r="AF651" s="85"/>
      <c r="AG651" s="85"/>
      <c r="AH651" s="85"/>
      <c r="AI651" s="85"/>
      <c r="AJ651" s="85"/>
      <c r="AK651" s="85"/>
      <c r="AL651" s="85"/>
      <c r="AM651" s="85"/>
      <c r="AN651" s="85"/>
      <c r="AO651" s="85"/>
      <c r="AP651" s="85"/>
      <c r="AQ651" s="85"/>
      <c r="AR651" s="85"/>
      <c r="AS651" s="85"/>
      <c r="AT651" s="85"/>
      <c r="AU651" s="85"/>
      <c r="AV651" s="85"/>
      <c r="AW651" s="85"/>
      <c r="AX651" s="85"/>
      <c r="AY651" s="85"/>
      <c r="AZ651" s="85"/>
      <c r="BA651" s="85"/>
      <c r="BB651" s="85"/>
      <c r="BC651" s="85"/>
    </row>
    <row r="652" spans="1:55" ht="15.75" customHeight="1">
      <c r="A652" s="104"/>
      <c r="B652" s="85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  <c r="AA652" s="85"/>
      <c r="AB652" s="85"/>
      <c r="AC652" s="85"/>
      <c r="AD652" s="85"/>
      <c r="AE652" s="85"/>
      <c r="AF652" s="85"/>
      <c r="AG652" s="85"/>
      <c r="AH652" s="85"/>
      <c r="AI652" s="85"/>
      <c r="AJ652" s="85"/>
      <c r="AK652" s="85"/>
      <c r="AL652" s="85"/>
      <c r="AM652" s="85"/>
      <c r="AN652" s="85"/>
      <c r="AO652" s="85"/>
      <c r="AP652" s="85"/>
      <c r="AQ652" s="85"/>
      <c r="AR652" s="85"/>
      <c r="AS652" s="85"/>
      <c r="AT652" s="85"/>
      <c r="AU652" s="85"/>
      <c r="AV652" s="85"/>
      <c r="AW652" s="85"/>
      <c r="AX652" s="85"/>
      <c r="AY652" s="85"/>
      <c r="AZ652" s="85"/>
      <c r="BA652" s="85"/>
      <c r="BB652" s="85"/>
      <c r="BC652" s="85"/>
    </row>
    <row r="653" spans="1:55" ht="15.75" customHeight="1">
      <c r="A653" s="104"/>
      <c r="B653" s="85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  <c r="AA653" s="85"/>
      <c r="AB653" s="85"/>
      <c r="AC653" s="85"/>
      <c r="AD653" s="85"/>
      <c r="AE653" s="85"/>
      <c r="AF653" s="85"/>
      <c r="AG653" s="85"/>
      <c r="AH653" s="85"/>
      <c r="AI653" s="85"/>
      <c r="AJ653" s="85"/>
      <c r="AK653" s="85"/>
      <c r="AL653" s="85"/>
      <c r="AM653" s="85"/>
      <c r="AN653" s="85"/>
      <c r="AO653" s="85"/>
      <c r="AP653" s="85"/>
      <c r="AQ653" s="85"/>
      <c r="AR653" s="85"/>
      <c r="AS653" s="85"/>
      <c r="AT653" s="85"/>
      <c r="AU653" s="85"/>
      <c r="AV653" s="85"/>
      <c r="AW653" s="85"/>
      <c r="AX653" s="85"/>
      <c r="AY653" s="85"/>
      <c r="AZ653" s="85"/>
      <c r="BA653" s="85"/>
      <c r="BB653" s="85"/>
      <c r="BC653" s="85"/>
    </row>
    <row r="654" spans="1:55" ht="15.75" customHeight="1">
      <c r="A654" s="104"/>
      <c r="B654" s="85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  <c r="AA654" s="85"/>
      <c r="AB654" s="85"/>
      <c r="AC654" s="85"/>
      <c r="AD654" s="85"/>
      <c r="AE654" s="85"/>
      <c r="AF654" s="85"/>
      <c r="AG654" s="85"/>
      <c r="AH654" s="85"/>
      <c r="AI654" s="85"/>
      <c r="AJ654" s="85"/>
      <c r="AK654" s="85"/>
      <c r="AL654" s="85"/>
      <c r="AM654" s="85"/>
      <c r="AN654" s="85"/>
      <c r="AO654" s="85"/>
      <c r="AP654" s="85"/>
      <c r="AQ654" s="85"/>
      <c r="AR654" s="85"/>
      <c r="AS654" s="85"/>
      <c r="AT654" s="85"/>
      <c r="AU654" s="85"/>
      <c r="AV654" s="85"/>
      <c r="AW654" s="85"/>
      <c r="AX654" s="85"/>
      <c r="AY654" s="85"/>
      <c r="AZ654" s="85"/>
      <c r="BA654" s="85"/>
      <c r="BB654" s="85"/>
      <c r="BC654" s="85"/>
    </row>
    <row r="655" spans="1:55" ht="15.75" customHeight="1">
      <c r="A655" s="104"/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  <c r="AA655" s="85"/>
      <c r="AB655" s="85"/>
      <c r="AC655" s="85"/>
      <c r="AD655" s="85"/>
      <c r="AE655" s="85"/>
      <c r="AF655" s="85"/>
      <c r="AG655" s="85"/>
      <c r="AH655" s="85"/>
      <c r="AI655" s="85"/>
      <c r="AJ655" s="85"/>
      <c r="AK655" s="85"/>
      <c r="AL655" s="85"/>
      <c r="AM655" s="85"/>
      <c r="AN655" s="85"/>
      <c r="AO655" s="85"/>
      <c r="AP655" s="85"/>
      <c r="AQ655" s="85"/>
      <c r="AR655" s="85"/>
      <c r="AS655" s="85"/>
      <c r="AT655" s="85"/>
      <c r="AU655" s="85"/>
      <c r="AV655" s="85"/>
      <c r="AW655" s="85"/>
      <c r="AX655" s="85"/>
      <c r="AY655" s="85"/>
      <c r="AZ655" s="85"/>
      <c r="BA655" s="85"/>
      <c r="BB655" s="85"/>
      <c r="BC655" s="85"/>
    </row>
    <row r="656" spans="1:55" ht="15.75" customHeight="1">
      <c r="A656" s="104"/>
      <c r="B656" s="85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  <c r="AA656" s="85"/>
      <c r="AB656" s="85"/>
      <c r="AC656" s="85"/>
      <c r="AD656" s="85"/>
      <c r="AE656" s="85"/>
      <c r="AF656" s="85"/>
      <c r="AG656" s="85"/>
      <c r="AH656" s="85"/>
      <c r="AI656" s="85"/>
      <c r="AJ656" s="85"/>
      <c r="AK656" s="85"/>
      <c r="AL656" s="85"/>
      <c r="AM656" s="85"/>
      <c r="AN656" s="85"/>
      <c r="AO656" s="85"/>
      <c r="AP656" s="85"/>
      <c r="AQ656" s="85"/>
      <c r="AR656" s="85"/>
      <c r="AS656" s="85"/>
      <c r="AT656" s="85"/>
      <c r="AU656" s="85"/>
      <c r="AV656" s="85"/>
      <c r="AW656" s="85"/>
      <c r="AX656" s="85"/>
      <c r="AY656" s="85"/>
      <c r="AZ656" s="85"/>
      <c r="BA656" s="85"/>
      <c r="BB656" s="85"/>
      <c r="BC656" s="85"/>
    </row>
    <row r="657" spans="1:55" ht="15.75" customHeight="1">
      <c r="A657" s="104"/>
      <c r="B657" s="85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  <c r="AA657" s="85"/>
      <c r="AB657" s="85"/>
      <c r="AC657" s="85"/>
      <c r="AD657" s="85"/>
      <c r="AE657" s="85"/>
      <c r="AF657" s="85"/>
      <c r="AG657" s="85"/>
      <c r="AH657" s="85"/>
      <c r="AI657" s="85"/>
      <c r="AJ657" s="85"/>
      <c r="AK657" s="85"/>
      <c r="AL657" s="85"/>
      <c r="AM657" s="85"/>
      <c r="AN657" s="85"/>
      <c r="AO657" s="85"/>
      <c r="AP657" s="85"/>
      <c r="AQ657" s="85"/>
      <c r="AR657" s="85"/>
      <c r="AS657" s="85"/>
      <c r="AT657" s="85"/>
      <c r="AU657" s="85"/>
      <c r="AV657" s="85"/>
      <c r="AW657" s="85"/>
      <c r="AX657" s="85"/>
      <c r="AY657" s="85"/>
      <c r="AZ657" s="85"/>
      <c r="BA657" s="85"/>
      <c r="BB657" s="85"/>
      <c r="BC657" s="85"/>
    </row>
    <row r="658" spans="1:55" ht="15.75" customHeight="1">
      <c r="A658" s="104"/>
      <c r="B658" s="85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  <c r="AA658" s="85"/>
      <c r="AB658" s="85"/>
      <c r="AC658" s="85"/>
      <c r="AD658" s="85"/>
      <c r="AE658" s="85"/>
      <c r="AF658" s="85"/>
      <c r="AG658" s="85"/>
      <c r="AH658" s="85"/>
      <c r="AI658" s="85"/>
      <c r="AJ658" s="85"/>
      <c r="AK658" s="85"/>
      <c r="AL658" s="85"/>
      <c r="AM658" s="85"/>
      <c r="AN658" s="85"/>
      <c r="AO658" s="85"/>
      <c r="AP658" s="85"/>
      <c r="AQ658" s="85"/>
      <c r="AR658" s="85"/>
      <c r="AS658" s="85"/>
      <c r="AT658" s="85"/>
      <c r="AU658" s="85"/>
      <c r="AV658" s="85"/>
      <c r="AW658" s="85"/>
      <c r="AX658" s="85"/>
      <c r="AY658" s="85"/>
      <c r="AZ658" s="85"/>
      <c r="BA658" s="85"/>
      <c r="BB658" s="85"/>
      <c r="BC658" s="85"/>
    </row>
    <row r="659" spans="1:55" ht="15.75" customHeight="1">
      <c r="A659" s="104"/>
      <c r="B659" s="85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  <c r="AA659" s="85"/>
      <c r="AB659" s="85"/>
      <c r="AC659" s="85"/>
      <c r="AD659" s="85"/>
      <c r="AE659" s="85"/>
      <c r="AF659" s="85"/>
      <c r="AG659" s="85"/>
      <c r="AH659" s="85"/>
      <c r="AI659" s="85"/>
      <c r="AJ659" s="85"/>
      <c r="AK659" s="85"/>
      <c r="AL659" s="85"/>
      <c r="AM659" s="85"/>
      <c r="AN659" s="85"/>
      <c r="AO659" s="85"/>
      <c r="AP659" s="85"/>
      <c r="AQ659" s="85"/>
      <c r="AR659" s="85"/>
      <c r="AS659" s="85"/>
      <c r="AT659" s="85"/>
      <c r="AU659" s="85"/>
      <c r="AV659" s="85"/>
      <c r="AW659" s="85"/>
      <c r="AX659" s="85"/>
      <c r="AY659" s="85"/>
      <c r="AZ659" s="85"/>
      <c r="BA659" s="85"/>
      <c r="BB659" s="85"/>
      <c r="BC659" s="85"/>
    </row>
    <row r="660" spans="1:55" ht="15.75" customHeight="1">
      <c r="A660" s="104"/>
      <c r="B660" s="85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  <c r="AA660" s="85"/>
      <c r="AB660" s="85"/>
      <c r="AC660" s="85"/>
      <c r="AD660" s="85"/>
      <c r="AE660" s="85"/>
      <c r="AF660" s="85"/>
      <c r="AG660" s="85"/>
      <c r="AH660" s="85"/>
      <c r="AI660" s="85"/>
      <c r="AJ660" s="85"/>
      <c r="AK660" s="85"/>
      <c r="AL660" s="85"/>
      <c r="AM660" s="85"/>
      <c r="AN660" s="85"/>
      <c r="AO660" s="85"/>
      <c r="AP660" s="85"/>
      <c r="AQ660" s="85"/>
      <c r="AR660" s="85"/>
      <c r="AS660" s="85"/>
      <c r="AT660" s="85"/>
      <c r="AU660" s="85"/>
      <c r="AV660" s="85"/>
      <c r="AW660" s="85"/>
      <c r="AX660" s="85"/>
      <c r="AY660" s="85"/>
      <c r="AZ660" s="85"/>
      <c r="BA660" s="85"/>
      <c r="BB660" s="85"/>
      <c r="BC660" s="85"/>
    </row>
    <row r="661" spans="1:55" ht="15.75" customHeight="1">
      <c r="A661" s="104"/>
      <c r="B661" s="85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  <c r="AA661" s="85"/>
      <c r="AB661" s="85"/>
      <c r="AC661" s="85"/>
      <c r="AD661" s="85"/>
      <c r="AE661" s="85"/>
      <c r="AF661" s="85"/>
      <c r="AG661" s="85"/>
      <c r="AH661" s="85"/>
      <c r="AI661" s="85"/>
      <c r="AJ661" s="85"/>
      <c r="AK661" s="85"/>
      <c r="AL661" s="85"/>
      <c r="AM661" s="85"/>
      <c r="AN661" s="85"/>
      <c r="AO661" s="85"/>
      <c r="AP661" s="85"/>
      <c r="AQ661" s="85"/>
      <c r="AR661" s="85"/>
      <c r="AS661" s="85"/>
      <c r="AT661" s="85"/>
      <c r="AU661" s="85"/>
      <c r="AV661" s="85"/>
      <c r="AW661" s="85"/>
      <c r="AX661" s="85"/>
      <c r="AY661" s="85"/>
      <c r="AZ661" s="85"/>
      <c r="BA661" s="85"/>
      <c r="BB661" s="85"/>
      <c r="BC661" s="85"/>
    </row>
    <row r="662" spans="1:55" ht="15.75" customHeight="1">
      <c r="A662" s="104"/>
      <c r="B662" s="85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  <c r="AA662" s="85"/>
      <c r="AB662" s="85"/>
      <c r="AC662" s="85"/>
      <c r="AD662" s="85"/>
      <c r="AE662" s="85"/>
      <c r="AF662" s="85"/>
      <c r="AG662" s="85"/>
      <c r="AH662" s="85"/>
      <c r="AI662" s="85"/>
      <c r="AJ662" s="85"/>
      <c r="AK662" s="85"/>
      <c r="AL662" s="85"/>
      <c r="AM662" s="85"/>
      <c r="AN662" s="85"/>
      <c r="AO662" s="85"/>
      <c r="AP662" s="85"/>
      <c r="AQ662" s="85"/>
      <c r="AR662" s="85"/>
      <c r="AS662" s="85"/>
      <c r="AT662" s="85"/>
      <c r="AU662" s="85"/>
      <c r="AV662" s="85"/>
      <c r="AW662" s="85"/>
      <c r="AX662" s="85"/>
      <c r="AY662" s="85"/>
      <c r="AZ662" s="85"/>
      <c r="BA662" s="85"/>
      <c r="BB662" s="85"/>
      <c r="BC662" s="85"/>
    </row>
    <row r="663" spans="1:55" ht="15.75" customHeight="1">
      <c r="A663" s="104"/>
      <c r="B663" s="85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  <c r="AA663" s="85"/>
      <c r="AB663" s="85"/>
      <c r="AC663" s="85"/>
      <c r="AD663" s="85"/>
      <c r="AE663" s="85"/>
      <c r="AF663" s="85"/>
      <c r="AG663" s="85"/>
      <c r="AH663" s="85"/>
      <c r="AI663" s="85"/>
      <c r="AJ663" s="85"/>
      <c r="AK663" s="85"/>
      <c r="AL663" s="85"/>
      <c r="AM663" s="85"/>
      <c r="AN663" s="85"/>
      <c r="AO663" s="85"/>
      <c r="AP663" s="85"/>
      <c r="AQ663" s="85"/>
      <c r="AR663" s="85"/>
      <c r="AS663" s="85"/>
      <c r="AT663" s="85"/>
      <c r="AU663" s="85"/>
      <c r="AV663" s="85"/>
      <c r="AW663" s="85"/>
      <c r="AX663" s="85"/>
      <c r="AY663" s="85"/>
      <c r="AZ663" s="85"/>
      <c r="BA663" s="85"/>
      <c r="BB663" s="85"/>
      <c r="BC663" s="85"/>
    </row>
    <row r="664" spans="1:55" ht="15.75" customHeight="1">
      <c r="A664" s="104"/>
      <c r="B664" s="85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  <c r="AA664" s="85"/>
      <c r="AB664" s="85"/>
      <c r="AC664" s="85"/>
      <c r="AD664" s="85"/>
      <c r="AE664" s="85"/>
      <c r="AF664" s="85"/>
      <c r="AG664" s="85"/>
      <c r="AH664" s="85"/>
      <c r="AI664" s="85"/>
      <c r="AJ664" s="85"/>
      <c r="AK664" s="85"/>
      <c r="AL664" s="85"/>
      <c r="AM664" s="85"/>
      <c r="AN664" s="85"/>
      <c r="AO664" s="85"/>
      <c r="AP664" s="85"/>
      <c r="AQ664" s="85"/>
      <c r="AR664" s="85"/>
      <c r="AS664" s="85"/>
      <c r="AT664" s="85"/>
      <c r="AU664" s="85"/>
      <c r="AV664" s="85"/>
      <c r="AW664" s="85"/>
      <c r="AX664" s="85"/>
      <c r="AY664" s="85"/>
      <c r="AZ664" s="85"/>
      <c r="BA664" s="85"/>
      <c r="BB664" s="85"/>
      <c r="BC664" s="85"/>
    </row>
    <row r="665" spans="1:55" ht="15.75" customHeight="1">
      <c r="A665" s="104"/>
      <c r="B665" s="85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  <c r="AA665" s="85"/>
      <c r="AB665" s="85"/>
      <c r="AC665" s="85"/>
      <c r="AD665" s="85"/>
      <c r="AE665" s="85"/>
      <c r="AF665" s="85"/>
      <c r="AG665" s="85"/>
      <c r="AH665" s="85"/>
      <c r="AI665" s="85"/>
      <c r="AJ665" s="85"/>
      <c r="AK665" s="85"/>
      <c r="AL665" s="85"/>
      <c r="AM665" s="85"/>
      <c r="AN665" s="85"/>
      <c r="AO665" s="85"/>
      <c r="AP665" s="85"/>
      <c r="AQ665" s="85"/>
      <c r="AR665" s="85"/>
      <c r="AS665" s="85"/>
      <c r="AT665" s="85"/>
      <c r="AU665" s="85"/>
      <c r="AV665" s="85"/>
      <c r="AW665" s="85"/>
      <c r="AX665" s="85"/>
      <c r="AY665" s="85"/>
      <c r="AZ665" s="85"/>
      <c r="BA665" s="85"/>
      <c r="BB665" s="85"/>
      <c r="BC665" s="85"/>
    </row>
    <row r="666" spans="1:55" ht="15.75" customHeight="1">
      <c r="A666" s="104"/>
      <c r="B666" s="85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  <c r="AA666" s="85"/>
      <c r="AB666" s="85"/>
      <c r="AC666" s="85"/>
      <c r="AD666" s="85"/>
      <c r="AE666" s="85"/>
      <c r="AF666" s="85"/>
      <c r="AG666" s="85"/>
      <c r="AH666" s="85"/>
      <c r="AI666" s="85"/>
      <c r="AJ666" s="85"/>
      <c r="AK666" s="85"/>
      <c r="AL666" s="85"/>
      <c r="AM666" s="85"/>
      <c r="AN666" s="85"/>
      <c r="AO666" s="85"/>
      <c r="AP666" s="85"/>
      <c r="AQ666" s="85"/>
      <c r="AR666" s="85"/>
      <c r="AS666" s="85"/>
      <c r="AT666" s="85"/>
      <c r="AU666" s="85"/>
      <c r="AV666" s="85"/>
      <c r="AW666" s="85"/>
      <c r="AX666" s="85"/>
      <c r="AY666" s="85"/>
      <c r="AZ666" s="85"/>
      <c r="BA666" s="85"/>
      <c r="BB666" s="85"/>
      <c r="BC666" s="85"/>
    </row>
    <row r="667" spans="1:55" ht="15.75" customHeight="1">
      <c r="A667" s="104"/>
      <c r="B667" s="85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  <c r="AA667" s="85"/>
      <c r="AB667" s="85"/>
      <c r="AC667" s="85"/>
      <c r="AD667" s="85"/>
      <c r="AE667" s="85"/>
      <c r="AF667" s="85"/>
      <c r="AG667" s="85"/>
      <c r="AH667" s="85"/>
      <c r="AI667" s="85"/>
      <c r="AJ667" s="85"/>
      <c r="AK667" s="85"/>
      <c r="AL667" s="85"/>
      <c r="AM667" s="85"/>
      <c r="AN667" s="85"/>
      <c r="AO667" s="85"/>
      <c r="AP667" s="85"/>
      <c r="AQ667" s="85"/>
      <c r="AR667" s="85"/>
      <c r="AS667" s="85"/>
      <c r="AT667" s="85"/>
      <c r="AU667" s="85"/>
      <c r="AV667" s="85"/>
      <c r="AW667" s="85"/>
      <c r="AX667" s="85"/>
      <c r="AY667" s="85"/>
      <c r="AZ667" s="85"/>
      <c r="BA667" s="85"/>
      <c r="BB667" s="85"/>
      <c r="BC667" s="85"/>
    </row>
    <row r="668" spans="1:55" ht="15.75" customHeight="1">
      <c r="A668" s="104"/>
      <c r="B668" s="85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  <c r="AA668" s="85"/>
      <c r="AB668" s="85"/>
      <c r="AC668" s="85"/>
      <c r="AD668" s="85"/>
      <c r="AE668" s="85"/>
      <c r="AF668" s="85"/>
      <c r="AG668" s="85"/>
      <c r="AH668" s="85"/>
      <c r="AI668" s="85"/>
      <c r="AJ668" s="85"/>
      <c r="AK668" s="85"/>
      <c r="AL668" s="85"/>
      <c r="AM668" s="85"/>
      <c r="AN668" s="85"/>
      <c r="AO668" s="85"/>
      <c r="AP668" s="85"/>
      <c r="AQ668" s="85"/>
      <c r="AR668" s="85"/>
      <c r="AS668" s="85"/>
      <c r="AT668" s="85"/>
      <c r="AU668" s="85"/>
      <c r="AV668" s="85"/>
      <c r="AW668" s="85"/>
      <c r="AX668" s="85"/>
      <c r="AY668" s="85"/>
      <c r="AZ668" s="85"/>
      <c r="BA668" s="85"/>
      <c r="BB668" s="85"/>
      <c r="BC668" s="85"/>
    </row>
    <row r="669" spans="1:55" ht="15.75" customHeight="1">
      <c r="A669" s="104"/>
      <c r="B669" s="85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  <c r="AA669" s="85"/>
      <c r="AB669" s="85"/>
      <c r="AC669" s="85"/>
      <c r="AD669" s="85"/>
      <c r="AE669" s="85"/>
      <c r="AF669" s="85"/>
      <c r="AG669" s="85"/>
      <c r="AH669" s="85"/>
      <c r="AI669" s="85"/>
      <c r="AJ669" s="85"/>
      <c r="AK669" s="85"/>
      <c r="AL669" s="85"/>
      <c r="AM669" s="85"/>
      <c r="AN669" s="85"/>
      <c r="AO669" s="85"/>
      <c r="AP669" s="85"/>
      <c r="AQ669" s="85"/>
      <c r="AR669" s="85"/>
      <c r="AS669" s="85"/>
      <c r="AT669" s="85"/>
      <c r="AU669" s="85"/>
      <c r="AV669" s="85"/>
      <c r="AW669" s="85"/>
      <c r="AX669" s="85"/>
      <c r="AY669" s="85"/>
      <c r="AZ669" s="85"/>
      <c r="BA669" s="85"/>
      <c r="BB669" s="85"/>
      <c r="BC669" s="85"/>
    </row>
    <row r="670" spans="1:55" ht="15.75" customHeight="1">
      <c r="A670" s="104"/>
      <c r="B670" s="85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  <c r="AA670" s="85"/>
      <c r="AB670" s="85"/>
      <c r="AC670" s="85"/>
      <c r="AD670" s="85"/>
      <c r="AE670" s="85"/>
      <c r="AF670" s="85"/>
      <c r="AG670" s="85"/>
      <c r="AH670" s="85"/>
      <c r="AI670" s="85"/>
      <c r="AJ670" s="85"/>
      <c r="AK670" s="85"/>
      <c r="AL670" s="85"/>
      <c r="AM670" s="85"/>
      <c r="AN670" s="85"/>
      <c r="AO670" s="85"/>
      <c r="AP670" s="85"/>
      <c r="AQ670" s="85"/>
      <c r="AR670" s="85"/>
      <c r="AS670" s="85"/>
      <c r="AT670" s="85"/>
      <c r="AU670" s="85"/>
      <c r="AV670" s="85"/>
      <c r="AW670" s="85"/>
      <c r="AX670" s="85"/>
      <c r="AY670" s="85"/>
      <c r="AZ670" s="85"/>
      <c r="BA670" s="85"/>
      <c r="BB670" s="85"/>
      <c r="BC670" s="85"/>
    </row>
    <row r="671" spans="1:55" ht="15.75" customHeight="1">
      <c r="A671" s="104"/>
      <c r="B671" s="85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  <c r="AA671" s="85"/>
      <c r="AB671" s="85"/>
      <c r="AC671" s="85"/>
      <c r="AD671" s="85"/>
      <c r="AE671" s="85"/>
      <c r="AF671" s="85"/>
      <c r="AG671" s="85"/>
      <c r="AH671" s="85"/>
      <c r="AI671" s="85"/>
      <c r="AJ671" s="85"/>
      <c r="AK671" s="85"/>
      <c r="AL671" s="85"/>
      <c r="AM671" s="85"/>
      <c r="AN671" s="85"/>
      <c r="AO671" s="85"/>
      <c r="AP671" s="85"/>
      <c r="AQ671" s="85"/>
      <c r="AR671" s="85"/>
      <c r="AS671" s="85"/>
      <c r="AT671" s="85"/>
      <c r="AU671" s="85"/>
      <c r="AV671" s="85"/>
      <c r="AW671" s="85"/>
      <c r="AX671" s="85"/>
      <c r="AY671" s="85"/>
      <c r="AZ671" s="85"/>
      <c r="BA671" s="85"/>
      <c r="BB671" s="85"/>
      <c r="BC671" s="85"/>
    </row>
    <row r="672" spans="1:55" ht="15.75" customHeight="1">
      <c r="A672" s="104"/>
      <c r="B672" s="85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  <c r="AA672" s="85"/>
      <c r="AB672" s="85"/>
      <c r="AC672" s="85"/>
      <c r="AD672" s="85"/>
      <c r="AE672" s="85"/>
      <c r="AF672" s="85"/>
      <c r="AG672" s="85"/>
      <c r="AH672" s="85"/>
      <c r="AI672" s="85"/>
      <c r="AJ672" s="85"/>
      <c r="AK672" s="85"/>
      <c r="AL672" s="85"/>
      <c r="AM672" s="85"/>
      <c r="AN672" s="85"/>
      <c r="AO672" s="85"/>
      <c r="AP672" s="85"/>
      <c r="AQ672" s="85"/>
      <c r="AR672" s="85"/>
      <c r="AS672" s="85"/>
      <c r="AT672" s="85"/>
      <c r="AU672" s="85"/>
      <c r="AV672" s="85"/>
      <c r="AW672" s="85"/>
      <c r="AX672" s="85"/>
      <c r="AY672" s="85"/>
      <c r="AZ672" s="85"/>
      <c r="BA672" s="85"/>
      <c r="BB672" s="85"/>
      <c r="BC672" s="85"/>
    </row>
    <row r="673" spans="1:55" ht="15.75" customHeight="1">
      <c r="A673" s="104"/>
      <c r="B673" s="85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  <c r="AA673" s="85"/>
      <c r="AB673" s="85"/>
      <c r="AC673" s="85"/>
      <c r="AD673" s="85"/>
      <c r="AE673" s="85"/>
      <c r="AF673" s="85"/>
      <c r="AG673" s="85"/>
      <c r="AH673" s="85"/>
      <c r="AI673" s="85"/>
      <c r="AJ673" s="85"/>
      <c r="AK673" s="85"/>
      <c r="AL673" s="85"/>
      <c r="AM673" s="85"/>
      <c r="AN673" s="85"/>
      <c r="AO673" s="85"/>
      <c r="AP673" s="85"/>
      <c r="AQ673" s="85"/>
      <c r="AR673" s="85"/>
      <c r="AS673" s="85"/>
      <c r="AT673" s="85"/>
      <c r="AU673" s="85"/>
      <c r="AV673" s="85"/>
      <c r="AW673" s="85"/>
      <c r="AX673" s="85"/>
      <c r="AY673" s="85"/>
      <c r="AZ673" s="85"/>
      <c r="BA673" s="85"/>
      <c r="BB673" s="85"/>
      <c r="BC673" s="85"/>
    </row>
    <row r="674" spans="1:55" ht="15.75" customHeight="1">
      <c r="A674" s="104"/>
      <c r="B674" s="85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  <c r="AA674" s="85"/>
      <c r="AB674" s="85"/>
      <c r="AC674" s="85"/>
      <c r="AD674" s="85"/>
      <c r="AE674" s="85"/>
      <c r="AF674" s="85"/>
      <c r="AG674" s="85"/>
      <c r="AH674" s="85"/>
      <c r="AI674" s="85"/>
      <c r="AJ674" s="85"/>
      <c r="AK674" s="85"/>
      <c r="AL674" s="85"/>
      <c r="AM674" s="85"/>
      <c r="AN674" s="85"/>
      <c r="AO674" s="85"/>
      <c r="AP674" s="85"/>
      <c r="AQ674" s="85"/>
      <c r="AR674" s="85"/>
      <c r="AS674" s="85"/>
      <c r="AT674" s="85"/>
      <c r="AU674" s="85"/>
      <c r="AV674" s="85"/>
      <c r="AW674" s="85"/>
      <c r="AX674" s="85"/>
      <c r="AY674" s="85"/>
      <c r="AZ674" s="85"/>
      <c r="BA674" s="85"/>
      <c r="BB674" s="85"/>
      <c r="BC674" s="85"/>
    </row>
    <row r="675" spans="1:55" ht="15.75" customHeight="1">
      <c r="A675" s="104"/>
      <c r="B675" s="85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  <c r="AA675" s="85"/>
      <c r="AB675" s="85"/>
      <c r="AC675" s="85"/>
      <c r="AD675" s="85"/>
      <c r="AE675" s="85"/>
      <c r="AF675" s="85"/>
      <c r="AG675" s="85"/>
      <c r="AH675" s="85"/>
      <c r="AI675" s="85"/>
      <c r="AJ675" s="85"/>
      <c r="AK675" s="85"/>
      <c r="AL675" s="85"/>
      <c r="AM675" s="85"/>
      <c r="AN675" s="85"/>
      <c r="AO675" s="85"/>
      <c r="AP675" s="85"/>
      <c r="AQ675" s="85"/>
      <c r="AR675" s="85"/>
      <c r="AS675" s="85"/>
      <c r="AT675" s="85"/>
      <c r="AU675" s="85"/>
      <c r="AV675" s="85"/>
      <c r="AW675" s="85"/>
      <c r="AX675" s="85"/>
      <c r="AY675" s="85"/>
      <c r="AZ675" s="85"/>
      <c r="BA675" s="85"/>
      <c r="BB675" s="85"/>
      <c r="BC675" s="85"/>
    </row>
    <row r="676" spans="1:55" ht="15.75" customHeight="1">
      <c r="A676" s="104"/>
      <c r="B676" s="85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  <c r="AA676" s="85"/>
      <c r="AB676" s="85"/>
      <c r="AC676" s="85"/>
      <c r="AD676" s="85"/>
      <c r="AE676" s="85"/>
      <c r="AF676" s="85"/>
      <c r="AG676" s="85"/>
      <c r="AH676" s="85"/>
      <c r="AI676" s="85"/>
      <c r="AJ676" s="85"/>
      <c r="AK676" s="85"/>
      <c r="AL676" s="85"/>
      <c r="AM676" s="85"/>
      <c r="AN676" s="85"/>
      <c r="AO676" s="85"/>
      <c r="AP676" s="85"/>
      <c r="AQ676" s="85"/>
      <c r="AR676" s="85"/>
      <c r="AS676" s="85"/>
      <c r="AT676" s="85"/>
      <c r="AU676" s="85"/>
      <c r="AV676" s="85"/>
      <c r="AW676" s="85"/>
      <c r="AX676" s="85"/>
      <c r="AY676" s="85"/>
      <c r="AZ676" s="85"/>
      <c r="BA676" s="85"/>
      <c r="BB676" s="85"/>
      <c r="BC676" s="85"/>
    </row>
    <row r="677" spans="1:55" ht="15.75" customHeight="1">
      <c r="A677" s="104"/>
      <c r="B677" s="85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  <c r="AA677" s="85"/>
      <c r="AB677" s="85"/>
      <c r="AC677" s="85"/>
      <c r="AD677" s="85"/>
      <c r="AE677" s="85"/>
      <c r="AF677" s="85"/>
      <c r="AG677" s="85"/>
      <c r="AH677" s="85"/>
      <c r="AI677" s="85"/>
      <c r="AJ677" s="85"/>
      <c r="AK677" s="85"/>
      <c r="AL677" s="85"/>
      <c r="AM677" s="85"/>
      <c r="AN677" s="85"/>
      <c r="AO677" s="85"/>
      <c r="AP677" s="85"/>
      <c r="AQ677" s="85"/>
      <c r="AR677" s="85"/>
      <c r="AS677" s="85"/>
      <c r="AT677" s="85"/>
      <c r="AU677" s="85"/>
      <c r="AV677" s="85"/>
      <c r="AW677" s="85"/>
      <c r="AX677" s="85"/>
      <c r="AY677" s="85"/>
      <c r="AZ677" s="85"/>
      <c r="BA677" s="85"/>
      <c r="BB677" s="85"/>
      <c r="BC677" s="85"/>
    </row>
    <row r="678" spans="1:55" ht="15.75" customHeight="1">
      <c r="A678" s="104"/>
      <c r="B678" s="85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  <c r="AA678" s="85"/>
      <c r="AB678" s="85"/>
      <c r="AC678" s="85"/>
      <c r="AD678" s="85"/>
      <c r="AE678" s="85"/>
      <c r="AF678" s="85"/>
      <c r="AG678" s="85"/>
      <c r="AH678" s="85"/>
      <c r="AI678" s="85"/>
      <c r="AJ678" s="85"/>
      <c r="AK678" s="85"/>
      <c r="AL678" s="85"/>
      <c r="AM678" s="85"/>
      <c r="AN678" s="85"/>
      <c r="AO678" s="85"/>
      <c r="AP678" s="85"/>
      <c r="AQ678" s="85"/>
      <c r="AR678" s="85"/>
      <c r="AS678" s="85"/>
      <c r="AT678" s="85"/>
      <c r="AU678" s="85"/>
      <c r="AV678" s="85"/>
      <c r="AW678" s="85"/>
      <c r="AX678" s="85"/>
      <c r="AY678" s="85"/>
      <c r="AZ678" s="85"/>
      <c r="BA678" s="85"/>
      <c r="BB678" s="85"/>
      <c r="BC678" s="85"/>
    </row>
    <row r="679" spans="1:55" ht="15.75" customHeight="1">
      <c r="A679" s="104"/>
      <c r="B679" s="85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  <c r="AA679" s="85"/>
      <c r="AB679" s="85"/>
      <c r="AC679" s="85"/>
      <c r="AD679" s="85"/>
      <c r="AE679" s="85"/>
      <c r="AF679" s="85"/>
      <c r="AG679" s="85"/>
      <c r="AH679" s="85"/>
      <c r="AI679" s="85"/>
      <c r="AJ679" s="85"/>
      <c r="AK679" s="85"/>
      <c r="AL679" s="85"/>
      <c r="AM679" s="85"/>
      <c r="AN679" s="85"/>
      <c r="AO679" s="85"/>
      <c r="AP679" s="85"/>
      <c r="AQ679" s="85"/>
      <c r="AR679" s="85"/>
      <c r="AS679" s="85"/>
      <c r="AT679" s="85"/>
      <c r="AU679" s="85"/>
      <c r="AV679" s="85"/>
      <c r="AW679" s="85"/>
      <c r="AX679" s="85"/>
      <c r="AY679" s="85"/>
      <c r="AZ679" s="85"/>
      <c r="BA679" s="85"/>
      <c r="BB679" s="85"/>
      <c r="BC679" s="85"/>
    </row>
    <row r="680" spans="1:55" ht="15.75" customHeight="1">
      <c r="A680" s="104"/>
      <c r="B680" s="85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  <c r="AA680" s="85"/>
      <c r="AB680" s="85"/>
      <c r="AC680" s="85"/>
      <c r="AD680" s="85"/>
      <c r="AE680" s="85"/>
      <c r="AF680" s="85"/>
      <c r="AG680" s="85"/>
      <c r="AH680" s="85"/>
      <c r="AI680" s="85"/>
      <c r="AJ680" s="85"/>
      <c r="AK680" s="85"/>
      <c r="AL680" s="85"/>
      <c r="AM680" s="85"/>
      <c r="AN680" s="85"/>
      <c r="AO680" s="85"/>
      <c r="AP680" s="85"/>
      <c r="AQ680" s="85"/>
      <c r="AR680" s="85"/>
      <c r="AS680" s="85"/>
      <c r="AT680" s="85"/>
      <c r="AU680" s="85"/>
      <c r="AV680" s="85"/>
      <c r="AW680" s="85"/>
      <c r="AX680" s="85"/>
      <c r="AY680" s="85"/>
      <c r="AZ680" s="85"/>
      <c r="BA680" s="85"/>
      <c r="BB680" s="85"/>
      <c r="BC680" s="85"/>
    </row>
    <row r="681" spans="1:55" ht="15.75" customHeight="1">
      <c r="A681" s="104"/>
      <c r="B681" s="85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  <c r="AA681" s="85"/>
      <c r="AB681" s="85"/>
      <c r="AC681" s="85"/>
      <c r="AD681" s="85"/>
      <c r="AE681" s="85"/>
      <c r="AF681" s="85"/>
      <c r="AG681" s="85"/>
      <c r="AH681" s="85"/>
      <c r="AI681" s="85"/>
      <c r="AJ681" s="85"/>
      <c r="AK681" s="85"/>
      <c r="AL681" s="85"/>
      <c r="AM681" s="85"/>
      <c r="AN681" s="85"/>
      <c r="AO681" s="85"/>
      <c r="AP681" s="85"/>
      <c r="AQ681" s="85"/>
      <c r="AR681" s="85"/>
      <c r="AS681" s="85"/>
      <c r="AT681" s="85"/>
      <c r="AU681" s="85"/>
      <c r="AV681" s="85"/>
      <c r="AW681" s="85"/>
      <c r="AX681" s="85"/>
      <c r="AY681" s="85"/>
      <c r="AZ681" s="85"/>
      <c r="BA681" s="85"/>
      <c r="BB681" s="85"/>
      <c r="BC681" s="85"/>
    </row>
    <row r="682" spans="1:55" ht="15.75" customHeight="1">
      <c r="A682" s="104"/>
      <c r="B682" s="85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  <c r="AA682" s="85"/>
      <c r="AB682" s="85"/>
      <c r="AC682" s="85"/>
      <c r="AD682" s="85"/>
      <c r="AE682" s="85"/>
      <c r="AF682" s="85"/>
      <c r="AG682" s="85"/>
      <c r="AH682" s="85"/>
      <c r="AI682" s="85"/>
      <c r="AJ682" s="85"/>
      <c r="AK682" s="85"/>
      <c r="AL682" s="85"/>
      <c r="AM682" s="85"/>
      <c r="AN682" s="85"/>
      <c r="AO682" s="85"/>
      <c r="AP682" s="85"/>
      <c r="AQ682" s="85"/>
      <c r="AR682" s="85"/>
      <c r="AS682" s="85"/>
      <c r="AT682" s="85"/>
      <c r="AU682" s="85"/>
      <c r="AV682" s="85"/>
      <c r="AW682" s="85"/>
      <c r="AX682" s="85"/>
      <c r="AY682" s="85"/>
      <c r="AZ682" s="85"/>
      <c r="BA682" s="85"/>
      <c r="BB682" s="85"/>
      <c r="BC682" s="85"/>
    </row>
    <row r="683" spans="1:55" ht="15.75" customHeight="1">
      <c r="A683" s="104"/>
      <c r="B683" s="85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  <c r="AA683" s="85"/>
      <c r="AB683" s="85"/>
      <c r="AC683" s="85"/>
      <c r="AD683" s="85"/>
      <c r="AE683" s="85"/>
      <c r="AF683" s="85"/>
      <c r="AG683" s="85"/>
      <c r="AH683" s="85"/>
      <c r="AI683" s="85"/>
      <c r="AJ683" s="85"/>
      <c r="AK683" s="85"/>
      <c r="AL683" s="85"/>
      <c r="AM683" s="85"/>
      <c r="AN683" s="85"/>
      <c r="AO683" s="85"/>
      <c r="AP683" s="85"/>
      <c r="AQ683" s="85"/>
      <c r="AR683" s="85"/>
      <c r="AS683" s="85"/>
      <c r="AT683" s="85"/>
      <c r="AU683" s="85"/>
      <c r="AV683" s="85"/>
      <c r="AW683" s="85"/>
      <c r="AX683" s="85"/>
      <c r="AY683" s="85"/>
      <c r="AZ683" s="85"/>
      <c r="BA683" s="85"/>
      <c r="BB683" s="85"/>
      <c r="BC683" s="85"/>
    </row>
    <row r="684" spans="1:55" ht="15.75" customHeight="1">
      <c r="A684" s="104"/>
      <c r="B684" s="85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  <c r="AA684" s="85"/>
      <c r="AB684" s="85"/>
      <c r="AC684" s="85"/>
      <c r="AD684" s="85"/>
      <c r="AE684" s="85"/>
      <c r="AF684" s="85"/>
      <c r="AG684" s="85"/>
      <c r="AH684" s="85"/>
      <c r="AI684" s="85"/>
      <c r="AJ684" s="85"/>
      <c r="AK684" s="85"/>
      <c r="AL684" s="85"/>
      <c r="AM684" s="85"/>
      <c r="AN684" s="85"/>
      <c r="AO684" s="85"/>
      <c r="AP684" s="85"/>
      <c r="AQ684" s="85"/>
      <c r="AR684" s="85"/>
      <c r="AS684" s="85"/>
      <c r="AT684" s="85"/>
      <c r="AU684" s="85"/>
      <c r="AV684" s="85"/>
      <c r="AW684" s="85"/>
      <c r="AX684" s="85"/>
      <c r="AY684" s="85"/>
      <c r="AZ684" s="85"/>
      <c r="BA684" s="85"/>
      <c r="BB684" s="85"/>
      <c r="BC684" s="85"/>
    </row>
    <row r="685" spans="1:55" ht="15.75" customHeight="1">
      <c r="A685" s="104"/>
      <c r="B685" s="85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  <c r="AA685" s="85"/>
      <c r="AB685" s="85"/>
      <c r="AC685" s="85"/>
      <c r="AD685" s="85"/>
      <c r="AE685" s="85"/>
      <c r="AF685" s="85"/>
      <c r="AG685" s="85"/>
      <c r="AH685" s="85"/>
      <c r="AI685" s="85"/>
      <c r="AJ685" s="85"/>
      <c r="AK685" s="85"/>
      <c r="AL685" s="85"/>
      <c r="AM685" s="85"/>
      <c r="AN685" s="85"/>
      <c r="AO685" s="85"/>
      <c r="AP685" s="85"/>
      <c r="AQ685" s="85"/>
      <c r="AR685" s="85"/>
      <c r="AS685" s="85"/>
      <c r="AT685" s="85"/>
      <c r="AU685" s="85"/>
      <c r="AV685" s="85"/>
      <c r="AW685" s="85"/>
      <c r="AX685" s="85"/>
      <c r="AY685" s="85"/>
      <c r="AZ685" s="85"/>
      <c r="BA685" s="85"/>
      <c r="BB685" s="85"/>
      <c r="BC685" s="85"/>
    </row>
    <row r="686" spans="1:55" ht="15.75" customHeight="1">
      <c r="A686" s="104"/>
      <c r="B686" s="85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  <c r="AA686" s="85"/>
      <c r="AB686" s="85"/>
      <c r="AC686" s="85"/>
      <c r="AD686" s="85"/>
      <c r="AE686" s="85"/>
      <c r="AF686" s="85"/>
      <c r="AG686" s="85"/>
      <c r="AH686" s="85"/>
      <c r="AI686" s="85"/>
      <c r="AJ686" s="85"/>
      <c r="AK686" s="85"/>
      <c r="AL686" s="85"/>
      <c r="AM686" s="85"/>
      <c r="AN686" s="85"/>
      <c r="AO686" s="85"/>
      <c r="AP686" s="85"/>
      <c r="AQ686" s="85"/>
      <c r="AR686" s="85"/>
      <c r="AS686" s="85"/>
      <c r="AT686" s="85"/>
      <c r="AU686" s="85"/>
      <c r="AV686" s="85"/>
      <c r="AW686" s="85"/>
      <c r="AX686" s="85"/>
      <c r="AY686" s="85"/>
      <c r="AZ686" s="85"/>
      <c r="BA686" s="85"/>
      <c r="BB686" s="85"/>
      <c r="BC686" s="85"/>
    </row>
    <row r="687" spans="1:55" ht="15.75" customHeight="1">
      <c r="A687" s="104"/>
      <c r="B687" s="85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  <c r="AA687" s="85"/>
      <c r="AB687" s="85"/>
      <c r="AC687" s="85"/>
      <c r="AD687" s="85"/>
      <c r="AE687" s="85"/>
      <c r="AF687" s="85"/>
      <c r="AG687" s="85"/>
      <c r="AH687" s="85"/>
      <c r="AI687" s="85"/>
      <c r="AJ687" s="85"/>
      <c r="AK687" s="85"/>
      <c r="AL687" s="85"/>
      <c r="AM687" s="85"/>
      <c r="AN687" s="85"/>
      <c r="AO687" s="85"/>
      <c r="AP687" s="85"/>
      <c r="AQ687" s="85"/>
      <c r="AR687" s="85"/>
      <c r="AS687" s="85"/>
      <c r="AT687" s="85"/>
      <c r="AU687" s="85"/>
      <c r="AV687" s="85"/>
      <c r="AW687" s="85"/>
      <c r="AX687" s="85"/>
      <c r="AY687" s="85"/>
      <c r="AZ687" s="85"/>
      <c r="BA687" s="85"/>
      <c r="BB687" s="85"/>
      <c r="BC687" s="85"/>
    </row>
    <row r="688" spans="1:55" ht="15.75" customHeight="1">
      <c r="A688" s="104"/>
      <c r="B688" s="85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  <c r="AA688" s="85"/>
      <c r="AB688" s="85"/>
      <c r="AC688" s="85"/>
      <c r="AD688" s="85"/>
      <c r="AE688" s="85"/>
      <c r="AF688" s="85"/>
      <c r="AG688" s="85"/>
      <c r="AH688" s="85"/>
      <c r="AI688" s="85"/>
      <c r="AJ688" s="85"/>
      <c r="AK688" s="85"/>
      <c r="AL688" s="85"/>
      <c r="AM688" s="85"/>
      <c r="AN688" s="85"/>
      <c r="AO688" s="85"/>
      <c r="AP688" s="85"/>
      <c r="AQ688" s="85"/>
      <c r="AR688" s="85"/>
      <c r="AS688" s="85"/>
      <c r="AT688" s="85"/>
      <c r="AU688" s="85"/>
      <c r="AV688" s="85"/>
      <c r="AW688" s="85"/>
      <c r="AX688" s="85"/>
      <c r="AY688" s="85"/>
      <c r="AZ688" s="85"/>
      <c r="BA688" s="85"/>
      <c r="BB688" s="85"/>
      <c r="BC688" s="85"/>
    </row>
    <row r="689" spans="1:55" ht="15.75" customHeight="1">
      <c r="A689" s="104"/>
      <c r="B689" s="85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  <c r="AA689" s="85"/>
      <c r="AB689" s="85"/>
      <c r="AC689" s="85"/>
      <c r="AD689" s="85"/>
      <c r="AE689" s="85"/>
      <c r="AF689" s="85"/>
      <c r="AG689" s="85"/>
      <c r="AH689" s="85"/>
      <c r="AI689" s="85"/>
      <c r="AJ689" s="85"/>
      <c r="AK689" s="85"/>
      <c r="AL689" s="85"/>
      <c r="AM689" s="85"/>
      <c r="AN689" s="85"/>
      <c r="AO689" s="85"/>
      <c r="AP689" s="85"/>
      <c r="AQ689" s="85"/>
      <c r="AR689" s="85"/>
      <c r="AS689" s="85"/>
      <c r="AT689" s="85"/>
      <c r="AU689" s="85"/>
      <c r="AV689" s="85"/>
      <c r="AW689" s="85"/>
      <c r="AX689" s="85"/>
      <c r="AY689" s="85"/>
      <c r="AZ689" s="85"/>
      <c r="BA689" s="85"/>
      <c r="BB689" s="85"/>
      <c r="BC689" s="85"/>
    </row>
    <row r="690" spans="1:55" ht="15.75" customHeight="1">
      <c r="A690" s="104"/>
      <c r="B690" s="85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  <c r="AA690" s="85"/>
      <c r="AB690" s="85"/>
      <c r="AC690" s="85"/>
      <c r="AD690" s="85"/>
      <c r="AE690" s="85"/>
      <c r="AF690" s="85"/>
      <c r="AG690" s="85"/>
      <c r="AH690" s="85"/>
      <c r="AI690" s="85"/>
      <c r="AJ690" s="85"/>
      <c r="AK690" s="85"/>
      <c r="AL690" s="85"/>
      <c r="AM690" s="85"/>
      <c r="AN690" s="85"/>
      <c r="AO690" s="85"/>
      <c r="AP690" s="85"/>
      <c r="AQ690" s="85"/>
      <c r="AR690" s="85"/>
      <c r="AS690" s="85"/>
      <c r="AT690" s="85"/>
      <c r="AU690" s="85"/>
      <c r="AV690" s="85"/>
      <c r="AW690" s="85"/>
      <c r="AX690" s="85"/>
      <c r="AY690" s="85"/>
      <c r="AZ690" s="85"/>
      <c r="BA690" s="85"/>
      <c r="BB690" s="85"/>
      <c r="BC690" s="85"/>
    </row>
    <row r="691" spans="1:55" ht="15.75" customHeight="1">
      <c r="A691" s="104"/>
      <c r="B691" s="85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  <c r="AA691" s="85"/>
      <c r="AB691" s="85"/>
      <c r="AC691" s="85"/>
      <c r="AD691" s="85"/>
      <c r="AE691" s="85"/>
      <c r="AF691" s="85"/>
      <c r="AG691" s="85"/>
      <c r="AH691" s="85"/>
      <c r="AI691" s="85"/>
      <c r="AJ691" s="85"/>
      <c r="AK691" s="85"/>
      <c r="AL691" s="85"/>
      <c r="AM691" s="85"/>
      <c r="AN691" s="85"/>
      <c r="AO691" s="85"/>
      <c r="AP691" s="85"/>
      <c r="AQ691" s="85"/>
      <c r="AR691" s="85"/>
      <c r="AS691" s="85"/>
      <c r="AT691" s="85"/>
      <c r="AU691" s="85"/>
      <c r="AV691" s="85"/>
      <c r="AW691" s="85"/>
      <c r="AX691" s="85"/>
      <c r="AY691" s="85"/>
      <c r="AZ691" s="85"/>
      <c r="BA691" s="85"/>
      <c r="BB691" s="85"/>
      <c r="BC691" s="85"/>
    </row>
    <row r="692" spans="1:55" ht="15.75" customHeight="1">
      <c r="A692" s="104"/>
      <c r="B692" s="85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  <c r="AA692" s="85"/>
      <c r="AB692" s="85"/>
      <c r="AC692" s="85"/>
      <c r="AD692" s="85"/>
      <c r="AE692" s="85"/>
      <c r="AF692" s="85"/>
      <c r="AG692" s="85"/>
      <c r="AH692" s="85"/>
      <c r="AI692" s="85"/>
      <c r="AJ692" s="85"/>
      <c r="AK692" s="85"/>
      <c r="AL692" s="85"/>
      <c r="AM692" s="85"/>
      <c r="AN692" s="85"/>
      <c r="AO692" s="85"/>
      <c r="AP692" s="85"/>
      <c r="AQ692" s="85"/>
      <c r="AR692" s="85"/>
      <c r="AS692" s="85"/>
      <c r="AT692" s="85"/>
      <c r="AU692" s="85"/>
      <c r="AV692" s="85"/>
      <c r="AW692" s="85"/>
      <c r="AX692" s="85"/>
      <c r="AY692" s="85"/>
      <c r="AZ692" s="85"/>
      <c r="BA692" s="85"/>
      <c r="BB692" s="85"/>
      <c r="BC692" s="85"/>
    </row>
    <row r="693" spans="1:55" ht="15.75" customHeight="1">
      <c r="A693" s="104"/>
      <c r="B693" s="85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  <c r="AA693" s="85"/>
      <c r="AB693" s="85"/>
      <c r="AC693" s="85"/>
      <c r="AD693" s="85"/>
      <c r="AE693" s="85"/>
      <c r="AF693" s="85"/>
      <c r="AG693" s="85"/>
      <c r="AH693" s="85"/>
      <c r="AI693" s="85"/>
      <c r="AJ693" s="85"/>
      <c r="AK693" s="85"/>
      <c r="AL693" s="85"/>
      <c r="AM693" s="85"/>
      <c r="AN693" s="85"/>
      <c r="AO693" s="85"/>
      <c r="AP693" s="85"/>
      <c r="AQ693" s="85"/>
      <c r="AR693" s="85"/>
      <c r="AS693" s="85"/>
      <c r="AT693" s="85"/>
      <c r="AU693" s="85"/>
      <c r="AV693" s="85"/>
      <c r="AW693" s="85"/>
      <c r="AX693" s="85"/>
      <c r="AY693" s="85"/>
      <c r="AZ693" s="85"/>
      <c r="BA693" s="85"/>
      <c r="BB693" s="85"/>
      <c r="BC693" s="85"/>
    </row>
    <row r="694" spans="1:55" ht="15.75" customHeight="1">
      <c r="A694" s="104"/>
      <c r="B694" s="85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  <c r="AA694" s="85"/>
      <c r="AB694" s="85"/>
      <c r="AC694" s="85"/>
      <c r="AD694" s="85"/>
      <c r="AE694" s="85"/>
      <c r="AF694" s="85"/>
      <c r="AG694" s="85"/>
      <c r="AH694" s="85"/>
      <c r="AI694" s="85"/>
      <c r="AJ694" s="85"/>
      <c r="AK694" s="85"/>
      <c r="AL694" s="85"/>
      <c r="AM694" s="85"/>
      <c r="AN694" s="85"/>
      <c r="AO694" s="85"/>
      <c r="AP694" s="85"/>
      <c r="AQ694" s="85"/>
      <c r="AR694" s="85"/>
      <c r="AS694" s="85"/>
      <c r="AT694" s="85"/>
      <c r="AU694" s="85"/>
      <c r="AV694" s="85"/>
      <c r="AW694" s="85"/>
      <c r="AX694" s="85"/>
      <c r="AY694" s="85"/>
      <c r="AZ694" s="85"/>
      <c r="BA694" s="85"/>
      <c r="BB694" s="85"/>
      <c r="BC694" s="85"/>
    </row>
    <row r="695" spans="1:55" ht="15.75" customHeight="1">
      <c r="A695" s="104"/>
      <c r="B695" s="85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  <c r="AA695" s="85"/>
      <c r="AB695" s="85"/>
      <c r="AC695" s="85"/>
      <c r="AD695" s="85"/>
      <c r="AE695" s="85"/>
      <c r="AF695" s="85"/>
      <c r="AG695" s="85"/>
      <c r="AH695" s="85"/>
      <c r="AI695" s="85"/>
      <c r="AJ695" s="85"/>
      <c r="AK695" s="85"/>
      <c r="AL695" s="85"/>
      <c r="AM695" s="85"/>
      <c r="AN695" s="85"/>
      <c r="AO695" s="85"/>
      <c r="AP695" s="85"/>
      <c r="AQ695" s="85"/>
      <c r="AR695" s="85"/>
      <c r="AS695" s="85"/>
      <c r="AT695" s="85"/>
      <c r="AU695" s="85"/>
      <c r="AV695" s="85"/>
      <c r="AW695" s="85"/>
      <c r="AX695" s="85"/>
      <c r="AY695" s="85"/>
      <c r="AZ695" s="85"/>
      <c r="BA695" s="85"/>
      <c r="BB695" s="85"/>
      <c r="BC695" s="85"/>
    </row>
    <row r="696" spans="1:55" ht="15.75" customHeight="1">
      <c r="A696" s="104"/>
      <c r="B696" s="85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  <c r="AA696" s="85"/>
      <c r="AB696" s="85"/>
      <c r="AC696" s="85"/>
      <c r="AD696" s="85"/>
      <c r="AE696" s="85"/>
      <c r="AF696" s="85"/>
      <c r="AG696" s="85"/>
      <c r="AH696" s="85"/>
      <c r="AI696" s="85"/>
      <c r="AJ696" s="85"/>
      <c r="AK696" s="85"/>
      <c r="AL696" s="85"/>
      <c r="AM696" s="85"/>
      <c r="AN696" s="85"/>
      <c r="AO696" s="85"/>
      <c r="AP696" s="85"/>
      <c r="AQ696" s="85"/>
      <c r="AR696" s="85"/>
      <c r="AS696" s="85"/>
      <c r="AT696" s="85"/>
      <c r="AU696" s="85"/>
      <c r="AV696" s="85"/>
      <c r="AW696" s="85"/>
      <c r="AX696" s="85"/>
      <c r="AY696" s="85"/>
      <c r="AZ696" s="85"/>
      <c r="BA696" s="85"/>
      <c r="BB696" s="85"/>
      <c r="BC696" s="85"/>
    </row>
    <row r="697" spans="1:55" ht="15.75" customHeight="1">
      <c r="A697" s="104"/>
      <c r="B697" s="85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  <c r="AA697" s="85"/>
      <c r="AB697" s="85"/>
      <c r="AC697" s="85"/>
      <c r="AD697" s="85"/>
      <c r="AE697" s="85"/>
      <c r="AF697" s="85"/>
      <c r="AG697" s="85"/>
      <c r="AH697" s="85"/>
      <c r="AI697" s="85"/>
      <c r="AJ697" s="85"/>
      <c r="AK697" s="85"/>
      <c r="AL697" s="85"/>
      <c r="AM697" s="85"/>
      <c r="AN697" s="85"/>
      <c r="AO697" s="85"/>
      <c r="AP697" s="85"/>
      <c r="AQ697" s="85"/>
      <c r="AR697" s="85"/>
      <c r="AS697" s="85"/>
      <c r="AT697" s="85"/>
      <c r="AU697" s="85"/>
      <c r="AV697" s="85"/>
      <c r="AW697" s="85"/>
      <c r="AX697" s="85"/>
      <c r="AY697" s="85"/>
      <c r="AZ697" s="85"/>
      <c r="BA697" s="85"/>
      <c r="BB697" s="85"/>
      <c r="BC697" s="85"/>
    </row>
    <row r="698" spans="1:55" ht="15.75" customHeight="1">
      <c r="A698" s="104"/>
      <c r="B698" s="85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  <c r="AA698" s="85"/>
      <c r="AB698" s="85"/>
      <c r="AC698" s="85"/>
      <c r="AD698" s="85"/>
      <c r="AE698" s="85"/>
      <c r="AF698" s="85"/>
      <c r="AG698" s="85"/>
      <c r="AH698" s="85"/>
      <c r="AI698" s="85"/>
      <c r="AJ698" s="85"/>
      <c r="AK698" s="85"/>
      <c r="AL698" s="85"/>
      <c r="AM698" s="85"/>
      <c r="AN698" s="85"/>
      <c r="AO698" s="85"/>
      <c r="AP698" s="85"/>
      <c r="AQ698" s="85"/>
      <c r="AR698" s="85"/>
      <c r="AS698" s="85"/>
      <c r="AT698" s="85"/>
      <c r="AU698" s="85"/>
      <c r="AV698" s="85"/>
      <c r="AW698" s="85"/>
      <c r="AX698" s="85"/>
      <c r="AY698" s="85"/>
      <c r="AZ698" s="85"/>
      <c r="BA698" s="85"/>
      <c r="BB698" s="85"/>
      <c r="BC698" s="85"/>
    </row>
    <row r="699" spans="1:55" ht="15.75" customHeight="1">
      <c r="A699" s="104"/>
      <c r="B699" s="85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  <c r="AA699" s="85"/>
      <c r="AB699" s="85"/>
      <c r="AC699" s="85"/>
      <c r="AD699" s="85"/>
      <c r="AE699" s="85"/>
      <c r="AF699" s="85"/>
      <c r="AG699" s="85"/>
      <c r="AH699" s="85"/>
      <c r="AI699" s="85"/>
      <c r="AJ699" s="85"/>
      <c r="AK699" s="85"/>
      <c r="AL699" s="85"/>
      <c r="AM699" s="85"/>
      <c r="AN699" s="85"/>
      <c r="AO699" s="85"/>
      <c r="AP699" s="85"/>
      <c r="AQ699" s="85"/>
      <c r="AR699" s="85"/>
      <c r="AS699" s="85"/>
      <c r="AT699" s="85"/>
      <c r="AU699" s="85"/>
      <c r="AV699" s="85"/>
      <c r="AW699" s="85"/>
      <c r="AX699" s="85"/>
      <c r="AY699" s="85"/>
      <c r="AZ699" s="85"/>
      <c r="BA699" s="85"/>
      <c r="BB699" s="85"/>
      <c r="BC699" s="85"/>
    </row>
    <row r="700" spans="1:55" ht="15.75" customHeight="1">
      <c r="A700" s="104"/>
      <c r="B700" s="85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  <c r="AA700" s="85"/>
      <c r="AB700" s="85"/>
      <c r="AC700" s="85"/>
      <c r="AD700" s="85"/>
      <c r="AE700" s="85"/>
      <c r="AF700" s="85"/>
      <c r="AG700" s="85"/>
      <c r="AH700" s="85"/>
      <c r="AI700" s="85"/>
      <c r="AJ700" s="85"/>
      <c r="AK700" s="85"/>
      <c r="AL700" s="85"/>
      <c r="AM700" s="85"/>
      <c r="AN700" s="85"/>
      <c r="AO700" s="85"/>
      <c r="AP700" s="85"/>
      <c r="AQ700" s="85"/>
      <c r="AR700" s="85"/>
      <c r="AS700" s="85"/>
      <c r="AT700" s="85"/>
      <c r="AU700" s="85"/>
      <c r="AV700" s="85"/>
      <c r="AW700" s="85"/>
      <c r="AX700" s="85"/>
      <c r="AY700" s="85"/>
      <c r="AZ700" s="85"/>
      <c r="BA700" s="85"/>
      <c r="BB700" s="85"/>
      <c r="BC700" s="85"/>
    </row>
    <row r="701" spans="1:55" ht="15.75" customHeight="1">
      <c r="A701" s="104"/>
      <c r="B701" s="85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  <c r="AA701" s="85"/>
      <c r="AB701" s="85"/>
      <c r="AC701" s="85"/>
      <c r="AD701" s="85"/>
      <c r="AE701" s="85"/>
      <c r="AF701" s="85"/>
      <c r="AG701" s="85"/>
      <c r="AH701" s="85"/>
      <c r="AI701" s="85"/>
      <c r="AJ701" s="85"/>
      <c r="AK701" s="85"/>
      <c r="AL701" s="85"/>
      <c r="AM701" s="85"/>
      <c r="AN701" s="85"/>
      <c r="AO701" s="85"/>
      <c r="AP701" s="85"/>
      <c r="AQ701" s="85"/>
      <c r="AR701" s="85"/>
      <c r="AS701" s="85"/>
      <c r="AT701" s="85"/>
      <c r="AU701" s="85"/>
      <c r="AV701" s="85"/>
      <c r="AW701" s="85"/>
      <c r="AX701" s="85"/>
      <c r="AY701" s="85"/>
      <c r="AZ701" s="85"/>
      <c r="BA701" s="85"/>
      <c r="BB701" s="85"/>
      <c r="BC701" s="85"/>
    </row>
    <row r="702" spans="1:55" ht="15.75" customHeight="1">
      <c r="A702" s="104"/>
      <c r="B702" s="85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  <c r="AA702" s="85"/>
      <c r="AB702" s="85"/>
      <c r="AC702" s="85"/>
      <c r="AD702" s="85"/>
      <c r="AE702" s="85"/>
      <c r="AF702" s="85"/>
      <c r="AG702" s="85"/>
      <c r="AH702" s="85"/>
      <c r="AI702" s="85"/>
      <c r="AJ702" s="85"/>
      <c r="AK702" s="85"/>
      <c r="AL702" s="85"/>
      <c r="AM702" s="85"/>
      <c r="AN702" s="85"/>
      <c r="AO702" s="85"/>
      <c r="AP702" s="85"/>
      <c r="AQ702" s="85"/>
      <c r="AR702" s="85"/>
      <c r="AS702" s="85"/>
      <c r="AT702" s="85"/>
      <c r="AU702" s="85"/>
      <c r="AV702" s="85"/>
      <c r="AW702" s="85"/>
      <c r="AX702" s="85"/>
      <c r="AY702" s="85"/>
      <c r="AZ702" s="85"/>
      <c r="BA702" s="85"/>
      <c r="BB702" s="85"/>
      <c r="BC702" s="85"/>
    </row>
    <row r="703" spans="1:55" ht="15.75" customHeight="1">
      <c r="A703" s="104"/>
      <c r="B703" s="85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  <c r="AA703" s="85"/>
      <c r="AB703" s="85"/>
      <c r="AC703" s="85"/>
      <c r="AD703" s="85"/>
      <c r="AE703" s="85"/>
      <c r="AF703" s="85"/>
      <c r="AG703" s="85"/>
      <c r="AH703" s="85"/>
      <c r="AI703" s="85"/>
      <c r="AJ703" s="85"/>
      <c r="AK703" s="85"/>
      <c r="AL703" s="85"/>
      <c r="AM703" s="85"/>
      <c r="AN703" s="85"/>
      <c r="AO703" s="85"/>
      <c r="AP703" s="85"/>
      <c r="AQ703" s="85"/>
      <c r="AR703" s="85"/>
      <c r="AS703" s="85"/>
      <c r="AT703" s="85"/>
      <c r="AU703" s="85"/>
      <c r="AV703" s="85"/>
      <c r="AW703" s="85"/>
      <c r="AX703" s="85"/>
      <c r="AY703" s="85"/>
      <c r="AZ703" s="85"/>
      <c r="BA703" s="85"/>
      <c r="BB703" s="85"/>
      <c r="BC703" s="85"/>
    </row>
    <row r="704" spans="1:55" ht="15.75" customHeight="1">
      <c r="A704" s="104"/>
      <c r="B704" s="85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  <c r="AA704" s="85"/>
      <c r="AB704" s="85"/>
      <c r="AC704" s="85"/>
      <c r="AD704" s="85"/>
      <c r="AE704" s="85"/>
      <c r="AF704" s="85"/>
      <c r="AG704" s="85"/>
      <c r="AH704" s="85"/>
      <c r="AI704" s="85"/>
      <c r="AJ704" s="85"/>
      <c r="AK704" s="85"/>
      <c r="AL704" s="85"/>
      <c r="AM704" s="85"/>
      <c r="AN704" s="85"/>
      <c r="AO704" s="85"/>
      <c r="AP704" s="85"/>
      <c r="AQ704" s="85"/>
      <c r="AR704" s="85"/>
      <c r="AS704" s="85"/>
      <c r="AT704" s="85"/>
      <c r="AU704" s="85"/>
      <c r="AV704" s="85"/>
      <c r="AW704" s="85"/>
      <c r="AX704" s="85"/>
      <c r="AY704" s="85"/>
      <c r="AZ704" s="85"/>
      <c r="BA704" s="85"/>
      <c r="BB704" s="85"/>
      <c r="BC704" s="85"/>
    </row>
    <row r="705" spans="1:55" ht="15.75" customHeight="1">
      <c r="A705" s="104"/>
      <c r="B705" s="85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  <c r="AA705" s="85"/>
      <c r="AB705" s="85"/>
      <c r="AC705" s="85"/>
      <c r="AD705" s="85"/>
      <c r="AE705" s="85"/>
      <c r="AF705" s="85"/>
      <c r="AG705" s="85"/>
      <c r="AH705" s="85"/>
      <c r="AI705" s="85"/>
      <c r="AJ705" s="85"/>
      <c r="AK705" s="85"/>
      <c r="AL705" s="85"/>
      <c r="AM705" s="85"/>
      <c r="AN705" s="85"/>
      <c r="AO705" s="85"/>
      <c r="AP705" s="85"/>
      <c r="AQ705" s="85"/>
      <c r="AR705" s="85"/>
      <c r="AS705" s="85"/>
      <c r="AT705" s="85"/>
      <c r="AU705" s="85"/>
      <c r="AV705" s="85"/>
      <c r="AW705" s="85"/>
      <c r="AX705" s="85"/>
      <c r="AY705" s="85"/>
      <c r="AZ705" s="85"/>
      <c r="BA705" s="85"/>
      <c r="BB705" s="85"/>
      <c r="BC705" s="85"/>
    </row>
    <row r="706" spans="1:55" ht="15.75" customHeight="1">
      <c r="A706" s="104"/>
      <c r="B706" s="85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  <c r="AA706" s="85"/>
      <c r="AB706" s="85"/>
      <c r="AC706" s="85"/>
      <c r="AD706" s="85"/>
      <c r="AE706" s="85"/>
      <c r="AF706" s="85"/>
      <c r="AG706" s="85"/>
      <c r="AH706" s="85"/>
      <c r="AI706" s="85"/>
      <c r="AJ706" s="85"/>
      <c r="AK706" s="85"/>
      <c r="AL706" s="85"/>
      <c r="AM706" s="85"/>
      <c r="AN706" s="85"/>
      <c r="AO706" s="85"/>
      <c r="AP706" s="85"/>
      <c r="AQ706" s="85"/>
      <c r="AR706" s="85"/>
      <c r="AS706" s="85"/>
      <c r="AT706" s="85"/>
      <c r="AU706" s="85"/>
      <c r="AV706" s="85"/>
      <c r="AW706" s="85"/>
      <c r="AX706" s="85"/>
      <c r="AY706" s="85"/>
      <c r="AZ706" s="85"/>
      <c r="BA706" s="85"/>
      <c r="BB706" s="85"/>
      <c r="BC706" s="85"/>
    </row>
    <row r="707" spans="1:55" ht="15.75" customHeight="1">
      <c r="A707" s="104"/>
      <c r="B707" s="85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  <c r="AA707" s="85"/>
      <c r="AB707" s="85"/>
      <c r="AC707" s="85"/>
      <c r="AD707" s="85"/>
      <c r="AE707" s="85"/>
      <c r="AF707" s="85"/>
      <c r="AG707" s="85"/>
      <c r="AH707" s="85"/>
      <c r="AI707" s="85"/>
      <c r="AJ707" s="85"/>
      <c r="AK707" s="85"/>
      <c r="AL707" s="85"/>
      <c r="AM707" s="85"/>
      <c r="AN707" s="85"/>
      <c r="AO707" s="85"/>
      <c r="AP707" s="85"/>
      <c r="AQ707" s="85"/>
      <c r="AR707" s="85"/>
      <c r="AS707" s="85"/>
      <c r="AT707" s="85"/>
      <c r="AU707" s="85"/>
      <c r="AV707" s="85"/>
      <c r="AW707" s="85"/>
      <c r="AX707" s="85"/>
      <c r="AY707" s="85"/>
      <c r="AZ707" s="85"/>
      <c r="BA707" s="85"/>
      <c r="BB707" s="85"/>
      <c r="BC707" s="85"/>
    </row>
    <row r="708" spans="1:55" ht="15.75" customHeight="1">
      <c r="A708" s="104"/>
      <c r="B708" s="85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  <c r="AA708" s="85"/>
      <c r="AB708" s="85"/>
      <c r="AC708" s="85"/>
      <c r="AD708" s="85"/>
      <c r="AE708" s="85"/>
      <c r="AF708" s="85"/>
      <c r="AG708" s="85"/>
      <c r="AH708" s="85"/>
      <c r="AI708" s="85"/>
      <c r="AJ708" s="85"/>
      <c r="AK708" s="85"/>
      <c r="AL708" s="85"/>
      <c r="AM708" s="85"/>
      <c r="AN708" s="85"/>
      <c r="AO708" s="85"/>
      <c r="AP708" s="85"/>
      <c r="AQ708" s="85"/>
      <c r="AR708" s="85"/>
      <c r="AS708" s="85"/>
      <c r="AT708" s="85"/>
      <c r="AU708" s="85"/>
      <c r="AV708" s="85"/>
      <c r="AW708" s="85"/>
      <c r="AX708" s="85"/>
      <c r="AY708" s="85"/>
      <c r="AZ708" s="85"/>
      <c r="BA708" s="85"/>
      <c r="BB708" s="85"/>
      <c r="BC708" s="85"/>
    </row>
    <row r="709" spans="1:55" ht="15.75" customHeight="1">
      <c r="A709" s="104"/>
      <c r="B709" s="85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  <c r="AA709" s="85"/>
      <c r="AB709" s="85"/>
      <c r="AC709" s="85"/>
      <c r="AD709" s="85"/>
      <c r="AE709" s="85"/>
      <c r="AF709" s="85"/>
      <c r="AG709" s="85"/>
      <c r="AH709" s="85"/>
      <c r="AI709" s="85"/>
      <c r="AJ709" s="85"/>
      <c r="AK709" s="85"/>
      <c r="AL709" s="85"/>
      <c r="AM709" s="85"/>
      <c r="AN709" s="85"/>
      <c r="AO709" s="85"/>
      <c r="AP709" s="85"/>
      <c r="AQ709" s="85"/>
      <c r="AR709" s="85"/>
      <c r="AS709" s="85"/>
      <c r="AT709" s="85"/>
      <c r="AU709" s="85"/>
      <c r="AV709" s="85"/>
      <c r="AW709" s="85"/>
      <c r="AX709" s="85"/>
      <c r="AY709" s="85"/>
      <c r="AZ709" s="85"/>
      <c r="BA709" s="85"/>
      <c r="BB709" s="85"/>
      <c r="BC709" s="85"/>
    </row>
    <row r="710" spans="1:55" ht="15.75" customHeight="1">
      <c r="A710" s="104"/>
      <c r="B710" s="85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  <c r="AA710" s="85"/>
      <c r="AB710" s="85"/>
      <c r="AC710" s="85"/>
      <c r="AD710" s="85"/>
      <c r="AE710" s="85"/>
      <c r="AF710" s="85"/>
      <c r="AG710" s="85"/>
      <c r="AH710" s="85"/>
      <c r="AI710" s="85"/>
      <c r="AJ710" s="85"/>
      <c r="AK710" s="85"/>
      <c r="AL710" s="85"/>
      <c r="AM710" s="85"/>
      <c r="AN710" s="85"/>
      <c r="AO710" s="85"/>
      <c r="AP710" s="85"/>
      <c r="AQ710" s="85"/>
      <c r="AR710" s="85"/>
      <c r="AS710" s="85"/>
      <c r="AT710" s="85"/>
      <c r="AU710" s="85"/>
      <c r="AV710" s="85"/>
      <c r="AW710" s="85"/>
      <c r="AX710" s="85"/>
      <c r="AY710" s="85"/>
      <c r="AZ710" s="85"/>
      <c r="BA710" s="85"/>
      <c r="BB710" s="85"/>
      <c r="BC710" s="85"/>
    </row>
    <row r="711" spans="1:55" ht="15.75" customHeight="1">
      <c r="A711" s="104"/>
      <c r="B711" s="85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  <c r="AA711" s="85"/>
      <c r="AB711" s="85"/>
      <c r="AC711" s="85"/>
      <c r="AD711" s="85"/>
      <c r="AE711" s="85"/>
      <c r="AF711" s="85"/>
      <c r="AG711" s="85"/>
      <c r="AH711" s="85"/>
      <c r="AI711" s="85"/>
      <c r="AJ711" s="85"/>
      <c r="AK711" s="85"/>
      <c r="AL711" s="85"/>
      <c r="AM711" s="85"/>
      <c r="AN711" s="85"/>
      <c r="AO711" s="85"/>
      <c r="AP711" s="85"/>
      <c r="AQ711" s="85"/>
      <c r="AR711" s="85"/>
      <c r="AS711" s="85"/>
      <c r="AT711" s="85"/>
      <c r="AU711" s="85"/>
      <c r="AV711" s="85"/>
      <c r="AW711" s="85"/>
      <c r="AX711" s="85"/>
      <c r="AY711" s="85"/>
      <c r="AZ711" s="85"/>
      <c r="BA711" s="85"/>
      <c r="BB711" s="85"/>
      <c r="BC711" s="85"/>
    </row>
    <row r="712" spans="1:55" ht="15.75" customHeight="1">
      <c r="A712" s="104"/>
      <c r="B712" s="85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  <c r="AA712" s="85"/>
      <c r="AB712" s="85"/>
      <c r="AC712" s="85"/>
      <c r="AD712" s="85"/>
      <c r="AE712" s="85"/>
      <c r="AF712" s="85"/>
      <c r="AG712" s="85"/>
      <c r="AH712" s="85"/>
      <c r="AI712" s="85"/>
      <c r="AJ712" s="85"/>
      <c r="AK712" s="85"/>
      <c r="AL712" s="85"/>
      <c r="AM712" s="85"/>
      <c r="AN712" s="85"/>
      <c r="AO712" s="85"/>
      <c r="AP712" s="85"/>
      <c r="AQ712" s="85"/>
      <c r="AR712" s="85"/>
      <c r="AS712" s="85"/>
      <c r="AT712" s="85"/>
      <c r="AU712" s="85"/>
      <c r="AV712" s="85"/>
      <c r="AW712" s="85"/>
      <c r="AX712" s="85"/>
      <c r="AY712" s="85"/>
      <c r="AZ712" s="85"/>
      <c r="BA712" s="85"/>
      <c r="BB712" s="85"/>
      <c r="BC712" s="85"/>
    </row>
    <row r="713" spans="1:55" ht="15.75" customHeight="1">
      <c r="A713" s="104"/>
      <c r="B713" s="85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  <c r="AA713" s="85"/>
      <c r="AB713" s="85"/>
      <c r="AC713" s="85"/>
      <c r="AD713" s="85"/>
      <c r="AE713" s="85"/>
      <c r="AF713" s="85"/>
      <c r="AG713" s="85"/>
      <c r="AH713" s="85"/>
      <c r="AI713" s="85"/>
      <c r="AJ713" s="85"/>
      <c r="AK713" s="85"/>
      <c r="AL713" s="85"/>
      <c r="AM713" s="85"/>
      <c r="AN713" s="85"/>
      <c r="AO713" s="85"/>
      <c r="AP713" s="85"/>
      <c r="AQ713" s="85"/>
      <c r="AR713" s="85"/>
      <c r="AS713" s="85"/>
      <c r="AT713" s="85"/>
      <c r="AU713" s="85"/>
      <c r="AV713" s="85"/>
      <c r="AW713" s="85"/>
      <c r="AX713" s="85"/>
      <c r="AY713" s="85"/>
      <c r="AZ713" s="85"/>
      <c r="BA713" s="85"/>
      <c r="BB713" s="85"/>
      <c r="BC713" s="85"/>
    </row>
    <row r="714" spans="1:55" ht="15.75" customHeight="1">
      <c r="A714" s="104"/>
      <c r="B714" s="85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  <c r="AA714" s="85"/>
      <c r="AB714" s="85"/>
      <c r="AC714" s="85"/>
      <c r="AD714" s="85"/>
      <c r="AE714" s="85"/>
      <c r="AF714" s="85"/>
      <c r="AG714" s="85"/>
      <c r="AH714" s="85"/>
      <c r="AI714" s="85"/>
      <c r="AJ714" s="85"/>
      <c r="AK714" s="85"/>
      <c r="AL714" s="85"/>
      <c r="AM714" s="85"/>
      <c r="AN714" s="85"/>
      <c r="AO714" s="85"/>
      <c r="AP714" s="85"/>
      <c r="AQ714" s="85"/>
      <c r="AR714" s="85"/>
      <c r="AS714" s="85"/>
      <c r="AT714" s="85"/>
      <c r="AU714" s="85"/>
      <c r="AV714" s="85"/>
      <c r="AW714" s="85"/>
      <c r="AX714" s="85"/>
      <c r="AY714" s="85"/>
      <c r="AZ714" s="85"/>
      <c r="BA714" s="85"/>
      <c r="BB714" s="85"/>
      <c r="BC714" s="85"/>
    </row>
    <row r="715" spans="1:55" ht="15.75" customHeight="1">
      <c r="A715" s="104"/>
      <c r="B715" s="85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  <c r="AA715" s="85"/>
      <c r="AB715" s="85"/>
      <c r="AC715" s="85"/>
      <c r="AD715" s="85"/>
      <c r="AE715" s="85"/>
      <c r="AF715" s="85"/>
      <c r="AG715" s="85"/>
      <c r="AH715" s="85"/>
      <c r="AI715" s="85"/>
      <c r="AJ715" s="85"/>
      <c r="AK715" s="85"/>
      <c r="AL715" s="85"/>
      <c r="AM715" s="85"/>
      <c r="AN715" s="85"/>
      <c r="AO715" s="85"/>
      <c r="AP715" s="85"/>
      <c r="AQ715" s="85"/>
      <c r="AR715" s="85"/>
      <c r="AS715" s="85"/>
      <c r="AT715" s="85"/>
      <c r="AU715" s="85"/>
      <c r="AV715" s="85"/>
      <c r="AW715" s="85"/>
      <c r="AX715" s="85"/>
      <c r="AY715" s="85"/>
      <c r="AZ715" s="85"/>
      <c r="BA715" s="85"/>
      <c r="BB715" s="85"/>
      <c r="BC715" s="85"/>
    </row>
    <row r="716" spans="1:55" ht="15.75" customHeight="1">
      <c r="A716" s="104"/>
      <c r="B716" s="85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  <c r="AA716" s="85"/>
      <c r="AB716" s="85"/>
      <c r="AC716" s="85"/>
      <c r="AD716" s="85"/>
      <c r="AE716" s="85"/>
      <c r="AF716" s="85"/>
      <c r="AG716" s="85"/>
      <c r="AH716" s="85"/>
      <c r="AI716" s="85"/>
      <c r="AJ716" s="85"/>
      <c r="AK716" s="85"/>
      <c r="AL716" s="85"/>
      <c r="AM716" s="85"/>
      <c r="AN716" s="85"/>
      <c r="AO716" s="85"/>
      <c r="AP716" s="85"/>
      <c r="AQ716" s="85"/>
      <c r="AR716" s="85"/>
      <c r="AS716" s="85"/>
      <c r="AT716" s="85"/>
      <c r="AU716" s="85"/>
      <c r="AV716" s="85"/>
      <c r="AW716" s="85"/>
      <c r="AX716" s="85"/>
      <c r="AY716" s="85"/>
      <c r="AZ716" s="85"/>
      <c r="BA716" s="85"/>
      <c r="BB716" s="85"/>
      <c r="BC716" s="85"/>
    </row>
    <row r="717" spans="1:55" ht="15.75" customHeight="1">
      <c r="A717" s="104"/>
      <c r="B717" s="85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  <c r="AA717" s="85"/>
      <c r="AB717" s="85"/>
      <c r="AC717" s="85"/>
      <c r="AD717" s="85"/>
      <c r="AE717" s="85"/>
      <c r="AF717" s="85"/>
      <c r="AG717" s="85"/>
      <c r="AH717" s="85"/>
      <c r="AI717" s="85"/>
      <c r="AJ717" s="85"/>
      <c r="AK717" s="85"/>
      <c r="AL717" s="85"/>
      <c r="AM717" s="85"/>
      <c r="AN717" s="85"/>
      <c r="AO717" s="85"/>
      <c r="AP717" s="85"/>
      <c r="AQ717" s="85"/>
      <c r="AR717" s="85"/>
      <c r="AS717" s="85"/>
      <c r="AT717" s="85"/>
      <c r="AU717" s="85"/>
      <c r="AV717" s="85"/>
      <c r="AW717" s="85"/>
      <c r="AX717" s="85"/>
      <c r="AY717" s="85"/>
      <c r="AZ717" s="85"/>
      <c r="BA717" s="85"/>
      <c r="BB717" s="85"/>
      <c r="BC717" s="85"/>
    </row>
    <row r="718" spans="1:55" ht="15.75" customHeight="1">
      <c r="A718" s="104"/>
      <c r="B718" s="85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  <c r="AA718" s="85"/>
      <c r="AB718" s="85"/>
      <c r="AC718" s="85"/>
      <c r="AD718" s="85"/>
      <c r="AE718" s="85"/>
      <c r="AF718" s="85"/>
      <c r="AG718" s="85"/>
      <c r="AH718" s="85"/>
      <c r="AI718" s="85"/>
      <c r="AJ718" s="85"/>
      <c r="AK718" s="85"/>
      <c r="AL718" s="85"/>
      <c r="AM718" s="85"/>
      <c r="AN718" s="85"/>
      <c r="AO718" s="85"/>
      <c r="AP718" s="85"/>
      <c r="AQ718" s="85"/>
      <c r="AR718" s="85"/>
      <c r="AS718" s="85"/>
      <c r="AT718" s="85"/>
      <c r="AU718" s="85"/>
      <c r="AV718" s="85"/>
      <c r="AW718" s="85"/>
      <c r="AX718" s="85"/>
      <c r="AY718" s="85"/>
      <c r="AZ718" s="85"/>
      <c r="BA718" s="85"/>
      <c r="BB718" s="85"/>
      <c r="BC718" s="85"/>
    </row>
    <row r="719" spans="1:55" ht="15.75" customHeight="1">
      <c r="A719" s="104"/>
      <c r="B719" s="85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  <c r="AA719" s="85"/>
      <c r="AB719" s="85"/>
      <c r="AC719" s="85"/>
      <c r="AD719" s="85"/>
      <c r="AE719" s="85"/>
      <c r="AF719" s="85"/>
      <c r="AG719" s="85"/>
      <c r="AH719" s="85"/>
      <c r="AI719" s="85"/>
      <c r="AJ719" s="85"/>
      <c r="AK719" s="85"/>
      <c r="AL719" s="85"/>
      <c r="AM719" s="85"/>
      <c r="AN719" s="85"/>
      <c r="AO719" s="85"/>
      <c r="AP719" s="85"/>
      <c r="AQ719" s="85"/>
      <c r="AR719" s="85"/>
      <c r="AS719" s="85"/>
      <c r="AT719" s="85"/>
      <c r="AU719" s="85"/>
      <c r="AV719" s="85"/>
      <c r="AW719" s="85"/>
      <c r="AX719" s="85"/>
      <c r="AY719" s="85"/>
      <c r="AZ719" s="85"/>
      <c r="BA719" s="85"/>
      <c r="BB719" s="85"/>
      <c r="BC719" s="85"/>
    </row>
    <row r="720" spans="1:55" ht="15.75" customHeight="1">
      <c r="A720" s="104"/>
      <c r="B720" s="85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  <c r="AA720" s="85"/>
      <c r="AB720" s="85"/>
      <c r="AC720" s="85"/>
      <c r="AD720" s="85"/>
      <c r="AE720" s="85"/>
      <c r="AF720" s="85"/>
      <c r="AG720" s="85"/>
      <c r="AH720" s="85"/>
      <c r="AI720" s="85"/>
      <c r="AJ720" s="85"/>
      <c r="AK720" s="85"/>
      <c r="AL720" s="85"/>
      <c r="AM720" s="85"/>
      <c r="AN720" s="85"/>
      <c r="AO720" s="85"/>
      <c r="AP720" s="85"/>
      <c r="AQ720" s="85"/>
      <c r="AR720" s="85"/>
      <c r="AS720" s="85"/>
      <c r="AT720" s="85"/>
      <c r="AU720" s="85"/>
      <c r="AV720" s="85"/>
      <c r="AW720" s="85"/>
      <c r="AX720" s="85"/>
      <c r="AY720" s="85"/>
      <c r="AZ720" s="85"/>
      <c r="BA720" s="85"/>
      <c r="BB720" s="85"/>
      <c r="BC720" s="85"/>
    </row>
    <row r="721" spans="1:55" ht="15.75" customHeight="1">
      <c r="A721" s="104"/>
      <c r="B721" s="85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  <c r="AA721" s="85"/>
      <c r="AB721" s="85"/>
      <c r="AC721" s="85"/>
      <c r="AD721" s="85"/>
      <c r="AE721" s="85"/>
      <c r="AF721" s="85"/>
      <c r="AG721" s="85"/>
      <c r="AH721" s="85"/>
      <c r="AI721" s="85"/>
      <c r="AJ721" s="85"/>
      <c r="AK721" s="85"/>
      <c r="AL721" s="85"/>
      <c r="AM721" s="85"/>
      <c r="AN721" s="85"/>
      <c r="AO721" s="85"/>
      <c r="AP721" s="85"/>
      <c r="AQ721" s="85"/>
      <c r="AR721" s="85"/>
      <c r="AS721" s="85"/>
      <c r="AT721" s="85"/>
      <c r="AU721" s="85"/>
      <c r="AV721" s="85"/>
      <c r="AW721" s="85"/>
      <c r="AX721" s="85"/>
      <c r="AY721" s="85"/>
      <c r="AZ721" s="85"/>
      <c r="BA721" s="85"/>
      <c r="BB721" s="85"/>
      <c r="BC721" s="85"/>
    </row>
    <row r="722" spans="1:55" ht="15.75" customHeight="1">
      <c r="A722" s="104"/>
      <c r="B722" s="85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  <c r="AA722" s="85"/>
      <c r="AB722" s="85"/>
      <c r="AC722" s="85"/>
      <c r="AD722" s="85"/>
      <c r="AE722" s="85"/>
      <c r="AF722" s="85"/>
      <c r="AG722" s="85"/>
      <c r="AH722" s="85"/>
      <c r="AI722" s="85"/>
      <c r="AJ722" s="85"/>
      <c r="AK722" s="85"/>
      <c r="AL722" s="85"/>
      <c r="AM722" s="85"/>
      <c r="AN722" s="85"/>
      <c r="AO722" s="85"/>
      <c r="AP722" s="85"/>
      <c r="AQ722" s="85"/>
      <c r="AR722" s="85"/>
      <c r="AS722" s="85"/>
      <c r="AT722" s="85"/>
      <c r="AU722" s="85"/>
      <c r="AV722" s="85"/>
      <c r="AW722" s="85"/>
      <c r="AX722" s="85"/>
      <c r="AY722" s="85"/>
      <c r="AZ722" s="85"/>
      <c r="BA722" s="85"/>
      <c r="BB722" s="85"/>
      <c r="BC722" s="85"/>
    </row>
    <row r="723" spans="1:55" ht="15.75" customHeight="1">
      <c r="A723" s="104"/>
      <c r="B723" s="85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  <c r="AA723" s="85"/>
      <c r="AB723" s="85"/>
      <c r="AC723" s="85"/>
      <c r="AD723" s="85"/>
      <c r="AE723" s="85"/>
      <c r="AF723" s="85"/>
      <c r="AG723" s="85"/>
      <c r="AH723" s="85"/>
      <c r="AI723" s="85"/>
      <c r="AJ723" s="85"/>
      <c r="AK723" s="85"/>
      <c r="AL723" s="85"/>
      <c r="AM723" s="85"/>
      <c r="AN723" s="85"/>
      <c r="AO723" s="85"/>
      <c r="AP723" s="85"/>
      <c r="AQ723" s="85"/>
      <c r="AR723" s="85"/>
      <c r="AS723" s="85"/>
      <c r="AT723" s="85"/>
      <c r="AU723" s="85"/>
      <c r="AV723" s="85"/>
      <c r="AW723" s="85"/>
      <c r="AX723" s="85"/>
      <c r="AY723" s="85"/>
      <c r="AZ723" s="85"/>
      <c r="BA723" s="85"/>
      <c r="BB723" s="85"/>
      <c r="BC723" s="85"/>
    </row>
    <row r="724" spans="1:55" ht="15.75" customHeight="1">
      <c r="A724" s="104"/>
      <c r="B724" s="85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  <c r="AA724" s="85"/>
      <c r="AB724" s="85"/>
      <c r="AC724" s="85"/>
      <c r="AD724" s="85"/>
      <c r="AE724" s="85"/>
      <c r="AF724" s="85"/>
      <c r="AG724" s="85"/>
      <c r="AH724" s="85"/>
      <c r="AI724" s="85"/>
      <c r="AJ724" s="85"/>
      <c r="AK724" s="85"/>
      <c r="AL724" s="85"/>
      <c r="AM724" s="85"/>
      <c r="AN724" s="85"/>
      <c r="AO724" s="85"/>
      <c r="AP724" s="85"/>
      <c r="AQ724" s="85"/>
      <c r="AR724" s="85"/>
      <c r="AS724" s="85"/>
      <c r="AT724" s="85"/>
      <c r="AU724" s="85"/>
      <c r="AV724" s="85"/>
      <c r="AW724" s="85"/>
      <c r="AX724" s="85"/>
      <c r="AY724" s="85"/>
      <c r="AZ724" s="85"/>
      <c r="BA724" s="85"/>
      <c r="BB724" s="85"/>
      <c r="BC724" s="85"/>
    </row>
    <row r="725" spans="1:55" ht="15.75" customHeight="1">
      <c r="A725" s="104"/>
      <c r="B725" s="85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  <c r="AA725" s="85"/>
      <c r="AB725" s="85"/>
      <c r="AC725" s="85"/>
      <c r="AD725" s="85"/>
      <c r="AE725" s="85"/>
      <c r="AF725" s="85"/>
      <c r="AG725" s="85"/>
      <c r="AH725" s="85"/>
      <c r="AI725" s="85"/>
      <c r="AJ725" s="85"/>
      <c r="AK725" s="85"/>
      <c r="AL725" s="85"/>
      <c r="AM725" s="85"/>
      <c r="AN725" s="85"/>
      <c r="AO725" s="85"/>
      <c r="AP725" s="85"/>
      <c r="AQ725" s="85"/>
      <c r="AR725" s="85"/>
      <c r="AS725" s="85"/>
      <c r="AT725" s="85"/>
      <c r="AU725" s="85"/>
      <c r="AV725" s="85"/>
      <c r="AW725" s="85"/>
      <c r="AX725" s="85"/>
      <c r="AY725" s="85"/>
      <c r="AZ725" s="85"/>
      <c r="BA725" s="85"/>
      <c r="BB725" s="85"/>
      <c r="BC725" s="85"/>
    </row>
    <row r="726" spans="1:55" ht="15.75" customHeight="1">
      <c r="A726" s="104"/>
      <c r="B726" s="85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  <c r="AA726" s="85"/>
      <c r="AB726" s="85"/>
      <c r="AC726" s="85"/>
      <c r="AD726" s="85"/>
      <c r="AE726" s="85"/>
      <c r="AF726" s="85"/>
      <c r="AG726" s="85"/>
      <c r="AH726" s="85"/>
      <c r="AI726" s="85"/>
      <c r="AJ726" s="85"/>
      <c r="AK726" s="85"/>
      <c r="AL726" s="85"/>
      <c r="AM726" s="85"/>
      <c r="AN726" s="85"/>
      <c r="AO726" s="85"/>
      <c r="AP726" s="85"/>
      <c r="AQ726" s="85"/>
      <c r="AR726" s="85"/>
      <c r="AS726" s="85"/>
      <c r="AT726" s="85"/>
      <c r="AU726" s="85"/>
      <c r="AV726" s="85"/>
      <c r="AW726" s="85"/>
      <c r="AX726" s="85"/>
      <c r="AY726" s="85"/>
      <c r="AZ726" s="85"/>
      <c r="BA726" s="85"/>
      <c r="BB726" s="85"/>
      <c r="BC726" s="85"/>
    </row>
    <row r="727" spans="1:55" ht="15.75" customHeight="1">
      <c r="A727" s="104"/>
      <c r="B727" s="85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  <c r="AA727" s="85"/>
      <c r="AB727" s="85"/>
      <c r="AC727" s="85"/>
      <c r="AD727" s="85"/>
      <c r="AE727" s="85"/>
      <c r="AF727" s="85"/>
      <c r="AG727" s="85"/>
      <c r="AH727" s="85"/>
      <c r="AI727" s="85"/>
      <c r="AJ727" s="85"/>
      <c r="AK727" s="85"/>
      <c r="AL727" s="85"/>
      <c r="AM727" s="85"/>
      <c r="AN727" s="85"/>
      <c r="AO727" s="85"/>
      <c r="AP727" s="85"/>
      <c r="AQ727" s="85"/>
      <c r="AR727" s="85"/>
      <c r="AS727" s="85"/>
      <c r="AT727" s="85"/>
      <c r="AU727" s="85"/>
      <c r="AV727" s="85"/>
      <c r="AW727" s="85"/>
      <c r="AX727" s="85"/>
      <c r="AY727" s="85"/>
      <c r="AZ727" s="85"/>
      <c r="BA727" s="85"/>
      <c r="BB727" s="85"/>
      <c r="BC727" s="85"/>
    </row>
    <row r="728" spans="1:55" ht="15.75" customHeight="1">
      <c r="A728" s="104"/>
      <c r="B728" s="85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  <c r="AA728" s="85"/>
      <c r="AB728" s="85"/>
      <c r="AC728" s="85"/>
      <c r="AD728" s="85"/>
      <c r="AE728" s="85"/>
      <c r="AF728" s="85"/>
      <c r="AG728" s="85"/>
      <c r="AH728" s="85"/>
      <c r="AI728" s="85"/>
      <c r="AJ728" s="85"/>
      <c r="AK728" s="85"/>
      <c r="AL728" s="85"/>
      <c r="AM728" s="85"/>
      <c r="AN728" s="85"/>
      <c r="AO728" s="85"/>
      <c r="AP728" s="85"/>
      <c r="AQ728" s="85"/>
      <c r="AR728" s="85"/>
      <c r="AS728" s="85"/>
      <c r="AT728" s="85"/>
      <c r="AU728" s="85"/>
      <c r="AV728" s="85"/>
      <c r="AW728" s="85"/>
      <c r="AX728" s="85"/>
      <c r="AY728" s="85"/>
      <c r="AZ728" s="85"/>
      <c r="BA728" s="85"/>
      <c r="BB728" s="85"/>
      <c r="BC728" s="85"/>
    </row>
    <row r="729" spans="1:55" ht="15.75" customHeight="1">
      <c r="A729" s="104"/>
      <c r="B729" s="85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  <c r="AA729" s="85"/>
      <c r="AB729" s="85"/>
      <c r="AC729" s="85"/>
      <c r="AD729" s="85"/>
      <c r="AE729" s="85"/>
      <c r="AF729" s="85"/>
      <c r="AG729" s="85"/>
      <c r="AH729" s="85"/>
      <c r="AI729" s="85"/>
      <c r="AJ729" s="85"/>
      <c r="AK729" s="85"/>
      <c r="AL729" s="85"/>
      <c r="AM729" s="85"/>
      <c r="AN729" s="85"/>
      <c r="AO729" s="85"/>
      <c r="AP729" s="85"/>
      <c r="AQ729" s="85"/>
      <c r="AR729" s="85"/>
      <c r="AS729" s="85"/>
      <c r="AT729" s="85"/>
      <c r="AU729" s="85"/>
      <c r="AV729" s="85"/>
      <c r="AW729" s="85"/>
      <c r="AX729" s="85"/>
      <c r="AY729" s="85"/>
      <c r="AZ729" s="85"/>
      <c r="BA729" s="85"/>
      <c r="BB729" s="85"/>
      <c r="BC729" s="85"/>
    </row>
    <row r="730" spans="1:55" ht="15.75" customHeight="1">
      <c r="A730" s="104"/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  <c r="AA730" s="85"/>
      <c r="AB730" s="85"/>
      <c r="AC730" s="85"/>
      <c r="AD730" s="85"/>
      <c r="AE730" s="85"/>
      <c r="AF730" s="85"/>
      <c r="AG730" s="85"/>
      <c r="AH730" s="85"/>
      <c r="AI730" s="85"/>
      <c r="AJ730" s="85"/>
      <c r="AK730" s="85"/>
      <c r="AL730" s="85"/>
      <c r="AM730" s="85"/>
      <c r="AN730" s="85"/>
      <c r="AO730" s="85"/>
      <c r="AP730" s="85"/>
      <c r="AQ730" s="85"/>
      <c r="AR730" s="85"/>
      <c r="AS730" s="85"/>
      <c r="AT730" s="85"/>
      <c r="AU730" s="85"/>
      <c r="AV730" s="85"/>
      <c r="AW730" s="85"/>
      <c r="AX730" s="85"/>
      <c r="AY730" s="85"/>
      <c r="AZ730" s="85"/>
      <c r="BA730" s="85"/>
      <c r="BB730" s="85"/>
      <c r="BC730" s="85"/>
    </row>
    <row r="731" spans="1:55" ht="15.75" customHeight="1">
      <c r="A731" s="104"/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  <c r="AA731" s="85"/>
      <c r="AB731" s="85"/>
      <c r="AC731" s="85"/>
      <c r="AD731" s="85"/>
      <c r="AE731" s="85"/>
      <c r="AF731" s="85"/>
      <c r="AG731" s="85"/>
      <c r="AH731" s="85"/>
      <c r="AI731" s="85"/>
      <c r="AJ731" s="85"/>
      <c r="AK731" s="85"/>
      <c r="AL731" s="85"/>
      <c r="AM731" s="85"/>
      <c r="AN731" s="85"/>
      <c r="AO731" s="85"/>
      <c r="AP731" s="85"/>
      <c r="AQ731" s="85"/>
      <c r="AR731" s="85"/>
      <c r="AS731" s="85"/>
      <c r="AT731" s="85"/>
      <c r="AU731" s="85"/>
      <c r="AV731" s="85"/>
      <c r="AW731" s="85"/>
      <c r="AX731" s="85"/>
      <c r="AY731" s="85"/>
      <c r="AZ731" s="85"/>
      <c r="BA731" s="85"/>
      <c r="BB731" s="85"/>
      <c r="BC731" s="85"/>
    </row>
    <row r="732" spans="1:55" ht="15.75" customHeight="1">
      <c r="A732" s="104"/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  <c r="AA732" s="85"/>
      <c r="AB732" s="85"/>
      <c r="AC732" s="85"/>
      <c r="AD732" s="85"/>
      <c r="AE732" s="85"/>
      <c r="AF732" s="85"/>
      <c r="AG732" s="85"/>
      <c r="AH732" s="85"/>
      <c r="AI732" s="85"/>
      <c r="AJ732" s="85"/>
      <c r="AK732" s="85"/>
      <c r="AL732" s="85"/>
      <c r="AM732" s="85"/>
      <c r="AN732" s="85"/>
      <c r="AO732" s="85"/>
      <c r="AP732" s="85"/>
      <c r="AQ732" s="85"/>
      <c r="AR732" s="85"/>
      <c r="AS732" s="85"/>
      <c r="AT732" s="85"/>
      <c r="AU732" s="85"/>
      <c r="AV732" s="85"/>
      <c r="AW732" s="85"/>
      <c r="AX732" s="85"/>
      <c r="AY732" s="85"/>
      <c r="AZ732" s="85"/>
      <c r="BA732" s="85"/>
      <c r="BB732" s="85"/>
      <c r="BC732" s="85"/>
    </row>
    <row r="733" spans="1:55" ht="15.75" customHeight="1">
      <c r="A733" s="104"/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  <c r="AA733" s="85"/>
      <c r="AB733" s="85"/>
      <c r="AC733" s="85"/>
      <c r="AD733" s="85"/>
      <c r="AE733" s="85"/>
      <c r="AF733" s="85"/>
      <c r="AG733" s="85"/>
      <c r="AH733" s="85"/>
      <c r="AI733" s="85"/>
      <c r="AJ733" s="85"/>
      <c r="AK733" s="85"/>
      <c r="AL733" s="85"/>
      <c r="AM733" s="85"/>
      <c r="AN733" s="85"/>
      <c r="AO733" s="85"/>
      <c r="AP733" s="85"/>
      <c r="AQ733" s="85"/>
      <c r="AR733" s="85"/>
      <c r="AS733" s="85"/>
      <c r="AT733" s="85"/>
      <c r="AU733" s="85"/>
      <c r="AV733" s="85"/>
      <c r="AW733" s="85"/>
      <c r="AX733" s="85"/>
      <c r="AY733" s="85"/>
      <c r="AZ733" s="85"/>
      <c r="BA733" s="85"/>
      <c r="BB733" s="85"/>
      <c r="BC733" s="85"/>
    </row>
    <row r="734" spans="1:55" ht="15.75" customHeight="1">
      <c r="A734" s="104"/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  <c r="AA734" s="85"/>
      <c r="AB734" s="85"/>
      <c r="AC734" s="85"/>
      <c r="AD734" s="85"/>
      <c r="AE734" s="85"/>
      <c r="AF734" s="85"/>
      <c r="AG734" s="85"/>
      <c r="AH734" s="85"/>
      <c r="AI734" s="85"/>
      <c r="AJ734" s="85"/>
      <c r="AK734" s="85"/>
      <c r="AL734" s="85"/>
      <c r="AM734" s="85"/>
      <c r="AN734" s="85"/>
      <c r="AO734" s="85"/>
      <c r="AP734" s="85"/>
      <c r="AQ734" s="85"/>
      <c r="AR734" s="85"/>
      <c r="AS734" s="85"/>
      <c r="AT734" s="85"/>
      <c r="AU734" s="85"/>
      <c r="AV734" s="85"/>
      <c r="AW734" s="85"/>
      <c r="AX734" s="85"/>
      <c r="AY734" s="85"/>
      <c r="AZ734" s="85"/>
      <c r="BA734" s="85"/>
      <c r="BB734" s="85"/>
      <c r="BC734" s="85"/>
    </row>
    <row r="735" spans="1:55" ht="15.75" customHeight="1">
      <c r="A735" s="104"/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  <c r="AA735" s="85"/>
      <c r="AB735" s="85"/>
      <c r="AC735" s="85"/>
      <c r="AD735" s="85"/>
      <c r="AE735" s="85"/>
      <c r="AF735" s="85"/>
      <c r="AG735" s="85"/>
      <c r="AH735" s="85"/>
      <c r="AI735" s="85"/>
      <c r="AJ735" s="85"/>
      <c r="AK735" s="85"/>
      <c r="AL735" s="85"/>
      <c r="AM735" s="85"/>
      <c r="AN735" s="85"/>
      <c r="AO735" s="85"/>
      <c r="AP735" s="85"/>
      <c r="AQ735" s="85"/>
      <c r="AR735" s="85"/>
      <c r="AS735" s="85"/>
      <c r="AT735" s="85"/>
      <c r="AU735" s="85"/>
      <c r="AV735" s="85"/>
      <c r="AW735" s="85"/>
      <c r="AX735" s="85"/>
      <c r="AY735" s="85"/>
      <c r="AZ735" s="85"/>
      <c r="BA735" s="85"/>
      <c r="BB735" s="85"/>
      <c r="BC735" s="85"/>
    </row>
    <row r="736" spans="1:55" ht="15.75" customHeight="1">
      <c r="A736" s="104"/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  <c r="AA736" s="85"/>
      <c r="AB736" s="85"/>
      <c r="AC736" s="85"/>
      <c r="AD736" s="85"/>
      <c r="AE736" s="85"/>
      <c r="AF736" s="85"/>
      <c r="AG736" s="85"/>
      <c r="AH736" s="85"/>
      <c r="AI736" s="85"/>
      <c r="AJ736" s="85"/>
      <c r="AK736" s="85"/>
      <c r="AL736" s="85"/>
      <c r="AM736" s="85"/>
      <c r="AN736" s="85"/>
      <c r="AO736" s="85"/>
      <c r="AP736" s="85"/>
      <c r="AQ736" s="85"/>
      <c r="AR736" s="85"/>
      <c r="AS736" s="85"/>
      <c r="AT736" s="85"/>
      <c r="AU736" s="85"/>
      <c r="AV736" s="85"/>
      <c r="AW736" s="85"/>
      <c r="AX736" s="85"/>
      <c r="AY736" s="85"/>
      <c r="AZ736" s="85"/>
      <c r="BA736" s="85"/>
      <c r="BB736" s="85"/>
      <c r="BC736" s="85"/>
    </row>
    <row r="737" spans="1:55" ht="15.75" customHeight="1">
      <c r="A737" s="104"/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  <c r="AA737" s="85"/>
      <c r="AB737" s="85"/>
      <c r="AC737" s="85"/>
      <c r="AD737" s="85"/>
      <c r="AE737" s="85"/>
      <c r="AF737" s="85"/>
      <c r="AG737" s="85"/>
      <c r="AH737" s="85"/>
      <c r="AI737" s="85"/>
      <c r="AJ737" s="85"/>
      <c r="AK737" s="85"/>
      <c r="AL737" s="85"/>
      <c r="AM737" s="85"/>
      <c r="AN737" s="85"/>
      <c r="AO737" s="85"/>
      <c r="AP737" s="85"/>
      <c r="AQ737" s="85"/>
      <c r="AR737" s="85"/>
      <c r="AS737" s="85"/>
      <c r="AT737" s="85"/>
      <c r="AU737" s="85"/>
      <c r="AV737" s="85"/>
      <c r="AW737" s="85"/>
      <c r="AX737" s="85"/>
      <c r="AY737" s="85"/>
      <c r="AZ737" s="85"/>
      <c r="BA737" s="85"/>
      <c r="BB737" s="85"/>
      <c r="BC737" s="85"/>
    </row>
    <row r="738" spans="1:55" ht="15.75" customHeight="1">
      <c r="A738" s="104"/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  <c r="AA738" s="85"/>
      <c r="AB738" s="85"/>
      <c r="AC738" s="85"/>
      <c r="AD738" s="85"/>
      <c r="AE738" s="85"/>
      <c r="AF738" s="85"/>
      <c r="AG738" s="85"/>
      <c r="AH738" s="85"/>
      <c r="AI738" s="85"/>
      <c r="AJ738" s="85"/>
      <c r="AK738" s="85"/>
      <c r="AL738" s="85"/>
      <c r="AM738" s="85"/>
      <c r="AN738" s="85"/>
      <c r="AO738" s="85"/>
      <c r="AP738" s="85"/>
      <c r="AQ738" s="85"/>
      <c r="AR738" s="85"/>
      <c r="AS738" s="85"/>
      <c r="AT738" s="85"/>
      <c r="AU738" s="85"/>
      <c r="AV738" s="85"/>
      <c r="AW738" s="85"/>
      <c r="AX738" s="85"/>
      <c r="AY738" s="85"/>
      <c r="AZ738" s="85"/>
      <c r="BA738" s="85"/>
      <c r="BB738" s="85"/>
      <c r="BC738" s="85"/>
    </row>
    <row r="739" spans="1:55" ht="15.75" customHeight="1">
      <c r="A739" s="104"/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  <c r="AA739" s="85"/>
      <c r="AB739" s="85"/>
      <c r="AC739" s="85"/>
      <c r="AD739" s="85"/>
      <c r="AE739" s="85"/>
      <c r="AF739" s="85"/>
      <c r="AG739" s="85"/>
      <c r="AH739" s="85"/>
      <c r="AI739" s="85"/>
      <c r="AJ739" s="85"/>
      <c r="AK739" s="85"/>
      <c r="AL739" s="85"/>
      <c r="AM739" s="85"/>
      <c r="AN739" s="85"/>
      <c r="AO739" s="85"/>
      <c r="AP739" s="85"/>
      <c r="AQ739" s="85"/>
      <c r="AR739" s="85"/>
      <c r="AS739" s="85"/>
      <c r="AT739" s="85"/>
      <c r="AU739" s="85"/>
      <c r="AV739" s="85"/>
      <c r="AW739" s="85"/>
      <c r="AX739" s="85"/>
      <c r="AY739" s="85"/>
      <c r="AZ739" s="85"/>
      <c r="BA739" s="85"/>
      <c r="BB739" s="85"/>
      <c r="BC739" s="85"/>
    </row>
    <row r="740" spans="1:55" ht="15.75" customHeight="1">
      <c r="A740" s="104"/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  <c r="AA740" s="85"/>
      <c r="AB740" s="85"/>
      <c r="AC740" s="85"/>
      <c r="AD740" s="85"/>
      <c r="AE740" s="85"/>
      <c r="AF740" s="85"/>
      <c r="AG740" s="85"/>
      <c r="AH740" s="85"/>
      <c r="AI740" s="85"/>
      <c r="AJ740" s="85"/>
      <c r="AK740" s="85"/>
      <c r="AL740" s="85"/>
      <c r="AM740" s="85"/>
      <c r="AN740" s="85"/>
      <c r="AO740" s="85"/>
      <c r="AP740" s="85"/>
      <c r="AQ740" s="85"/>
      <c r="AR740" s="85"/>
      <c r="AS740" s="85"/>
      <c r="AT740" s="85"/>
      <c r="AU740" s="85"/>
      <c r="AV740" s="85"/>
      <c r="AW740" s="85"/>
      <c r="AX740" s="85"/>
      <c r="AY740" s="85"/>
      <c r="AZ740" s="85"/>
      <c r="BA740" s="85"/>
      <c r="BB740" s="85"/>
      <c r="BC740" s="85"/>
    </row>
    <row r="741" spans="1:55" ht="15.75" customHeight="1">
      <c r="A741" s="104"/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  <c r="AA741" s="85"/>
      <c r="AB741" s="85"/>
      <c r="AC741" s="85"/>
      <c r="AD741" s="85"/>
      <c r="AE741" s="85"/>
      <c r="AF741" s="85"/>
      <c r="AG741" s="85"/>
      <c r="AH741" s="85"/>
      <c r="AI741" s="85"/>
      <c r="AJ741" s="85"/>
      <c r="AK741" s="85"/>
      <c r="AL741" s="85"/>
      <c r="AM741" s="85"/>
      <c r="AN741" s="85"/>
      <c r="AO741" s="85"/>
      <c r="AP741" s="85"/>
      <c r="AQ741" s="85"/>
      <c r="AR741" s="85"/>
      <c r="AS741" s="85"/>
      <c r="AT741" s="85"/>
      <c r="AU741" s="85"/>
      <c r="AV741" s="85"/>
      <c r="AW741" s="85"/>
      <c r="AX741" s="85"/>
      <c r="AY741" s="85"/>
      <c r="AZ741" s="85"/>
      <c r="BA741" s="85"/>
      <c r="BB741" s="85"/>
      <c r="BC741" s="85"/>
    </row>
    <row r="742" spans="1:55" ht="15.75" customHeight="1">
      <c r="A742" s="104"/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  <c r="AA742" s="85"/>
      <c r="AB742" s="85"/>
      <c r="AC742" s="85"/>
      <c r="AD742" s="85"/>
      <c r="AE742" s="85"/>
      <c r="AF742" s="85"/>
      <c r="AG742" s="85"/>
      <c r="AH742" s="85"/>
      <c r="AI742" s="85"/>
      <c r="AJ742" s="85"/>
      <c r="AK742" s="85"/>
      <c r="AL742" s="85"/>
      <c r="AM742" s="85"/>
      <c r="AN742" s="85"/>
      <c r="AO742" s="85"/>
      <c r="AP742" s="85"/>
      <c r="AQ742" s="85"/>
      <c r="AR742" s="85"/>
      <c r="AS742" s="85"/>
      <c r="AT742" s="85"/>
      <c r="AU742" s="85"/>
      <c r="AV742" s="85"/>
      <c r="AW742" s="85"/>
      <c r="AX742" s="85"/>
      <c r="AY742" s="85"/>
      <c r="AZ742" s="85"/>
      <c r="BA742" s="85"/>
      <c r="BB742" s="85"/>
      <c r="BC742" s="85"/>
    </row>
    <row r="743" spans="1:55" ht="15.75" customHeight="1">
      <c r="A743" s="104"/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  <c r="AA743" s="85"/>
      <c r="AB743" s="85"/>
      <c r="AC743" s="85"/>
      <c r="AD743" s="85"/>
      <c r="AE743" s="85"/>
      <c r="AF743" s="85"/>
      <c r="AG743" s="85"/>
      <c r="AH743" s="85"/>
      <c r="AI743" s="85"/>
      <c r="AJ743" s="85"/>
      <c r="AK743" s="85"/>
      <c r="AL743" s="85"/>
      <c r="AM743" s="85"/>
      <c r="AN743" s="85"/>
      <c r="AO743" s="85"/>
      <c r="AP743" s="85"/>
      <c r="AQ743" s="85"/>
      <c r="AR743" s="85"/>
      <c r="AS743" s="85"/>
      <c r="AT743" s="85"/>
      <c r="AU743" s="85"/>
      <c r="AV743" s="85"/>
      <c r="AW743" s="85"/>
      <c r="AX743" s="85"/>
      <c r="AY743" s="85"/>
      <c r="AZ743" s="85"/>
      <c r="BA743" s="85"/>
      <c r="BB743" s="85"/>
      <c r="BC743" s="85"/>
    </row>
    <row r="744" spans="1:55" ht="15.75" customHeight="1">
      <c r="A744" s="104"/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  <c r="AA744" s="85"/>
      <c r="AB744" s="85"/>
      <c r="AC744" s="85"/>
      <c r="AD744" s="85"/>
      <c r="AE744" s="85"/>
      <c r="AF744" s="85"/>
      <c r="AG744" s="85"/>
      <c r="AH744" s="85"/>
      <c r="AI744" s="85"/>
      <c r="AJ744" s="85"/>
      <c r="AK744" s="85"/>
      <c r="AL744" s="85"/>
      <c r="AM744" s="85"/>
      <c r="AN744" s="85"/>
      <c r="AO744" s="85"/>
      <c r="AP744" s="85"/>
      <c r="AQ744" s="85"/>
      <c r="AR744" s="85"/>
      <c r="AS744" s="85"/>
      <c r="AT744" s="85"/>
      <c r="AU744" s="85"/>
      <c r="AV744" s="85"/>
      <c r="AW744" s="85"/>
      <c r="AX744" s="85"/>
      <c r="AY744" s="85"/>
      <c r="AZ744" s="85"/>
      <c r="BA744" s="85"/>
      <c r="BB744" s="85"/>
      <c r="BC744" s="85"/>
    </row>
    <row r="745" spans="1:55" ht="15.75" customHeight="1">
      <c r="A745" s="104"/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  <c r="AA745" s="85"/>
      <c r="AB745" s="85"/>
      <c r="AC745" s="85"/>
      <c r="AD745" s="85"/>
      <c r="AE745" s="85"/>
      <c r="AF745" s="85"/>
      <c r="AG745" s="85"/>
      <c r="AH745" s="85"/>
      <c r="AI745" s="85"/>
      <c r="AJ745" s="85"/>
      <c r="AK745" s="85"/>
      <c r="AL745" s="85"/>
      <c r="AM745" s="85"/>
      <c r="AN745" s="85"/>
      <c r="AO745" s="85"/>
      <c r="AP745" s="85"/>
      <c r="AQ745" s="85"/>
      <c r="AR745" s="85"/>
      <c r="AS745" s="85"/>
      <c r="AT745" s="85"/>
      <c r="AU745" s="85"/>
      <c r="AV745" s="85"/>
      <c r="AW745" s="85"/>
      <c r="AX745" s="85"/>
      <c r="AY745" s="85"/>
      <c r="AZ745" s="85"/>
      <c r="BA745" s="85"/>
      <c r="BB745" s="85"/>
      <c r="BC745" s="85"/>
    </row>
    <row r="746" spans="1:55" ht="15.75" customHeight="1">
      <c r="A746" s="104"/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  <c r="AA746" s="85"/>
      <c r="AB746" s="85"/>
      <c r="AC746" s="85"/>
      <c r="AD746" s="85"/>
      <c r="AE746" s="85"/>
      <c r="AF746" s="85"/>
      <c r="AG746" s="85"/>
      <c r="AH746" s="85"/>
      <c r="AI746" s="85"/>
      <c r="AJ746" s="85"/>
      <c r="AK746" s="85"/>
      <c r="AL746" s="85"/>
      <c r="AM746" s="85"/>
      <c r="AN746" s="85"/>
      <c r="AO746" s="85"/>
      <c r="AP746" s="85"/>
      <c r="AQ746" s="85"/>
      <c r="AR746" s="85"/>
      <c r="AS746" s="85"/>
      <c r="AT746" s="85"/>
      <c r="AU746" s="85"/>
      <c r="AV746" s="85"/>
      <c r="AW746" s="85"/>
      <c r="AX746" s="85"/>
      <c r="AY746" s="85"/>
      <c r="AZ746" s="85"/>
      <c r="BA746" s="85"/>
      <c r="BB746" s="85"/>
      <c r="BC746" s="85"/>
    </row>
    <row r="747" spans="1:55" ht="15.75" customHeight="1">
      <c r="A747" s="104"/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  <c r="AA747" s="85"/>
      <c r="AB747" s="85"/>
      <c r="AC747" s="85"/>
      <c r="AD747" s="85"/>
      <c r="AE747" s="85"/>
      <c r="AF747" s="85"/>
      <c r="AG747" s="85"/>
      <c r="AH747" s="85"/>
      <c r="AI747" s="85"/>
      <c r="AJ747" s="85"/>
      <c r="AK747" s="85"/>
      <c r="AL747" s="85"/>
      <c r="AM747" s="85"/>
      <c r="AN747" s="85"/>
      <c r="AO747" s="85"/>
      <c r="AP747" s="85"/>
      <c r="AQ747" s="85"/>
      <c r="AR747" s="85"/>
      <c r="AS747" s="85"/>
      <c r="AT747" s="85"/>
      <c r="AU747" s="85"/>
      <c r="AV747" s="85"/>
      <c r="AW747" s="85"/>
      <c r="AX747" s="85"/>
      <c r="AY747" s="85"/>
      <c r="AZ747" s="85"/>
      <c r="BA747" s="85"/>
      <c r="BB747" s="85"/>
      <c r="BC747" s="85"/>
    </row>
    <row r="748" spans="1:55" ht="15.75" customHeight="1">
      <c r="A748" s="104"/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  <c r="AA748" s="85"/>
      <c r="AB748" s="85"/>
      <c r="AC748" s="85"/>
      <c r="AD748" s="85"/>
      <c r="AE748" s="85"/>
      <c r="AF748" s="85"/>
      <c r="AG748" s="85"/>
      <c r="AH748" s="85"/>
      <c r="AI748" s="85"/>
      <c r="AJ748" s="85"/>
      <c r="AK748" s="85"/>
      <c r="AL748" s="85"/>
      <c r="AM748" s="85"/>
      <c r="AN748" s="85"/>
      <c r="AO748" s="85"/>
      <c r="AP748" s="85"/>
      <c r="AQ748" s="85"/>
      <c r="AR748" s="85"/>
      <c r="AS748" s="85"/>
      <c r="AT748" s="85"/>
      <c r="AU748" s="85"/>
      <c r="AV748" s="85"/>
      <c r="AW748" s="85"/>
      <c r="AX748" s="85"/>
      <c r="AY748" s="85"/>
      <c r="AZ748" s="85"/>
      <c r="BA748" s="85"/>
      <c r="BB748" s="85"/>
      <c r="BC748" s="85"/>
    </row>
    <row r="749" spans="1:55" ht="15.75" customHeight="1">
      <c r="A749" s="104"/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  <c r="AA749" s="85"/>
      <c r="AB749" s="85"/>
      <c r="AC749" s="85"/>
      <c r="AD749" s="85"/>
      <c r="AE749" s="85"/>
      <c r="AF749" s="85"/>
      <c r="AG749" s="85"/>
      <c r="AH749" s="85"/>
      <c r="AI749" s="85"/>
      <c r="AJ749" s="85"/>
      <c r="AK749" s="85"/>
      <c r="AL749" s="85"/>
      <c r="AM749" s="85"/>
      <c r="AN749" s="85"/>
      <c r="AO749" s="85"/>
      <c r="AP749" s="85"/>
      <c r="AQ749" s="85"/>
      <c r="AR749" s="85"/>
      <c r="AS749" s="85"/>
      <c r="AT749" s="85"/>
      <c r="AU749" s="85"/>
      <c r="AV749" s="85"/>
      <c r="AW749" s="85"/>
      <c r="AX749" s="85"/>
      <c r="AY749" s="85"/>
      <c r="AZ749" s="85"/>
      <c r="BA749" s="85"/>
      <c r="BB749" s="85"/>
      <c r="BC749" s="85"/>
    </row>
    <row r="750" spans="1:55" ht="15.75" customHeight="1">
      <c r="A750" s="104"/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  <c r="AA750" s="85"/>
      <c r="AB750" s="85"/>
      <c r="AC750" s="85"/>
      <c r="AD750" s="85"/>
      <c r="AE750" s="85"/>
      <c r="AF750" s="85"/>
      <c r="AG750" s="85"/>
      <c r="AH750" s="85"/>
      <c r="AI750" s="85"/>
      <c r="AJ750" s="85"/>
      <c r="AK750" s="85"/>
      <c r="AL750" s="85"/>
      <c r="AM750" s="85"/>
      <c r="AN750" s="85"/>
      <c r="AO750" s="85"/>
      <c r="AP750" s="85"/>
      <c r="AQ750" s="85"/>
      <c r="AR750" s="85"/>
      <c r="AS750" s="85"/>
      <c r="AT750" s="85"/>
      <c r="AU750" s="85"/>
      <c r="AV750" s="85"/>
      <c r="AW750" s="85"/>
      <c r="AX750" s="85"/>
      <c r="AY750" s="85"/>
      <c r="AZ750" s="85"/>
      <c r="BA750" s="85"/>
      <c r="BB750" s="85"/>
      <c r="BC750" s="85"/>
    </row>
    <row r="751" spans="1:55" ht="15.75" customHeight="1">
      <c r="A751" s="104"/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  <c r="AA751" s="85"/>
      <c r="AB751" s="85"/>
      <c r="AC751" s="85"/>
      <c r="AD751" s="85"/>
      <c r="AE751" s="85"/>
      <c r="AF751" s="85"/>
      <c r="AG751" s="85"/>
      <c r="AH751" s="85"/>
      <c r="AI751" s="85"/>
      <c r="AJ751" s="85"/>
      <c r="AK751" s="85"/>
      <c r="AL751" s="85"/>
      <c r="AM751" s="85"/>
      <c r="AN751" s="85"/>
      <c r="AO751" s="85"/>
      <c r="AP751" s="85"/>
      <c r="AQ751" s="85"/>
      <c r="AR751" s="85"/>
      <c r="AS751" s="85"/>
      <c r="AT751" s="85"/>
      <c r="AU751" s="85"/>
      <c r="AV751" s="85"/>
      <c r="AW751" s="85"/>
      <c r="AX751" s="85"/>
      <c r="AY751" s="85"/>
      <c r="AZ751" s="85"/>
      <c r="BA751" s="85"/>
      <c r="BB751" s="85"/>
      <c r="BC751" s="85"/>
    </row>
    <row r="752" spans="1:55" ht="15.75" customHeight="1">
      <c r="A752" s="104"/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  <c r="AA752" s="85"/>
      <c r="AB752" s="85"/>
      <c r="AC752" s="85"/>
      <c r="AD752" s="85"/>
      <c r="AE752" s="85"/>
      <c r="AF752" s="85"/>
      <c r="AG752" s="85"/>
      <c r="AH752" s="85"/>
      <c r="AI752" s="85"/>
      <c r="AJ752" s="85"/>
      <c r="AK752" s="85"/>
      <c r="AL752" s="85"/>
      <c r="AM752" s="85"/>
      <c r="AN752" s="85"/>
      <c r="AO752" s="85"/>
      <c r="AP752" s="85"/>
      <c r="AQ752" s="85"/>
      <c r="AR752" s="85"/>
      <c r="AS752" s="85"/>
      <c r="AT752" s="85"/>
      <c r="AU752" s="85"/>
      <c r="AV752" s="85"/>
      <c r="AW752" s="85"/>
      <c r="AX752" s="85"/>
      <c r="AY752" s="85"/>
      <c r="AZ752" s="85"/>
      <c r="BA752" s="85"/>
      <c r="BB752" s="85"/>
      <c r="BC752" s="85"/>
    </row>
    <row r="753" spans="1:55" ht="15.75" customHeight="1">
      <c r="A753" s="104"/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  <c r="AA753" s="85"/>
      <c r="AB753" s="85"/>
      <c r="AC753" s="85"/>
      <c r="AD753" s="85"/>
      <c r="AE753" s="85"/>
      <c r="AF753" s="85"/>
      <c r="AG753" s="85"/>
      <c r="AH753" s="85"/>
      <c r="AI753" s="85"/>
      <c r="AJ753" s="85"/>
      <c r="AK753" s="85"/>
      <c r="AL753" s="85"/>
      <c r="AM753" s="85"/>
      <c r="AN753" s="85"/>
      <c r="AO753" s="85"/>
      <c r="AP753" s="85"/>
      <c r="AQ753" s="85"/>
      <c r="AR753" s="85"/>
      <c r="AS753" s="85"/>
      <c r="AT753" s="85"/>
      <c r="AU753" s="85"/>
      <c r="AV753" s="85"/>
      <c r="AW753" s="85"/>
      <c r="AX753" s="85"/>
      <c r="AY753" s="85"/>
      <c r="AZ753" s="85"/>
      <c r="BA753" s="85"/>
      <c r="BB753" s="85"/>
      <c r="BC753" s="85"/>
    </row>
    <row r="754" spans="1:55" ht="15.75" customHeight="1">
      <c r="A754" s="104"/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  <c r="AA754" s="85"/>
      <c r="AB754" s="85"/>
      <c r="AC754" s="85"/>
      <c r="AD754" s="85"/>
      <c r="AE754" s="85"/>
      <c r="AF754" s="85"/>
      <c r="AG754" s="85"/>
      <c r="AH754" s="85"/>
      <c r="AI754" s="85"/>
      <c r="AJ754" s="85"/>
      <c r="AK754" s="85"/>
      <c r="AL754" s="85"/>
      <c r="AM754" s="85"/>
      <c r="AN754" s="85"/>
      <c r="AO754" s="85"/>
      <c r="AP754" s="85"/>
      <c r="AQ754" s="85"/>
      <c r="AR754" s="85"/>
      <c r="AS754" s="85"/>
      <c r="AT754" s="85"/>
      <c r="AU754" s="85"/>
      <c r="AV754" s="85"/>
      <c r="AW754" s="85"/>
      <c r="AX754" s="85"/>
      <c r="AY754" s="85"/>
      <c r="AZ754" s="85"/>
      <c r="BA754" s="85"/>
      <c r="BB754" s="85"/>
      <c r="BC754" s="85"/>
    </row>
    <row r="755" spans="1:55" ht="15.75" customHeight="1">
      <c r="A755" s="104"/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  <c r="AA755" s="85"/>
      <c r="AB755" s="85"/>
      <c r="AC755" s="85"/>
      <c r="AD755" s="85"/>
      <c r="AE755" s="85"/>
      <c r="AF755" s="85"/>
      <c r="AG755" s="85"/>
      <c r="AH755" s="85"/>
      <c r="AI755" s="85"/>
      <c r="AJ755" s="85"/>
      <c r="AK755" s="85"/>
      <c r="AL755" s="85"/>
      <c r="AM755" s="85"/>
      <c r="AN755" s="85"/>
      <c r="AO755" s="85"/>
      <c r="AP755" s="85"/>
      <c r="AQ755" s="85"/>
      <c r="AR755" s="85"/>
      <c r="AS755" s="85"/>
      <c r="AT755" s="85"/>
      <c r="AU755" s="85"/>
      <c r="AV755" s="85"/>
      <c r="AW755" s="85"/>
      <c r="AX755" s="85"/>
      <c r="AY755" s="85"/>
      <c r="AZ755" s="85"/>
      <c r="BA755" s="85"/>
      <c r="BB755" s="85"/>
      <c r="BC755" s="85"/>
    </row>
    <row r="756" spans="1:55" ht="15.75" customHeight="1">
      <c r="A756" s="104"/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  <c r="AA756" s="85"/>
      <c r="AB756" s="85"/>
      <c r="AC756" s="85"/>
      <c r="AD756" s="85"/>
      <c r="AE756" s="85"/>
      <c r="AF756" s="85"/>
      <c r="AG756" s="85"/>
      <c r="AH756" s="85"/>
      <c r="AI756" s="85"/>
      <c r="AJ756" s="85"/>
      <c r="AK756" s="85"/>
      <c r="AL756" s="85"/>
      <c r="AM756" s="85"/>
      <c r="AN756" s="85"/>
      <c r="AO756" s="85"/>
      <c r="AP756" s="85"/>
      <c r="AQ756" s="85"/>
      <c r="AR756" s="85"/>
      <c r="AS756" s="85"/>
      <c r="AT756" s="85"/>
      <c r="AU756" s="85"/>
      <c r="AV756" s="85"/>
      <c r="AW756" s="85"/>
      <c r="AX756" s="85"/>
      <c r="AY756" s="85"/>
      <c r="AZ756" s="85"/>
      <c r="BA756" s="85"/>
      <c r="BB756" s="85"/>
      <c r="BC756" s="85"/>
    </row>
    <row r="757" spans="1:55" ht="15.75" customHeight="1">
      <c r="A757" s="104"/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  <c r="AA757" s="85"/>
      <c r="AB757" s="85"/>
      <c r="AC757" s="85"/>
      <c r="AD757" s="85"/>
      <c r="AE757" s="85"/>
      <c r="AF757" s="85"/>
      <c r="AG757" s="85"/>
      <c r="AH757" s="85"/>
      <c r="AI757" s="85"/>
      <c r="AJ757" s="85"/>
      <c r="AK757" s="85"/>
      <c r="AL757" s="85"/>
      <c r="AM757" s="85"/>
      <c r="AN757" s="85"/>
      <c r="AO757" s="85"/>
      <c r="AP757" s="85"/>
      <c r="AQ757" s="85"/>
      <c r="AR757" s="85"/>
      <c r="AS757" s="85"/>
      <c r="AT757" s="85"/>
      <c r="AU757" s="85"/>
      <c r="AV757" s="85"/>
      <c r="AW757" s="85"/>
      <c r="AX757" s="85"/>
      <c r="AY757" s="85"/>
      <c r="AZ757" s="85"/>
      <c r="BA757" s="85"/>
      <c r="BB757" s="85"/>
      <c r="BC757" s="85"/>
    </row>
    <row r="758" spans="1:55" ht="15.75" customHeight="1">
      <c r="A758" s="104"/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  <c r="AA758" s="85"/>
      <c r="AB758" s="85"/>
      <c r="AC758" s="85"/>
      <c r="AD758" s="85"/>
      <c r="AE758" s="85"/>
      <c r="AF758" s="85"/>
      <c r="AG758" s="85"/>
      <c r="AH758" s="85"/>
      <c r="AI758" s="85"/>
      <c r="AJ758" s="85"/>
      <c r="AK758" s="85"/>
      <c r="AL758" s="85"/>
      <c r="AM758" s="85"/>
      <c r="AN758" s="85"/>
      <c r="AO758" s="85"/>
      <c r="AP758" s="85"/>
      <c r="AQ758" s="85"/>
      <c r="AR758" s="85"/>
      <c r="AS758" s="85"/>
      <c r="AT758" s="85"/>
      <c r="AU758" s="85"/>
      <c r="AV758" s="85"/>
      <c r="AW758" s="85"/>
      <c r="AX758" s="85"/>
      <c r="AY758" s="85"/>
      <c r="AZ758" s="85"/>
      <c r="BA758" s="85"/>
      <c r="BB758" s="85"/>
      <c r="BC758" s="85"/>
    </row>
    <row r="759" spans="1:55" ht="15.75" customHeight="1">
      <c r="A759" s="104"/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  <c r="AA759" s="85"/>
      <c r="AB759" s="85"/>
      <c r="AC759" s="85"/>
      <c r="AD759" s="85"/>
      <c r="AE759" s="85"/>
      <c r="AF759" s="85"/>
      <c r="AG759" s="85"/>
      <c r="AH759" s="85"/>
      <c r="AI759" s="85"/>
      <c r="AJ759" s="85"/>
      <c r="AK759" s="85"/>
      <c r="AL759" s="85"/>
      <c r="AM759" s="85"/>
      <c r="AN759" s="85"/>
      <c r="AO759" s="85"/>
      <c r="AP759" s="85"/>
      <c r="AQ759" s="85"/>
      <c r="AR759" s="85"/>
      <c r="AS759" s="85"/>
      <c r="AT759" s="85"/>
      <c r="AU759" s="85"/>
      <c r="AV759" s="85"/>
      <c r="AW759" s="85"/>
      <c r="AX759" s="85"/>
      <c r="AY759" s="85"/>
      <c r="AZ759" s="85"/>
      <c r="BA759" s="85"/>
      <c r="BB759" s="85"/>
      <c r="BC759" s="85"/>
    </row>
    <row r="760" spans="1:55" ht="15.75" customHeight="1">
      <c r="A760" s="104"/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  <c r="AA760" s="85"/>
      <c r="AB760" s="85"/>
      <c r="AC760" s="85"/>
      <c r="AD760" s="85"/>
      <c r="AE760" s="85"/>
      <c r="AF760" s="85"/>
      <c r="AG760" s="85"/>
      <c r="AH760" s="85"/>
      <c r="AI760" s="85"/>
      <c r="AJ760" s="85"/>
      <c r="AK760" s="85"/>
      <c r="AL760" s="85"/>
      <c r="AM760" s="85"/>
      <c r="AN760" s="85"/>
      <c r="AO760" s="85"/>
      <c r="AP760" s="85"/>
      <c r="AQ760" s="85"/>
      <c r="AR760" s="85"/>
      <c r="AS760" s="85"/>
      <c r="AT760" s="85"/>
      <c r="AU760" s="85"/>
      <c r="AV760" s="85"/>
      <c r="AW760" s="85"/>
      <c r="AX760" s="85"/>
      <c r="AY760" s="85"/>
      <c r="AZ760" s="85"/>
      <c r="BA760" s="85"/>
      <c r="BB760" s="85"/>
      <c r="BC760" s="85"/>
    </row>
    <row r="761" spans="1:55" ht="15.75" customHeight="1">
      <c r="A761" s="104"/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  <c r="AA761" s="85"/>
      <c r="AB761" s="85"/>
      <c r="AC761" s="85"/>
      <c r="AD761" s="85"/>
      <c r="AE761" s="85"/>
      <c r="AF761" s="85"/>
      <c r="AG761" s="85"/>
      <c r="AH761" s="85"/>
      <c r="AI761" s="85"/>
      <c r="AJ761" s="85"/>
      <c r="AK761" s="85"/>
      <c r="AL761" s="85"/>
      <c r="AM761" s="85"/>
      <c r="AN761" s="85"/>
      <c r="AO761" s="85"/>
      <c r="AP761" s="85"/>
      <c r="AQ761" s="85"/>
      <c r="AR761" s="85"/>
      <c r="AS761" s="85"/>
      <c r="AT761" s="85"/>
      <c r="AU761" s="85"/>
      <c r="AV761" s="85"/>
      <c r="AW761" s="85"/>
      <c r="AX761" s="85"/>
      <c r="AY761" s="85"/>
      <c r="AZ761" s="85"/>
      <c r="BA761" s="85"/>
      <c r="BB761" s="85"/>
      <c r="BC761" s="85"/>
    </row>
    <row r="762" spans="1:55" ht="15.75" customHeight="1">
      <c r="A762" s="104"/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  <c r="AA762" s="85"/>
      <c r="AB762" s="85"/>
      <c r="AC762" s="85"/>
      <c r="AD762" s="85"/>
      <c r="AE762" s="85"/>
      <c r="AF762" s="85"/>
      <c r="AG762" s="85"/>
      <c r="AH762" s="85"/>
      <c r="AI762" s="85"/>
      <c r="AJ762" s="85"/>
      <c r="AK762" s="85"/>
      <c r="AL762" s="85"/>
      <c r="AM762" s="85"/>
      <c r="AN762" s="85"/>
      <c r="AO762" s="85"/>
      <c r="AP762" s="85"/>
      <c r="AQ762" s="85"/>
      <c r="AR762" s="85"/>
      <c r="AS762" s="85"/>
      <c r="AT762" s="85"/>
      <c r="AU762" s="85"/>
      <c r="AV762" s="85"/>
      <c r="AW762" s="85"/>
      <c r="AX762" s="85"/>
      <c r="AY762" s="85"/>
      <c r="AZ762" s="85"/>
      <c r="BA762" s="85"/>
      <c r="BB762" s="85"/>
      <c r="BC762" s="85"/>
    </row>
    <row r="763" spans="1:55" ht="15.75" customHeight="1">
      <c r="A763" s="104"/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  <c r="AA763" s="85"/>
      <c r="AB763" s="85"/>
      <c r="AC763" s="85"/>
      <c r="AD763" s="85"/>
      <c r="AE763" s="85"/>
      <c r="AF763" s="85"/>
      <c r="AG763" s="85"/>
      <c r="AH763" s="85"/>
      <c r="AI763" s="85"/>
      <c r="AJ763" s="85"/>
      <c r="AK763" s="85"/>
      <c r="AL763" s="85"/>
      <c r="AM763" s="85"/>
      <c r="AN763" s="85"/>
      <c r="AO763" s="85"/>
      <c r="AP763" s="85"/>
      <c r="AQ763" s="85"/>
      <c r="AR763" s="85"/>
      <c r="AS763" s="85"/>
      <c r="AT763" s="85"/>
      <c r="AU763" s="85"/>
      <c r="AV763" s="85"/>
      <c r="AW763" s="85"/>
      <c r="AX763" s="85"/>
      <c r="AY763" s="85"/>
      <c r="AZ763" s="85"/>
      <c r="BA763" s="85"/>
      <c r="BB763" s="85"/>
      <c r="BC763" s="85"/>
    </row>
    <row r="764" spans="1:55" ht="15.75" customHeight="1">
      <c r="A764" s="104"/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  <c r="AA764" s="85"/>
      <c r="AB764" s="85"/>
      <c r="AC764" s="85"/>
      <c r="AD764" s="85"/>
      <c r="AE764" s="85"/>
      <c r="AF764" s="85"/>
      <c r="AG764" s="85"/>
      <c r="AH764" s="85"/>
      <c r="AI764" s="85"/>
      <c r="AJ764" s="85"/>
      <c r="AK764" s="85"/>
      <c r="AL764" s="85"/>
      <c r="AM764" s="85"/>
      <c r="AN764" s="85"/>
      <c r="AO764" s="85"/>
      <c r="AP764" s="85"/>
      <c r="AQ764" s="85"/>
      <c r="AR764" s="85"/>
      <c r="AS764" s="85"/>
      <c r="AT764" s="85"/>
      <c r="AU764" s="85"/>
      <c r="AV764" s="85"/>
      <c r="AW764" s="85"/>
      <c r="AX764" s="85"/>
      <c r="AY764" s="85"/>
      <c r="AZ764" s="85"/>
      <c r="BA764" s="85"/>
      <c r="BB764" s="85"/>
      <c r="BC764" s="85"/>
    </row>
    <row r="765" spans="1:55" ht="15.75" customHeight="1">
      <c r="A765" s="104"/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  <c r="AA765" s="85"/>
      <c r="AB765" s="85"/>
      <c r="AC765" s="85"/>
      <c r="AD765" s="85"/>
      <c r="AE765" s="85"/>
      <c r="AF765" s="85"/>
      <c r="AG765" s="85"/>
      <c r="AH765" s="85"/>
      <c r="AI765" s="85"/>
      <c r="AJ765" s="85"/>
      <c r="AK765" s="85"/>
      <c r="AL765" s="85"/>
      <c r="AM765" s="85"/>
      <c r="AN765" s="85"/>
      <c r="AO765" s="85"/>
      <c r="AP765" s="85"/>
      <c r="AQ765" s="85"/>
      <c r="AR765" s="85"/>
      <c r="AS765" s="85"/>
      <c r="AT765" s="85"/>
      <c r="AU765" s="85"/>
      <c r="AV765" s="85"/>
      <c r="AW765" s="85"/>
      <c r="AX765" s="85"/>
      <c r="AY765" s="85"/>
      <c r="AZ765" s="85"/>
      <c r="BA765" s="85"/>
      <c r="BB765" s="85"/>
      <c r="BC765" s="85"/>
    </row>
    <row r="766" spans="1:55" ht="15.75" customHeight="1">
      <c r="A766" s="104"/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  <c r="AA766" s="85"/>
      <c r="AB766" s="85"/>
      <c r="AC766" s="85"/>
      <c r="AD766" s="85"/>
      <c r="AE766" s="85"/>
      <c r="AF766" s="85"/>
      <c r="AG766" s="85"/>
      <c r="AH766" s="85"/>
      <c r="AI766" s="85"/>
      <c r="AJ766" s="85"/>
      <c r="AK766" s="85"/>
      <c r="AL766" s="85"/>
      <c r="AM766" s="85"/>
      <c r="AN766" s="85"/>
      <c r="AO766" s="85"/>
      <c r="AP766" s="85"/>
      <c r="AQ766" s="85"/>
      <c r="AR766" s="85"/>
      <c r="AS766" s="85"/>
      <c r="AT766" s="85"/>
      <c r="AU766" s="85"/>
      <c r="AV766" s="85"/>
      <c r="AW766" s="85"/>
      <c r="AX766" s="85"/>
      <c r="AY766" s="85"/>
      <c r="AZ766" s="85"/>
      <c r="BA766" s="85"/>
      <c r="BB766" s="85"/>
      <c r="BC766" s="85"/>
    </row>
    <row r="767" spans="1:55" ht="15.75" customHeight="1">
      <c r="A767" s="104"/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  <c r="AA767" s="85"/>
      <c r="AB767" s="85"/>
      <c r="AC767" s="85"/>
      <c r="AD767" s="85"/>
      <c r="AE767" s="85"/>
      <c r="AF767" s="85"/>
      <c r="AG767" s="85"/>
      <c r="AH767" s="85"/>
      <c r="AI767" s="85"/>
      <c r="AJ767" s="85"/>
      <c r="AK767" s="85"/>
      <c r="AL767" s="85"/>
      <c r="AM767" s="85"/>
      <c r="AN767" s="85"/>
      <c r="AO767" s="85"/>
      <c r="AP767" s="85"/>
      <c r="AQ767" s="85"/>
      <c r="AR767" s="85"/>
      <c r="AS767" s="85"/>
      <c r="AT767" s="85"/>
      <c r="AU767" s="85"/>
      <c r="AV767" s="85"/>
      <c r="AW767" s="85"/>
      <c r="AX767" s="85"/>
      <c r="AY767" s="85"/>
      <c r="AZ767" s="85"/>
      <c r="BA767" s="85"/>
      <c r="BB767" s="85"/>
      <c r="BC767" s="85"/>
    </row>
    <row r="768" spans="1:55" ht="15.75" customHeight="1">
      <c r="A768" s="104"/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  <c r="AA768" s="85"/>
      <c r="AB768" s="85"/>
      <c r="AC768" s="85"/>
      <c r="AD768" s="85"/>
      <c r="AE768" s="85"/>
      <c r="AF768" s="85"/>
      <c r="AG768" s="85"/>
      <c r="AH768" s="85"/>
      <c r="AI768" s="85"/>
      <c r="AJ768" s="85"/>
      <c r="AK768" s="85"/>
      <c r="AL768" s="85"/>
      <c r="AM768" s="85"/>
      <c r="AN768" s="85"/>
      <c r="AO768" s="85"/>
      <c r="AP768" s="85"/>
      <c r="AQ768" s="85"/>
      <c r="AR768" s="85"/>
      <c r="AS768" s="85"/>
      <c r="AT768" s="85"/>
      <c r="AU768" s="85"/>
      <c r="AV768" s="85"/>
      <c r="AW768" s="85"/>
      <c r="AX768" s="85"/>
      <c r="AY768" s="85"/>
      <c r="AZ768" s="85"/>
      <c r="BA768" s="85"/>
      <c r="BB768" s="85"/>
      <c r="BC768" s="85"/>
    </row>
    <row r="769" spans="1:55" ht="15.75" customHeight="1">
      <c r="A769" s="104"/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  <c r="AA769" s="85"/>
      <c r="AB769" s="85"/>
      <c r="AC769" s="85"/>
      <c r="AD769" s="85"/>
      <c r="AE769" s="85"/>
      <c r="AF769" s="85"/>
      <c r="AG769" s="85"/>
      <c r="AH769" s="85"/>
      <c r="AI769" s="85"/>
      <c r="AJ769" s="85"/>
      <c r="AK769" s="85"/>
      <c r="AL769" s="85"/>
      <c r="AM769" s="85"/>
      <c r="AN769" s="85"/>
      <c r="AO769" s="85"/>
      <c r="AP769" s="85"/>
      <c r="AQ769" s="85"/>
      <c r="AR769" s="85"/>
      <c r="AS769" s="85"/>
      <c r="AT769" s="85"/>
      <c r="AU769" s="85"/>
      <c r="AV769" s="85"/>
      <c r="AW769" s="85"/>
      <c r="AX769" s="85"/>
      <c r="AY769" s="85"/>
      <c r="AZ769" s="85"/>
      <c r="BA769" s="85"/>
      <c r="BB769" s="85"/>
      <c r="BC769" s="85"/>
    </row>
    <row r="770" spans="1:55" ht="15.75" customHeight="1">
      <c r="A770" s="104"/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  <c r="AA770" s="85"/>
      <c r="AB770" s="85"/>
      <c r="AC770" s="85"/>
      <c r="AD770" s="85"/>
      <c r="AE770" s="85"/>
      <c r="AF770" s="85"/>
      <c r="AG770" s="85"/>
      <c r="AH770" s="85"/>
      <c r="AI770" s="85"/>
      <c r="AJ770" s="85"/>
      <c r="AK770" s="85"/>
      <c r="AL770" s="85"/>
      <c r="AM770" s="85"/>
      <c r="AN770" s="85"/>
      <c r="AO770" s="85"/>
      <c r="AP770" s="85"/>
      <c r="AQ770" s="85"/>
      <c r="AR770" s="85"/>
      <c r="AS770" s="85"/>
      <c r="AT770" s="85"/>
      <c r="AU770" s="85"/>
      <c r="AV770" s="85"/>
      <c r="AW770" s="85"/>
      <c r="AX770" s="85"/>
      <c r="AY770" s="85"/>
      <c r="AZ770" s="85"/>
      <c r="BA770" s="85"/>
      <c r="BB770" s="85"/>
      <c r="BC770" s="85"/>
    </row>
    <row r="771" spans="1:55" ht="15.75" customHeight="1">
      <c r="A771" s="104"/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  <c r="AA771" s="85"/>
      <c r="AB771" s="85"/>
      <c r="AC771" s="85"/>
      <c r="AD771" s="85"/>
      <c r="AE771" s="85"/>
      <c r="AF771" s="85"/>
      <c r="AG771" s="85"/>
      <c r="AH771" s="85"/>
      <c r="AI771" s="85"/>
      <c r="AJ771" s="85"/>
      <c r="AK771" s="85"/>
      <c r="AL771" s="85"/>
      <c r="AM771" s="85"/>
      <c r="AN771" s="85"/>
      <c r="AO771" s="85"/>
      <c r="AP771" s="85"/>
      <c r="AQ771" s="85"/>
      <c r="AR771" s="85"/>
      <c r="AS771" s="85"/>
      <c r="AT771" s="85"/>
      <c r="AU771" s="85"/>
      <c r="AV771" s="85"/>
      <c r="AW771" s="85"/>
      <c r="AX771" s="85"/>
      <c r="AY771" s="85"/>
      <c r="AZ771" s="85"/>
      <c r="BA771" s="85"/>
      <c r="BB771" s="85"/>
      <c r="BC771" s="85"/>
    </row>
    <row r="772" spans="1:55" ht="15.75" customHeight="1">
      <c r="A772" s="104"/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  <c r="AA772" s="85"/>
      <c r="AB772" s="85"/>
      <c r="AC772" s="85"/>
      <c r="AD772" s="85"/>
      <c r="AE772" s="85"/>
      <c r="AF772" s="85"/>
      <c r="AG772" s="85"/>
      <c r="AH772" s="85"/>
      <c r="AI772" s="85"/>
      <c r="AJ772" s="85"/>
      <c r="AK772" s="85"/>
      <c r="AL772" s="85"/>
      <c r="AM772" s="85"/>
      <c r="AN772" s="85"/>
      <c r="AO772" s="85"/>
      <c r="AP772" s="85"/>
      <c r="AQ772" s="85"/>
      <c r="AR772" s="85"/>
      <c r="AS772" s="85"/>
      <c r="AT772" s="85"/>
      <c r="AU772" s="85"/>
      <c r="AV772" s="85"/>
      <c r="AW772" s="85"/>
      <c r="AX772" s="85"/>
      <c r="AY772" s="85"/>
      <c r="AZ772" s="85"/>
      <c r="BA772" s="85"/>
      <c r="BB772" s="85"/>
      <c r="BC772" s="85"/>
    </row>
    <row r="773" spans="1:55" ht="15.75" customHeight="1">
      <c r="A773" s="104"/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  <c r="AA773" s="85"/>
      <c r="AB773" s="85"/>
      <c r="AC773" s="85"/>
      <c r="AD773" s="85"/>
      <c r="AE773" s="85"/>
      <c r="AF773" s="85"/>
      <c r="AG773" s="85"/>
      <c r="AH773" s="85"/>
      <c r="AI773" s="85"/>
      <c r="AJ773" s="85"/>
      <c r="AK773" s="85"/>
      <c r="AL773" s="85"/>
      <c r="AM773" s="85"/>
      <c r="AN773" s="85"/>
      <c r="AO773" s="85"/>
      <c r="AP773" s="85"/>
      <c r="AQ773" s="85"/>
      <c r="AR773" s="85"/>
      <c r="AS773" s="85"/>
      <c r="AT773" s="85"/>
      <c r="AU773" s="85"/>
      <c r="AV773" s="85"/>
      <c r="AW773" s="85"/>
      <c r="AX773" s="85"/>
      <c r="AY773" s="85"/>
      <c r="AZ773" s="85"/>
      <c r="BA773" s="85"/>
      <c r="BB773" s="85"/>
      <c r="BC773" s="85"/>
    </row>
    <row r="774" spans="1:55" ht="15.75" customHeight="1">
      <c r="A774" s="104"/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  <c r="AA774" s="85"/>
      <c r="AB774" s="85"/>
      <c r="AC774" s="85"/>
      <c r="AD774" s="85"/>
      <c r="AE774" s="85"/>
      <c r="AF774" s="85"/>
      <c r="AG774" s="85"/>
      <c r="AH774" s="85"/>
      <c r="AI774" s="85"/>
      <c r="AJ774" s="85"/>
      <c r="AK774" s="85"/>
      <c r="AL774" s="85"/>
      <c r="AM774" s="85"/>
      <c r="AN774" s="85"/>
      <c r="AO774" s="85"/>
      <c r="AP774" s="85"/>
      <c r="AQ774" s="85"/>
      <c r="AR774" s="85"/>
      <c r="AS774" s="85"/>
      <c r="AT774" s="85"/>
      <c r="AU774" s="85"/>
      <c r="AV774" s="85"/>
      <c r="AW774" s="85"/>
      <c r="AX774" s="85"/>
      <c r="AY774" s="85"/>
      <c r="AZ774" s="85"/>
      <c r="BA774" s="85"/>
      <c r="BB774" s="85"/>
      <c r="BC774" s="85"/>
    </row>
    <row r="775" spans="1:55" ht="15.75" customHeight="1">
      <c r="A775" s="104"/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  <c r="AA775" s="85"/>
      <c r="AB775" s="85"/>
      <c r="AC775" s="85"/>
      <c r="AD775" s="85"/>
      <c r="AE775" s="85"/>
      <c r="AF775" s="85"/>
      <c r="AG775" s="85"/>
      <c r="AH775" s="85"/>
      <c r="AI775" s="85"/>
      <c r="AJ775" s="85"/>
      <c r="AK775" s="85"/>
      <c r="AL775" s="85"/>
      <c r="AM775" s="85"/>
      <c r="AN775" s="85"/>
      <c r="AO775" s="85"/>
      <c r="AP775" s="85"/>
      <c r="AQ775" s="85"/>
      <c r="AR775" s="85"/>
      <c r="AS775" s="85"/>
      <c r="AT775" s="85"/>
      <c r="AU775" s="85"/>
      <c r="AV775" s="85"/>
      <c r="AW775" s="85"/>
      <c r="AX775" s="85"/>
      <c r="AY775" s="85"/>
      <c r="AZ775" s="85"/>
      <c r="BA775" s="85"/>
      <c r="BB775" s="85"/>
      <c r="BC775" s="85"/>
    </row>
    <row r="776" spans="1:55" ht="15.75" customHeight="1">
      <c r="A776" s="104"/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  <c r="AA776" s="85"/>
      <c r="AB776" s="85"/>
      <c r="AC776" s="85"/>
      <c r="AD776" s="85"/>
      <c r="AE776" s="85"/>
      <c r="AF776" s="85"/>
      <c r="AG776" s="85"/>
      <c r="AH776" s="85"/>
      <c r="AI776" s="85"/>
      <c r="AJ776" s="85"/>
      <c r="AK776" s="85"/>
      <c r="AL776" s="85"/>
      <c r="AM776" s="85"/>
      <c r="AN776" s="85"/>
      <c r="AO776" s="85"/>
      <c r="AP776" s="85"/>
      <c r="AQ776" s="85"/>
      <c r="AR776" s="85"/>
      <c r="AS776" s="85"/>
      <c r="AT776" s="85"/>
      <c r="AU776" s="85"/>
      <c r="AV776" s="85"/>
      <c r="AW776" s="85"/>
      <c r="AX776" s="85"/>
      <c r="AY776" s="85"/>
      <c r="AZ776" s="85"/>
      <c r="BA776" s="85"/>
      <c r="BB776" s="85"/>
      <c r="BC776" s="85"/>
    </row>
    <row r="777" spans="1:55" ht="15.75" customHeight="1">
      <c r="A777" s="104"/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  <c r="AA777" s="85"/>
      <c r="AB777" s="85"/>
      <c r="AC777" s="85"/>
      <c r="AD777" s="85"/>
      <c r="AE777" s="85"/>
      <c r="AF777" s="85"/>
      <c r="AG777" s="85"/>
      <c r="AH777" s="85"/>
      <c r="AI777" s="85"/>
      <c r="AJ777" s="85"/>
      <c r="AK777" s="85"/>
      <c r="AL777" s="85"/>
      <c r="AM777" s="85"/>
      <c r="AN777" s="85"/>
      <c r="AO777" s="85"/>
      <c r="AP777" s="85"/>
      <c r="AQ777" s="85"/>
      <c r="AR777" s="85"/>
      <c r="AS777" s="85"/>
      <c r="AT777" s="85"/>
      <c r="AU777" s="85"/>
      <c r="AV777" s="85"/>
      <c r="AW777" s="85"/>
      <c r="AX777" s="85"/>
      <c r="AY777" s="85"/>
      <c r="AZ777" s="85"/>
      <c r="BA777" s="85"/>
      <c r="BB777" s="85"/>
      <c r="BC777" s="85"/>
    </row>
    <row r="778" spans="1:55" ht="15.75" customHeight="1">
      <c r="A778" s="104"/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  <c r="AA778" s="85"/>
      <c r="AB778" s="85"/>
      <c r="AC778" s="85"/>
      <c r="AD778" s="85"/>
      <c r="AE778" s="85"/>
      <c r="AF778" s="85"/>
      <c r="AG778" s="85"/>
      <c r="AH778" s="85"/>
      <c r="AI778" s="85"/>
      <c r="AJ778" s="85"/>
      <c r="AK778" s="85"/>
      <c r="AL778" s="85"/>
      <c r="AM778" s="85"/>
      <c r="AN778" s="85"/>
      <c r="AO778" s="85"/>
      <c r="AP778" s="85"/>
      <c r="AQ778" s="85"/>
      <c r="AR778" s="85"/>
      <c r="AS778" s="85"/>
      <c r="AT778" s="85"/>
      <c r="AU778" s="85"/>
      <c r="AV778" s="85"/>
      <c r="AW778" s="85"/>
      <c r="AX778" s="85"/>
      <c r="AY778" s="85"/>
      <c r="AZ778" s="85"/>
      <c r="BA778" s="85"/>
      <c r="BB778" s="85"/>
      <c r="BC778" s="85"/>
    </row>
    <row r="779" spans="1:55" ht="15.75" customHeight="1">
      <c r="A779" s="104"/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  <c r="AA779" s="85"/>
      <c r="AB779" s="85"/>
      <c r="AC779" s="85"/>
      <c r="AD779" s="85"/>
      <c r="AE779" s="85"/>
      <c r="AF779" s="85"/>
      <c r="AG779" s="85"/>
      <c r="AH779" s="85"/>
      <c r="AI779" s="85"/>
      <c r="AJ779" s="85"/>
      <c r="AK779" s="85"/>
      <c r="AL779" s="85"/>
      <c r="AM779" s="85"/>
      <c r="AN779" s="85"/>
      <c r="AO779" s="85"/>
      <c r="AP779" s="85"/>
      <c r="AQ779" s="85"/>
      <c r="AR779" s="85"/>
      <c r="AS779" s="85"/>
      <c r="AT779" s="85"/>
      <c r="AU779" s="85"/>
      <c r="AV779" s="85"/>
      <c r="AW779" s="85"/>
      <c r="AX779" s="85"/>
      <c r="AY779" s="85"/>
      <c r="AZ779" s="85"/>
      <c r="BA779" s="85"/>
      <c r="BB779" s="85"/>
      <c r="BC779" s="85"/>
    </row>
    <row r="780" spans="1:55" ht="15.75" customHeight="1">
      <c r="A780" s="104"/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  <c r="AA780" s="85"/>
      <c r="AB780" s="85"/>
      <c r="AC780" s="85"/>
      <c r="AD780" s="85"/>
      <c r="AE780" s="85"/>
      <c r="AF780" s="85"/>
      <c r="AG780" s="85"/>
      <c r="AH780" s="85"/>
      <c r="AI780" s="85"/>
      <c r="AJ780" s="85"/>
      <c r="AK780" s="85"/>
      <c r="AL780" s="85"/>
      <c r="AM780" s="85"/>
      <c r="AN780" s="85"/>
      <c r="AO780" s="85"/>
      <c r="AP780" s="85"/>
      <c r="AQ780" s="85"/>
      <c r="AR780" s="85"/>
      <c r="AS780" s="85"/>
      <c r="AT780" s="85"/>
      <c r="AU780" s="85"/>
      <c r="AV780" s="85"/>
      <c r="AW780" s="85"/>
      <c r="AX780" s="85"/>
      <c r="AY780" s="85"/>
      <c r="AZ780" s="85"/>
      <c r="BA780" s="85"/>
      <c r="BB780" s="85"/>
      <c r="BC780" s="85"/>
    </row>
    <row r="781" spans="1:55" ht="15.75" customHeight="1">
      <c r="A781" s="104"/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  <c r="AA781" s="85"/>
      <c r="AB781" s="85"/>
      <c r="AC781" s="85"/>
      <c r="AD781" s="85"/>
      <c r="AE781" s="85"/>
      <c r="AF781" s="85"/>
      <c r="AG781" s="85"/>
      <c r="AH781" s="85"/>
      <c r="AI781" s="85"/>
      <c r="AJ781" s="85"/>
      <c r="AK781" s="85"/>
      <c r="AL781" s="85"/>
      <c r="AM781" s="85"/>
      <c r="AN781" s="85"/>
      <c r="AO781" s="85"/>
      <c r="AP781" s="85"/>
      <c r="AQ781" s="85"/>
      <c r="AR781" s="85"/>
      <c r="AS781" s="85"/>
      <c r="AT781" s="85"/>
      <c r="AU781" s="85"/>
      <c r="AV781" s="85"/>
      <c r="AW781" s="85"/>
      <c r="AX781" s="85"/>
      <c r="AY781" s="85"/>
      <c r="AZ781" s="85"/>
      <c r="BA781" s="85"/>
      <c r="BB781" s="85"/>
      <c r="BC781" s="85"/>
    </row>
    <row r="782" spans="1:55" ht="15.75" customHeight="1">
      <c r="A782" s="104"/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  <c r="AA782" s="85"/>
      <c r="AB782" s="85"/>
      <c r="AC782" s="85"/>
      <c r="AD782" s="85"/>
      <c r="AE782" s="85"/>
      <c r="AF782" s="85"/>
      <c r="AG782" s="85"/>
      <c r="AH782" s="85"/>
      <c r="AI782" s="85"/>
      <c r="AJ782" s="85"/>
      <c r="AK782" s="85"/>
      <c r="AL782" s="85"/>
      <c r="AM782" s="85"/>
      <c r="AN782" s="85"/>
      <c r="AO782" s="85"/>
      <c r="AP782" s="85"/>
      <c r="AQ782" s="85"/>
      <c r="AR782" s="85"/>
      <c r="AS782" s="85"/>
      <c r="AT782" s="85"/>
      <c r="AU782" s="85"/>
      <c r="AV782" s="85"/>
      <c r="AW782" s="85"/>
      <c r="AX782" s="85"/>
      <c r="AY782" s="85"/>
      <c r="AZ782" s="85"/>
      <c r="BA782" s="85"/>
      <c r="BB782" s="85"/>
      <c r="BC782" s="85"/>
    </row>
    <row r="783" spans="1:55" ht="15.75" customHeight="1">
      <c r="A783" s="104"/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  <c r="AA783" s="85"/>
      <c r="AB783" s="85"/>
      <c r="AC783" s="85"/>
      <c r="AD783" s="85"/>
      <c r="AE783" s="85"/>
      <c r="AF783" s="85"/>
      <c r="AG783" s="85"/>
      <c r="AH783" s="85"/>
      <c r="AI783" s="85"/>
      <c r="AJ783" s="85"/>
      <c r="AK783" s="85"/>
      <c r="AL783" s="85"/>
      <c r="AM783" s="85"/>
      <c r="AN783" s="85"/>
      <c r="AO783" s="85"/>
      <c r="AP783" s="85"/>
      <c r="AQ783" s="85"/>
      <c r="AR783" s="85"/>
      <c r="AS783" s="85"/>
      <c r="AT783" s="85"/>
      <c r="AU783" s="85"/>
      <c r="AV783" s="85"/>
      <c r="AW783" s="85"/>
      <c r="AX783" s="85"/>
      <c r="AY783" s="85"/>
      <c r="AZ783" s="85"/>
      <c r="BA783" s="85"/>
      <c r="BB783" s="85"/>
      <c r="BC783" s="85"/>
    </row>
    <row r="784" spans="1:55" ht="15.75" customHeight="1">
      <c r="A784" s="104"/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  <c r="AA784" s="85"/>
      <c r="AB784" s="85"/>
      <c r="AC784" s="85"/>
      <c r="AD784" s="85"/>
      <c r="AE784" s="85"/>
      <c r="AF784" s="85"/>
      <c r="AG784" s="85"/>
      <c r="AH784" s="85"/>
      <c r="AI784" s="85"/>
      <c r="AJ784" s="85"/>
      <c r="AK784" s="85"/>
      <c r="AL784" s="85"/>
      <c r="AM784" s="85"/>
      <c r="AN784" s="85"/>
      <c r="AO784" s="85"/>
      <c r="AP784" s="85"/>
      <c r="AQ784" s="85"/>
      <c r="AR784" s="85"/>
      <c r="AS784" s="85"/>
      <c r="AT784" s="85"/>
      <c r="AU784" s="85"/>
      <c r="AV784" s="85"/>
      <c r="AW784" s="85"/>
      <c r="AX784" s="85"/>
      <c r="AY784" s="85"/>
      <c r="AZ784" s="85"/>
      <c r="BA784" s="85"/>
      <c r="BB784" s="85"/>
      <c r="BC784" s="85"/>
    </row>
    <row r="785" spans="1:55" ht="15.75" customHeight="1">
      <c r="A785" s="104"/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  <c r="AA785" s="85"/>
      <c r="AB785" s="85"/>
      <c r="AC785" s="85"/>
      <c r="AD785" s="85"/>
      <c r="AE785" s="85"/>
      <c r="AF785" s="85"/>
      <c r="AG785" s="85"/>
      <c r="AH785" s="85"/>
      <c r="AI785" s="85"/>
      <c r="AJ785" s="85"/>
      <c r="AK785" s="85"/>
      <c r="AL785" s="85"/>
      <c r="AM785" s="85"/>
      <c r="AN785" s="85"/>
      <c r="AO785" s="85"/>
      <c r="AP785" s="85"/>
      <c r="AQ785" s="85"/>
      <c r="AR785" s="85"/>
      <c r="AS785" s="85"/>
      <c r="AT785" s="85"/>
      <c r="AU785" s="85"/>
      <c r="AV785" s="85"/>
      <c r="AW785" s="85"/>
      <c r="AX785" s="85"/>
      <c r="AY785" s="85"/>
      <c r="AZ785" s="85"/>
      <c r="BA785" s="85"/>
      <c r="BB785" s="85"/>
      <c r="BC785" s="85"/>
    </row>
    <row r="786" spans="1:55" ht="15.75" customHeight="1">
      <c r="A786" s="104"/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  <c r="AA786" s="85"/>
      <c r="AB786" s="85"/>
      <c r="AC786" s="85"/>
      <c r="AD786" s="85"/>
      <c r="AE786" s="85"/>
      <c r="AF786" s="85"/>
      <c r="AG786" s="85"/>
      <c r="AH786" s="85"/>
      <c r="AI786" s="85"/>
      <c r="AJ786" s="85"/>
      <c r="AK786" s="85"/>
      <c r="AL786" s="85"/>
      <c r="AM786" s="85"/>
      <c r="AN786" s="85"/>
      <c r="AO786" s="85"/>
      <c r="AP786" s="85"/>
      <c r="AQ786" s="85"/>
      <c r="AR786" s="85"/>
      <c r="AS786" s="85"/>
      <c r="AT786" s="85"/>
      <c r="AU786" s="85"/>
      <c r="AV786" s="85"/>
      <c r="AW786" s="85"/>
      <c r="AX786" s="85"/>
      <c r="AY786" s="85"/>
      <c r="AZ786" s="85"/>
      <c r="BA786" s="85"/>
      <c r="BB786" s="85"/>
      <c r="BC786" s="85"/>
    </row>
    <row r="787" spans="1:55" ht="15.75" customHeight="1">
      <c r="A787" s="104"/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  <c r="AA787" s="85"/>
      <c r="AB787" s="85"/>
      <c r="AC787" s="85"/>
      <c r="AD787" s="85"/>
      <c r="AE787" s="85"/>
      <c r="AF787" s="85"/>
      <c r="AG787" s="85"/>
      <c r="AH787" s="85"/>
      <c r="AI787" s="85"/>
      <c r="AJ787" s="85"/>
      <c r="AK787" s="85"/>
      <c r="AL787" s="85"/>
      <c r="AM787" s="85"/>
      <c r="AN787" s="85"/>
      <c r="AO787" s="85"/>
      <c r="AP787" s="85"/>
      <c r="AQ787" s="85"/>
      <c r="AR787" s="85"/>
      <c r="AS787" s="85"/>
      <c r="AT787" s="85"/>
      <c r="AU787" s="85"/>
      <c r="AV787" s="85"/>
      <c r="AW787" s="85"/>
      <c r="AX787" s="85"/>
      <c r="AY787" s="85"/>
      <c r="AZ787" s="85"/>
      <c r="BA787" s="85"/>
      <c r="BB787" s="85"/>
      <c r="BC787" s="85"/>
    </row>
    <row r="788" spans="1:55" ht="15.75" customHeight="1">
      <c r="A788" s="104"/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  <c r="AA788" s="85"/>
      <c r="AB788" s="85"/>
      <c r="AC788" s="85"/>
      <c r="AD788" s="85"/>
      <c r="AE788" s="85"/>
      <c r="AF788" s="85"/>
      <c r="AG788" s="85"/>
      <c r="AH788" s="85"/>
      <c r="AI788" s="85"/>
      <c r="AJ788" s="85"/>
      <c r="AK788" s="85"/>
      <c r="AL788" s="85"/>
      <c r="AM788" s="85"/>
      <c r="AN788" s="85"/>
      <c r="AO788" s="85"/>
      <c r="AP788" s="85"/>
      <c r="AQ788" s="85"/>
      <c r="AR788" s="85"/>
      <c r="AS788" s="85"/>
      <c r="AT788" s="85"/>
      <c r="AU788" s="85"/>
      <c r="AV788" s="85"/>
      <c r="AW788" s="85"/>
      <c r="AX788" s="85"/>
      <c r="AY788" s="85"/>
      <c r="AZ788" s="85"/>
      <c r="BA788" s="85"/>
      <c r="BB788" s="85"/>
      <c r="BC788" s="85"/>
    </row>
    <row r="789" spans="1:55" ht="15.75" customHeight="1">
      <c r="A789" s="104"/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  <c r="AA789" s="85"/>
      <c r="AB789" s="85"/>
      <c r="AC789" s="85"/>
      <c r="AD789" s="85"/>
      <c r="AE789" s="85"/>
      <c r="AF789" s="85"/>
      <c r="AG789" s="85"/>
      <c r="AH789" s="85"/>
      <c r="AI789" s="85"/>
      <c r="AJ789" s="85"/>
      <c r="AK789" s="85"/>
      <c r="AL789" s="85"/>
      <c r="AM789" s="85"/>
      <c r="AN789" s="85"/>
      <c r="AO789" s="85"/>
      <c r="AP789" s="85"/>
      <c r="AQ789" s="85"/>
      <c r="AR789" s="85"/>
      <c r="AS789" s="85"/>
      <c r="AT789" s="85"/>
      <c r="AU789" s="85"/>
      <c r="AV789" s="85"/>
      <c r="AW789" s="85"/>
      <c r="AX789" s="85"/>
      <c r="AY789" s="85"/>
      <c r="AZ789" s="85"/>
      <c r="BA789" s="85"/>
      <c r="BB789" s="85"/>
      <c r="BC789" s="85"/>
    </row>
    <row r="790" spans="1:55" ht="15.75" customHeight="1">
      <c r="A790" s="104"/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  <c r="AA790" s="85"/>
      <c r="AB790" s="85"/>
      <c r="AC790" s="85"/>
      <c r="AD790" s="85"/>
      <c r="AE790" s="85"/>
      <c r="AF790" s="85"/>
      <c r="AG790" s="85"/>
      <c r="AH790" s="85"/>
      <c r="AI790" s="85"/>
      <c r="AJ790" s="85"/>
      <c r="AK790" s="85"/>
      <c r="AL790" s="85"/>
      <c r="AM790" s="85"/>
      <c r="AN790" s="85"/>
      <c r="AO790" s="85"/>
      <c r="AP790" s="85"/>
      <c r="AQ790" s="85"/>
      <c r="AR790" s="85"/>
      <c r="AS790" s="85"/>
      <c r="AT790" s="85"/>
      <c r="AU790" s="85"/>
      <c r="AV790" s="85"/>
      <c r="AW790" s="85"/>
      <c r="AX790" s="85"/>
      <c r="AY790" s="85"/>
      <c r="AZ790" s="85"/>
      <c r="BA790" s="85"/>
      <c r="BB790" s="85"/>
      <c r="BC790" s="85"/>
    </row>
    <row r="791" spans="1:55" ht="15.75" customHeight="1">
      <c r="A791" s="104"/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  <c r="AA791" s="85"/>
      <c r="AB791" s="85"/>
      <c r="AC791" s="85"/>
      <c r="AD791" s="85"/>
      <c r="AE791" s="85"/>
      <c r="AF791" s="85"/>
      <c r="AG791" s="85"/>
      <c r="AH791" s="85"/>
      <c r="AI791" s="85"/>
      <c r="AJ791" s="85"/>
      <c r="AK791" s="85"/>
      <c r="AL791" s="85"/>
      <c r="AM791" s="85"/>
      <c r="AN791" s="85"/>
      <c r="AO791" s="85"/>
      <c r="AP791" s="85"/>
      <c r="AQ791" s="85"/>
      <c r="AR791" s="85"/>
      <c r="AS791" s="85"/>
      <c r="AT791" s="85"/>
      <c r="AU791" s="85"/>
      <c r="AV791" s="85"/>
      <c r="AW791" s="85"/>
      <c r="AX791" s="85"/>
      <c r="AY791" s="85"/>
      <c r="AZ791" s="85"/>
      <c r="BA791" s="85"/>
      <c r="BB791" s="85"/>
      <c r="BC791" s="85"/>
    </row>
    <row r="792" spans="1:55" ht="15.75" customHeight="1">
      <c r="A792" s="104"/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  <c r="AA792" s="85"/>
      <c r="AB792" s="85"/>
      <c r="AC792" s="85"/>
      <c r="AD792" s="85"/>
      <c r="AE792" s="85"/>
      <c r="AF792" s="85"/>
      <c r="AG792" s="85"/>
      <c r="AH792" s="85"/>
      <c r="AI792" s="85"/>
      <c r="AJ792" s="85"/>
      <c r="AK792" s="85"/>
      <c r="AL792" s="85"/>
      <c r="AM792" s="85"/>
      <c r="AN792" s="85"/>
      <c r="AO792" s="85"/>
      <c r="AP792" s="85"/>
      <c r="AQ792" s="85"/>
      <c r="AR792" s="85"/>
      <c r="AS792" s="85"/>
      <c r="AT792" s="85"/>
      <c r="AU792" s="85"/>
      <c r="AV792" s="85"/>
      <c r="AW792" s="85"/>
      <c r="AX792" s="85"/>
      <c r="AY792" s="85"/>
      <c r="AZ792" s="85"/>
      <c r="BA792" s="85"/>
      <c r="BB792" s="85"/>
      <c r="BC792" s="85"/>
    </row>
    <row r="793" spans="1:55" ht="15.75" customHeight="1">
      <c r="A793" s="104"/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  <c r="AA793" s="85"/>
      <c r="AB793" s="85"/>
      <c r="AC793" s="85"/>
      <c r="AD793" s="85"/>
      <c r="AE793" s="85"/>
      <c r="AF793" s="85"/>
      <c r="AG793" s="85"/>
      <c r="AH793" s="85"/>
      <c r="AI793" s="85"/>
      <c r="AJ793" s="85"/>
      <c r="AK793" s="85"/>
      <c r="AL793" s="85"/>
      <c r="AM793" s="85"/>
      <c r="AN793" s="85"/>
      <c r="AO793" s="85"/>
      <c r="AP793" s="85"/>
      <c r="AQ793" s="85"/>
      <c r="AR793" s="85"/>
      <c r="AS793" s="85"/>
      <c r="AT793" s="85"/>
      <c r="AU793" s="85"/>
      <c r="AV793" s="85"/>
      <c r="AW793" s="85"/>
      <c r="AX793" s="85"/>
      <c r="AY793" s="85"/>
      <c r="AZ793" s="85"/>
      <c r="BA793" s="85"/>
      <c r="BB793" s="85"/>
      <c r="BC793" s="85"/>
    </row>
    <row r="794" spans="1:55" ht="15.75" customHeight="1">
      <c r="A794" s="104"/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  <c r="AA794" s="85"/>
      <c r="AB794" s="85"/>
      <c r="AC794" s="85"/>
      <c r="AD794" s="85"/>
      <c r="AE794" s="85"/>
      <c r="AF794" s="85"/>
      <c r="AG794" s="85"/>
      <c r="AH794" s="85"/>
      <c r="AI794" s="85"/>
      <c r="AJ794" s="85"/>
      <c r="AK794" s="85"/>
      <c r="AL794" s="85"/>
      <c r="AM794" s="85"/>
      <c r="AN794" s="85"/>
      <c r="AO794" s="85"/>
      <c r="AP794" s="85"/>
      <c r="AQ794" s="85"/>
      <c r="AR794" s="85"/>
      <c r="AS794" s="85"/>
      <c r="AT794" s="85"/>
      <c r="AU794" s="85"/>
      <c r="AV794" s="85"/>
      <c r="AW794" s="85"/>
      <c r="AX794" s="85"/>
      <c r="AY794" s="85"/>
      <c r="AZ794" s="85"/>
      <c r="BA794" s="85"/>
      <c r="BB794" s="85"/>
      <c r="BC794" s="85"/>
    </row>
    <row r="795" spans="1:55" ht="15.75" customHeight="1">
      <c r="A795" s="104"/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  <c r="AA795" s="85"/>
      <c r="AB795" s="85"/>
      <c r="AC795" s="85"/>
      <c r="AD795" s="85"/>
      <c r="AE795" s="85"/>
      <c r="AF795" s="85"/>
      <c r="AG795" s="85"/>
      <c r="AH795" s="85"/>
      <c r="AI795" s="85"/>
      <c r="AJ795" s="85"/>
      <c r="AK795" s="85"/>
      <c r="AL795" s="85"/>
      <c r="AM795" s="85"/>
      <c r="AN795" s="85"/>
      <c r="AO795" s="85"/>
      <c r="AP795" s="85"/>
      <c r="AQ795" s="85"/>
      <c r="AR795" s="85"/>
      <c r="AS795" s="85"/>
      <c r="AT795" s="85"/>
      <c r="AU795" s="85"/>
      <c r="AV795" s="85"/>
      <c r="AW795" s="85"/>
      <c r="AX795" s="85"/>
      <c r="AY795" s="85"/>
      <c r="AZ795" s="85"/>
      <c r="BA795" s="85"/>
      <c r="BB795" s="85"/>
      <c r="BC795" s="85"/>
    </row>
    <row r="796" spans="1:55" ht="15.75" customHeight="1">
      <c r="A796" s="104"/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  <c r="AA796" s="85"/>
      <c r="AB796" s="85"/>
      <c r="AC796" s="85"/>
      <c r="AD796" s="85"/>
      <c r="AE796" s="85"/>
      <c r="AF796" s="85"/>
      <c r="AG796" s="85"/>
      <c r="AH796" s="85"/>
      <c r="AI796" s="85"/>
      <c r="AJ796" s="85"/>
      <c r="AK796" s="85"/>
      <c r="AL796" s="85"/>
      <c r="AM796" s="85"/>
      <c r="AN796" s="85"/>
      <c r="AO796" s="85"/>
      <c r="AP796" s="85"/>
      <c r="AQ796" s="85"/>
      <c r="AR796" s="85"/>
      <c r="AS796" s="85"/>
      <c r="AT796" s="85"/>
      <c r="AU796" s="85"/>
      <c r="AV796" s="85"/>
      <c r="AW796" s="85"/>
      <c r="AX796" s="85"/>
      <c r="AY796" s="85"/>
      <c r="AZ796" s="85"/>
      <c r="BA796" s="85"/>
      <c r="BB796" s="85"/>
      <c r="BC796" s="85"/>
    </row>
    <row r="797" spans="1:55" ht="15.75" customHeight="1">
      <c r="A797" s="104"/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  <c r="AA797" s="85"/>
      <c r="AB797" s="85"/>
      <c r="AC797" s="85"/>
      <c r="AD797" s="85"/>
      <c r="AE797" s="85"/>
      <c r="AF797" s="85"/>
      <c r="AG797" s="85"/>
      <c r="AH797" s="85"/>
      <c r="AI797" s="85"/>
      <c r="AJ797" s="85"/>
      <c r="AK797" s="85"/>
      <c r="AL797" s="85"/>
      <c r="AM797" s="85"/>
      <c r="AN797" s="85"/>
      <c r="AO797" s="85"/>
      <c r="AP797" s="85"/>
      <c r="AQ797" s="85"/>
      <c r="AR797" s="85"/>
      <c r="AS797" s="85"/>
      <c r="AT797" s="85"/>
      <c r="AU797" s="85"/>
      <c r="AV797" s="85"/>
      <c r="AW797" s="85"/>
      <c r="AX797" s="85"/>
      <c r="AY797" s="85"/>
      <c r="AZ797" s="85"/>
      <c r="BA797" s="85"/>
      <c r="BB797" s="85"/>
      <c r="BC797" s="85"/>
    </row>
    <row r="798" spans="1:55" ht="15.75" customHeight="1">
      <c r="A798" s="104"/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  <c r="AA798" s="85"/>
      <c r="AB798" s="85"/>
      <c r="AC798" s="85"/>
      <c r="AD798" s="85"/>
      <c r="AE798" s="85"/>
      <c r="AF798" s="85"/>
      <c r="AG798" s="85"/>
      <c r="AH798" s="85"/>
      <c r="AI798" s="85"/>
      <c r="AJ798" s="85"/>
      <c r="AK798" s="85"/>
      <c r="AL798" s="85"/>
      <c r="AM798" s="85"/>
      <c r="AN798" s="85"/>
      <c r="AO798" s="85"/>
      <c r="AP798" s="85"/>
      <c r="AQ798" s="85"/>
      <c r="AR798" s="85"/>
      <c r="AS798" s="85"/>
      <c r="AT798" s="85"/>
      <c r="AU798" s="85"/>
      <c r="AV798" s="85"/>
      <c r="AW798" s="85"/>
      <c r="AX798" s="85"/>
      <c r="AY798" s="85"/>
      <c r="AZ798" s="85"/>
      <c r="BA798" s="85"/>
      <c r="BB798" s="85"/>
      <c r="BC798" s="85"/>
    </row>
    <row r="799" spans="1:55" ht="15.75" customHeight="1">
      <c r="A799" s="104"/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  <c r="AA799" s="85"/>
      <c r="AB799" s="85"/>
      <c r="AC799" s="85"/>
      <c r="AD799" s="85"/>
      <c r="AE799" s="85"/>
      <c r="AF799" s="85"/>
      <c r="AG799" s="85"/>
      <c r="AH799" s="85"/>
      <c r="AI799" s="85"/>
      <c r="AJ799" s="85"/>
      <c r="AK799" s="85"/>
      <c r="AL799" s="85"/>
      <c r="AM799" s="85"/>
      <c r="AN799" s="85"/>
      <c r="AO799" s="85"/>
      <c r="AP799" s="85"/>
      <c r="AQ799" s="85"/>
      <c r="AR799" s="85"/>
      <c r="AS799" s="85"/>
      <c r="AT799" s="85"/>
      <c r="AU799" s="85"/>
      <c r="AV799" s="85"/>
      <c r="AW799" s="85"/>
      <c r="AX799" s="85"/>
      <c r="AY799" s="85"/>
      <c r="AZ799" s="85"/>
      <c r="BA799" s="85"/>
      <c r="BB799" s="85"/>
      <c r="BC799" s="85"/>
    </row>
    <row r="800" spans="1:55" ht="15.75" customHeight="1">
      <c r="A800" s="104"/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  <c r="AA800" s="85"/>
      <c r="AB800" s="85"/>
      <c r="AC800" s="85"/>
      <c r="AD800" s="85"/>
      <c r="AE800" s="85"/>
      <c r="AF800" s="85"/>
      <c r="AG800" s="85"/>
      <c r="AH800" s="85"/>
      <c r="AI800" s="85"/>
      <c r="AJ800" s="85"/>
      <c r="AK800" s="85"/>
      <c r="AL800" s="85"/>
      <c r="AM800" s="85"/>
      <c r="AN800" s="85"/>
      <c r="AO800" s="85"/>
      <c r="AP800" s="85"/>
      <c r="AQ800" s="85"/>
      <c r="AR800" s="85"/>
      <c r="AS800" s="85"/>
      <c r="AT800" s="85"/>
      <c r="AU800" s="85"/>
      <c r="AV800" s="85"/>
      <c r="AW800" s="85"/>
      <c r="AX800" s="85"/>
      <c r="AY800" s="85"/>
      <c r="AZ800" s="85"/>
      <c r="BA800" s="85"/>
      <c r="BB800" s="85"/>
      <c r="BC800" s="85"/>
    </row>
    <row r="801" spans="1:55" ht="15.75" customHeight="1">
      <c r="A801" s="104"/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  <c r="AA801" s="85"/>
      <c r="AB801" s="85"/>
      <c r="AC801" s="85"/>
      <c r="AD801" s="85"/>
      <c r="AE801" s="85"/>
      <c r="AF801" s="85"/>
      <c r="AG801" s="85"/>
      <c r="AH801" s="85"/>
      <c r="AI801" s="85"/>
      <c r="AJ801" s="85"/>
      <c r="AK801" s="85"/>
      <c r="AL801" s="85"/>
      <c r="AM801" s="85"/>
      <c r="AN801" s="85"/>
      <c r="AO801" s="85"/>
      <c r="AP801" s="85"/>
      <c r="AQ801" s="85"/>
      <c r="AR801" s="85"/>
      <c r="AS801" s="85"/>
      <c r="AT801" s="85"/>
      <c r="AU801" s="85"/>
      <c r="AV801" s="85"/>
      <c r="AW801" s="85"/>
      <c r="AX801" s="85"/>
      <c r="AY801" s="85"/>
      <c r="AZ801" s="85"/>
      <c r="BA801" s="85"/>
      <c r="BB801" s="85"/>
      <c r="BC801" s="85"/>
    </row>
    <row r="802" spans="1:55" ht="15.75" customHeight="1">
      <c r="A802" s="104"/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  <c r="AA802" s="85"/>
      <c r="AB802" s="85"/>
      <c r="AC802" s="85"/>
      <c r="AD802" s="85"/>
      <c r="AE802" s="85"/>
      <c r="AF802" s="85"/>
      <c r="AG802" s="85"/>
      <c r="AH802" s="85"/>
      <c r="AI802" s="85"/>
      <c r="AJ802" s="85"/>
      <c r="AK802" s="85"/>
      <c r="AL802" s="85"/>
      <c r="AM802" s="85"/>
      <c r="AN802" s="85"/>
      <c r="AO802" s="85"/>
      <c r="AP802" s="85"/>
      <c r="AQ802" s="85"/>
      <c r="AR802" s="85"/>
      <c r="AS802" s="85"/>
      <c r="AT802" s="85"/>
      <c r="AU802" s="85"/>
      <c r="AV802" s="85"/>
      <c r="AW802" s="85"/>
      <c r="AX802" s="85"/>
      <c r="AY802" s="85"/>
      <c r="AZ802" s="85"/>
      <c r="BA802" s="85"/>
      <c r="BB802" s="85"/>
      <c r="BC802" s="85"/>
    </row>
    <row r="803" spans="1:55" ht="15.75" customHeight="1">
      <c r="A803" s="104"/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  <c r="AA803" s="85"/>
      <c r="AB803" s="85"/>
      <c r="AC803" s="85"/>
      <c r="AD803" s="85"/>
      <c r="AE803" s="85"/>
      <c r="AF803" s="85"/>
      <c r="AG803" s="85"/>
      <c r="AH803" s="85"/>
      <c r="AI803" s="85"/>
      <c r="AJ803" s="85"/>
      <c r="AK803" s="85"/>
      <c r="AL803" s="85"/>
      <c r="AM803" s="85"/>
      <c r="AN803" s="85"/>
      <c r="AO803" s="85"/>
      <c r="AP803" s="85"/>
      <c r="AQ803" s="85"/>
      <c r="AR803" s="85"/>
      <c r="AS803" s="85"/>
      <c r="AT803" s="85"/>
      <c r="AU803" s="85"/>
      <c r="AV803" s="85"/>
      <c r="AW803" s="85"/>
      <c r="AX803" s="85"/>
      <c r="AY803" s="85"/>
      <c r="AZ803" s="85"/>
      <c r="BA803" s="85"/>
      <c r="BB803" s="85"/>
      <c r="BC803" s="85"/>
    </row>
    <row r="804" spans="1:55" ht="15.75" customHeight="1">
      <c r="A804" s="104"/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  <c r="AA804" s="85"/>
      <c r="AB804" s="85"/>
      <c r="AC804" s="85"/>
      <c r="AD804" s="85"/>
      <c r="AE804" s="85"/>
      <c r="AF804" s="85"/>
      <c r="AG804" s="85"/>
      <c r="AH804" s="85"/>
      <c r="AI804" s="85"/>
      <c r="AJ804" s="85"/>
      <c r="AK804" s="85"/>
      <c r="AL804" s="85"/>
      <c r="AM804" s="85"/>
      <c r="AN804" s="85"/>
      <c r="AO804" s="85"/>
      <c r="AP804" s="85"/>
      <c r="AQ804" s="85"/>
      <c r="AR804" s="85"/>
      <c r="AS804" s="85"/>
      <c r="AT804" s="85"/>
      <c r="AU804" s="85"/>
      <c r="AV804" s="85"/>
      <c r="AW804" s="85"/>
      <c r="AX804" s="85"/>
      <c r="AY804" s="85"/>
      <c r="AZ804" s="85"/>
      <c r="BA804" s="85"/>
      <c r="BB804" s="85"/>
      <c r="BC804" s="85"/>
    </row>
    <row r="805" spans="1:55" ht="15.75" customHeight="1">
      <c r="A805" s="104"/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  <c r="AA805" s="85"/>
      <c r="AB805" s="85"/>
      <c r="AC805" s="85"/>
      <c r="AD805" s="85"/>
      <c r="AE805" s="85"/>
      <c r="AF805" s="85"/>
      <c r="AG805" s="85"/>
      <c r="AH805" s="85"/>
      <c r="AI805" s="85"/>
      <c r="AJ805" s="85"/>
      <c r="AK805" s="85"/>
      <c r="AL805" s="85"/>
      <c r="AM805" s="85"/>
      <c r="AN805" s="85"/>
      <c r="AO805" s="85"/>
      <c r="AP805" s="85"/>
      <c r="AQ805" s="85"/>
      <c r="AR805" s="85"/>
      <c r="AS805" s="85"/>
      <c r="AT805" s="85"/>
      <c r="AU805" s="85"/>
      <c r="AV805" s="85"/>
      <c r="AW805" s="85"/>
      <c r="AX805" s="85"/>
      <c r="AY805" s="85"/>
      <c r="AZ805" s="85"/>
      <c r="BA805" s="85"/>
      <c r="BB805" s="85"/>
      <c r="BC805" s="85"/>
    </row>
    <row r="806" spans="1:55" ht="15.75" customHeight="1">
      <c r="A806" s="104"/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  <c r="AA806" s="85"/>
      <c r="AB806" s="85"/>
      <c r="AC806" s="85"/>
      <c r="AD806" s="85"/>
      <c r="AE806" s="85"/>
      <c r="AF806" s="85"/>
      <c r="AG806" s="85"/>
      <c r="AH806" s="85"/>
      <c r="AI806" s="85"/>
      <c r="AJ806" s="85"/>
      <c r="AK806" s="85"/>
      <c r="AL806" s="85"/>
      <c r="AM806" s="85"/>
      <c r="AN806" s="85"/>
      <c r="AO806" s="85"/>
      <c r="AP806" s="85"/>
      <c r="AQ806" s="85"/>
      <c r="AR806" s="85"/>
      <c r="AS806" s="85"/>
      <c r="AT806" s="85"/>
      <c r="AU806" s="85"/>
      <c r="AV806" s="85"/>
      <c r="AW806" s="85"/>
      <c r="AX806" s="85"/>
      <c r="AY806" s="85"/>
      <c r="AZ806" s="85"/>
      <c r="BA806" s="85"/>
      <c r="BB806" s="85"/>
      <c r="BC806" s="85"/>
    </row>
    <row r="807" spans="1:55" ht="15.75" customHeight="1">
      <c r="A807" s="104"/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  <c r="AA807" s="85"/>
      <c r="AB807" s="85"/>
      <c r="AC807" s="85"/>
      <c r="AD807" s="85"/>
      <c r="AE807" s="85"/>
      <c r="AF807" s="85"/>
      <c r="AG807" s="85"/>
      <c r="AH807" s="85"/>
      <c r="AI807" s="85"/>
      <c r="AJ807" s="85"/>
      <c r="AK807" s="85"/>
      <c r="AL807" s="85"/>
      <c r="AM807" s="85"/>
      <c r="AN807" s="85"/>
      <c r="AO807" s="85"/>
      <c r="AP807" s="85"/>
      <c r="AQ807" s="85"/>
      <c r="AR807" s="85"/>
      <c r="AS807" s="85"/>
      <c r="AT807" s="85"/>
      <c r="AU807" s="85"/>
      <c r="AV807" s="85"/>
      <c r="AW807" s="85"/>
      <c r="AX807" s="85"/>
      <c r="AY807" s="85"/>
      <c r="AZ807" s="85"/>
      <c r="BA807" s="85"/>
      <c r="BB807" s="85"/>
      <c r="BC807" s="85"/>
    </row>
    <row r="808" spans="1:55" ht="15.75" customHeight="1">
      <c r="A808" s="104"/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  <c r="AA808" s="85"/>
      <c r="AB808" s="85"/>
      <c r="AC808" s="85"/>
      <c r="AD808" s="85"/>
      <c r="AE808" s="85"/>
      <c r="AF808" s="85"/>
      <c r="AG808" s="85"/>
      <c r="AH808" s="85"/>
      <c r="AI808" s="85"/>
      <c r="AJ808" s="85"/>
      <c r="AK808" s="85"/>
      <c r="AL808" s="85"/>
      <c r="AM808" s="85"/>
      <c r="AN808" s="85"/>
      <c r="AO808" s="85"/>
      <c r="AP808" s="85"/>
      <c r="AQ808" s="85"/>
      <c r="AR808" s="85"/>
      <c r="AS808" s="85"/>
      <c r="AT808" s="85"/>
      <c r="AU808" s="85"/>
      <c r="AV808" s="85"/>
      <c r="AW808" s="85"/>
      <c r="AX808" s="85"/>
      <c r="AY808" s="85"/>
      <c r="AZ808" s="85"/>
      <c r="BA808" s="85"/>
      <c r="BB808" s="85"/>
      <c r="BC808" s="85"/>
    </row>
    <row r="809" spans="1:55" ht="15.75" customHeight="1">
      <c r="A809" s="104"/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  <c r="AA809" s="85"/>
      <c r="AB809" s="85"/>
      <c r="AC809" s="85"/>
      <c r="AD809" s="85"/>
      <c r="AE809" s="85"/>
      <c r="AF809" s="85"/>
      <c r="AG809" s="85"/>
      <c r="AH809" s="85"/>
      <c r="AI809" s="85"/>
      <c r="AJ809" s="85"/>
      <c r="AK809" s="85"/>
      <c r="AL809" s="85"/>
      <c r="AM809" s="85"/>
      <c r="AN809" s="85"/>
      <c r="AO809" s="85"/>
      <c r="AP809" s="85"/>
      <c r="AQ809" s="85"/>
      <c r="AR809" s="85"/>
      <c r="AS809" s="85"/>
      <c r="AT809" s="85"/>
      <c r="AU809" s="85"/>
      <c r="AV809" s="85"/>
      <c r="AW809" s="85"/>
      <c r="AX809" s="85"/>
      <c r="AY809" s="85"/>
      <c r="AZ809" s="85"/>
      <c r="BA809" s="85"/>
      <c r="BB809" s="85"/>
      <c r="BC809" s="85"/>
    </row>
    <row r="810" spans="1:55" ht="15.75" customHeight="1">
      <c r="A810" s="104"/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  <c r="AA810" s="85"/>
      <c r="AB810" s="85"/>
      <c r="AC810" s="85"/>
      <c r="AD810" s="85"/>
      <c r="AE810" s="85"/>
      <c r="AF810" s="85"/>
      <c r="AG810" s="85"/>
      <c r="AH810" s="85"/>
      <c r="AI810" s="85"/>
      <c r="AJ810" s="85"/>
      <c r="AK810" s="85"/>
      <c r="AL810" s="85"/>
      <c r="AM810" s="85"/>
      <c r="AN810" s="85"/>
      <c r="AO810" s="85"/>
      <c r="AP810" s="85"/>
      <c r="AQ810" s="85"/>
      <c r="AR810" s="85"/>
      <c r="AS810" s="85"/>
      <c r="AT810" s="85"/>
      <c r="AU810" s="85"/>
      <c r="AV810" s="85"/>
      <c r="AW810" s="85"/>
      <c r="AX810" s="85"/>
      <c r="AY810" s="85"/>
      <c r="AZ810" s="85"/>
      <c r="BA810" s="85"/>
      <c r="BB810" s="85"/>
      <c r="BC810" s="85"/>
    </row>
    <row r="811" spans="1:55" ht="15.75" customHeight="1">
      <c r="A811" s="104"/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  <c r="AA811" s="85"/>
      <c r="AB811" s="85"/>
      <c r="AC811" s="85"/>
      <c r="AD811" s="85"/>
      <c r="AE811" s="85"/>
      <c r="AF811" s="85"/>
      <c r="AG811" s="85"/>
      <c r="AH811" s="85"/>
      <c r="AI811" s="85"/>
      <c r="AJ811" s="85"/>
      <c r="AK811" s="85"/>
      <c r="AL811" s="85"/>
      <c r="AM811" s="85"/>
      <c r="AN811" s="85"/>
      <c r="AO811" s="85"/>
      <c r="AP811" s="85"/>
      <c r="AQ811" s="85"/>
      <c r="AR811" s="85"/>
      <c r="AS811" s="85"/>
      <c r="AT811" s="85"/>
      <c r="AU811" s="85"/>
      <c r="AV811" s="85"/>
      <c r="AW811" s="85"/>
      <c r="AX811" s="85"/>
      <c r="AY811" s="85"/>
      <c r="AZ811" s="85"/>
      <c r="BA811" s="85"/>
      <c r="BB811" s="85"/>
      <c r="BC811" s="85"/>
    </row>
    <row r="812" spans="1:55" ht="15.75" customHeight="1">
      <c r="A812" s="104"/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  <c r="AA812" s="85"/>
      <c r="AB812" s="85"/>
      <c r="AC812" s="85"/>
      <c r="AD812" s="85"/>
      <c r="AE812" s="85"/>
      <c r="AF812" s="85"/>
      <c r="AG812" s="85"/>
      <c r="AH812" s="85"/>
      <c r="AI812" s="85"/>
      <c r="AJ812" s="85"/>
      <c r="AK812" s="85"/>
      <c r="AL812" s="85"/>
      <c r="AM812" s="85"/>
      <c r="AN812" s="85"/>
      <c r="AO812" s="85"/>
      <c r="AP812" s="85"/>
      <c r="AQ812" s="85"/>
      <c r="AR812" s="85"/>
      <c r="AS812" s="85"/>
      <c r="AT812" s="85"/>
      <c r="AU812" s="85"/>
      <c r="AV812" s="85"/>
      <c r="AW812" s="85"/>
      <c r="AX812" s="85"/>
      <c r="AY812" s="85"/>
      <c r="AZ812" s="85"/>
      <c r="BA812" s="85"/>
      <c r="BB812" s="85"/>
      <c r="BC812" s="85"/>
    </row>
    <row r="813" spans="1:55" ht="15.75" customHeight="1">
      <c r="A813" s="104"/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  <c r="AA813" s="85"/>
      <c r="AB813" s="85"/>
      <c r="AC813" s="85"/>
      <c r="AD813" s="85"/>
      <c r="AE813" s="85"/>
      <c r="AF813" s="85"/>
      <c r="AG813" s="85"/>
      <c r="AH813" s="85"/>
      <c r="AI813" s="85"/>
      <c r="AJ813" s="85"/>
      <c r="AK813" s="85"/>
      <c r="AL813" s="85"/>
      <c r="AM813" s="85"/>
      <c r="AN813" s="85"/>
      <c r="AO813" s="85"/>
      <c r="AP813" s="85"/>
      <c r="AQ813" s="85"/>
      <c r="AR813" s="85"/>
      <c r="AS813" s="85"/>
      <c r="AT813" s="85"/>
      <c r="AU813" s="85"/>
      <c r="AV813" s="85"/>
      <c r="AW813" s="85"/>
      <c r="AX813" s="85"/>
      <c r="AY813" s="85"/>
      <c r="AZ813" s="85"/>
      <c r="BA813" s="85"/>
      <c r="BB813" s="85"/>
      <c r="BC813" s="85"/>
    </row>
    <row r="814" spans="1:55" ht="15.75" customHeight="1">
      <c r="A814" s="104"/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  <c r="AA814" s="85"/>
      <c r="AB814" s="85"/>
      <c r="AC814" s="85"/>
      <c r="AD814" s="85"/>
      <c r="AE814" s="85"/>
      <c r="AF814" s="85"/>
      <c r="AG814" s="85"/>
      <c r="AH814" s="85"/>
      <c r="AI814" s="85"/>
      <c r="AJ814" s="85"/>
      <c r="AK814" s="85"/>
      <c r="AL814" s="85"/>
      <c r="AM814" s="85"/>
      <c r="AN814" s="85"/>
      <c r="AO814" s="85"/>
      <c r="AP814" s="85"/>
      <c r="AQ814" s="85"/>
      <c r="AR814" s="85"/>
      <c r="AS814" s="85"/>
      <c r="AT814" s="85"/>
      <c r="AU814" s="85"/>
      <c r="AV814" s="85"/>
      <c r="AW814" s="85"/>
      <c r="AX814" s="85"/>
      <c r="AY814" s="85"/>
      <c r="AZ814" s="85"/>
      <c r="BA814" s="85"/>
      <c r="BB814" s="85"/>
      <c r="BC814" s="85"/>
    </row>
    <row r="815" spans="1:55" ht="15.75" customHeight="1">
      <c r="A815" s="104"/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  <c r="AA815" s="85"/>
      <c r="AB815" s="85"/>
      <c r="AC815" s="85"/>
      <c r="AD815" s="85"/>
      <c r="AE815" s="85"/>
      <c r="AF815" s="85"/>
      <c r="AG815" s="85"/>
      <c r="AH815" s="85"/>
      <c r="AI815" s="85"/>
      <c r="AJ815" s="85"/>
      <c r="AK815" s="85"/>
      <c r="AL815" s="85"/>
      <c r="AM815" s="85"/>
      <c r="AN815" s="85"/>
      <c r="AO815" s="85"/>
      <c r="AP815" s="85"/>
      <c r="AQ815" s="85"/>
      <c r="AR815" s="85"/>
      <c r="AS815" s="85"/>
      <c r="AT815" s="85"/>
      <c r="AU815" s="85"/>
      <c r="AV815" s="85"/>
      <c r="AW815" s="85"/>
      <c r="AX815" s="85"/>
      <c r="AY815" s="85"/>
      <c r="AZ815" s="85"/>
      <c r="BA815" s="85"/>
      <c r="BB815" s="85"/>
      <c r="BC815" s="85"/>
    </row>
    <row r="816" spans="1:55" ht="15.75" customHeight="1">
      <c r="A816" s="104"/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  <c r="AA816" s="85"/>
      <c r="AB816" s="85"/>
      <c r="AC816" s="85"/>
      <c r="AD816" s="85"/>
      <c r="AE816" s="85"/>
      <c r="AF816" s="85"/>
      <c r="AG816" s="85"/>
      <c r="AH816" s="85"/>
      <c r="AI816" s="85"/>
      <c r="AJ816" s="85"/>
      <c r="AK816" s="85"/>
      <c r="AL816" s="85"/>
      <c r="AM816" s="85"/>
      <c r="AN816" s="85"/>
      <c r="AO816" s="85"/>
      <c r="AP816" s="85"/>
      <c r="AQ816" s="85"/>
      <c r="AR816" s="85"/>
      <c r="AS816" s="85"/>
      <c r="AT816" s="85"/>
      <c r="AU816" s="85"/>
      <c r="AV816" s="85"/>
      <c r="AW816" s="85"/>
      <c r="AX816" s="85"/>
      <c r="AY816" s="85"/>
      <c r="AZ816" s="85"/>
      <c r="BA816" s="85"/>
      <c r="BB816" s="85"/>
      <c r="BC816" s="85"/>
    </row>
    <row r="817" spans="1:55" ht="15.75" customHeight="1">
      <c r="A817" s="104"/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  <c r="AA817" s="85"/>
      <c r="AB817" s="85"/>
      <c r="AC817" s="85"/>
      <c r="AD817" s="85"/>
      <c r="AE817" s="85"/>
      <c r="AF817" s="85"/>
      <c r="AG817" s="85"/>
      <c r="AH817" s="85"/>
      <c r="AI817" s="85"/>
      <c r="AJ817" s="85"/>
      <c r="AK817" s="85"/>
      <c r="AL817" s="85"/>
      <c r="AM817" s="85"/>
      <c r="AN817" s="85"/>
      <c r="AO817" s="85"/>
      <c r="AP817" s="85"/>
      <c r="AQ817" s="85"/>
      <c r="AR817" s="85"/>
      <c r="AS817" s="85"/>
      <c r="AT817" s="85"/>
      <c r="AU817" s="85"/>
      <c r="AV817" s="85"/>
      <c r="AW817" s="85"/>
      <c r="AX817" s="85"/>
      <c r="AY817" s="85"/>
      <c r="AZ817" s="85"/>
      <c r="BA817" s="85"/>
      <c r="BB817" s="85"/>
      <c r="BC817" s="85"/>
    </row>
    <row r="818" spans="1:55" ht="15.75" customHeight="1">
      <c r="A818" s="104"/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  <c r="AA818" s="85"/>
      <c r="AB818" s="85"/>
      <c r="AC818" s="85"/>
      <c r="AD818" s="85"/>
      <c r="AE818" s="85"/>
      <c r="AF818" s="85"/>
      <c r="AG818" s="85"/>
      <c r="AH818" s="85"/>
      <c r="AI818" s="85"/>
      <c r="AJ818" s="85"/>
      <c r="AK818" s="85"/>
      <c r="AL818" s="85"/>
      <c r="AM818" s="85"/>
      <c r="AN818" s="85"/>
      <c r="AO818" s="85"/>
      <c r="AP818" s="85"/>
      <c r="AQ818" s="85"/>
      <c r="AR818" s="85"/>
      <c r="AS818" s="85"/>
      <c r="AT818" s="85"/>
      <c r="AU818" s="85"/>
      <c r="AV818" s="85"/>
      <c r="AW818" s="85"/>
      <c r="AX818" s="85"/>
      <c r="AY818" s="85"/>
      <c r="AZ818" s="85"/>
      <c r="BA818" s="85"/>
      <c r="BB818" s="85"/>
      <c r="BC818" s="85"/>
    </row>
    <row r="819" spans="1:55" ht="15.75" customHeight="1">
      <c r="A819" s="104"/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  <c r="AA819" s="85"/>
      <c r="AB819" s="85"/>
      <c r="AC819" s="85"/>
      <c r="AD819" s="85"/>
      <c r="AE819" s="85"/>
      <c r="AF819" s="85"/>
      <c r="AG819" s="85"/>
      <c r="AH819" s="85"/>
      <c r="AI819" s="85"/>
      <c r="AJ819" s="85"/>
      <c r="AK819" s="85"/>
      <c r="AL819" s="85"/>
      <c r="AM819" s="85"/>
      <c r="AN819" s="85"/>
      <c r="AO819" s="85"/>
      <c r="AP819" s="85"/>
      <c r="AQ819" s="85"/>
      <c r="AR819" s="85"/>
      <c r="AS819" s="85"/>
      <c r="AT819" s="85"/>
      <c r="AU819" s="85"/>
      <c r="AV819" s="85"/>
      <c r="AW819" s="85"/>
      <c r="AX819" s="85"/>
      <c r="AY819" s="85"/>
      <c r="AZ819" s="85"/>
      <c r="BA819" s="85"/>
      <c r="BB819" s="85"/>
      <c r="BC819" s="85"/>
    </row>
    <row r="820" spans="1:55" ht="15.75" customHeight="1">
      <c r="A820" s="104"/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  <c r="AA820" s="85"/>
      <c r="AB820" s="85"/>
      <c r="AC820" s="85"/>
      <c r="AD820" s="85"/>
      <c r="AE820" s="85"/>
      <c r="AF820" s="85"/>
      <c r="AG820" s="85"/>
      <c r="AH820" s="85"/>
      <c r="AI820" s="85"/>
      <c r="AJ820" s="85"/>
      <c r="AK820" s="85"/>
      <c r="AL820" s="85"/>
      <c r="AM820" s="85"/>
      <c r="AN820" s="85"/>
      <c r="AO820" s="85"/>
      <c r="AP820" s="85"/>
      <c r="AQ820" s="85"/>
      <c r="AR820" s="85"/>
      <c r="AS820" s="85"/>
      <c r="AT820" s="85"/>
      <c r="AU820" s="85"/>
      <c r="AV820" s="85"/>
      <c r="AW820" s="85"/>
      <c r="AX820" s="85"/>
      <c r="AY820" s="85"/>
      <c r="AZ820" s="85"/>
      <c r="BA820" s="85"/>
      <c r="BB820" s="85"/>
      <c r="BC820" s="85"/>
    </row>
    <row r="821" spans="1:55" ht="15.75" customHeight="1">
      <c r="A821" s="104"/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  <c r="AA821" s="85"/>
      <c r="AB821" s="85"/>
      <c r="AC821" s="85"/>
      <c r="AD821" s="85"/>
      <c r="AE821" s="85"/>
      <c r="AF821" s="85"/>
      <c r="AG821" s="85"/>
      <c r="AH821" s="85"/>
      <c r="AI821" s="85"/>
      <c r="AJ821" s="85"/>
      <c r="AK821" s="85"/>
      <c r="AL821" s="85"/>
      <c r="AM821" s="85"/>
      <c r="AN821" s="85"/>
      <c r="AO821" s="85"/>
      <c r="AP821" s="85"/>
      <c r="AQ821" s="85"/>
      <c r="AR821" s="85"/>
      <c r="AS821" s="85"/>
      <c r="AT821" s="85"/>
      <c r="AU821" s="85"/>
      <c r="AV821" s="85"/>
      <c r="AW821" s="85"/>
      <c r="AX821" s="85"/>
      <c r="AY821" s="85"/>
      <c r="AZ821" s="85"/>
      <c r="BA821" s="85"/>
      <c r="BB821" s="85"/>
      <c r="BC821" s="85"/>
    </row>
    <row r="822" spans="1:55" ht="15.75" customHeight="1">
      <c r="A822" s="104"/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  <c r="AA822" s="85"/>
      <c r="AB822" s="85"/>
      <c r="AC822" s="85"/>
      <c r="AD822" s="85"/>
      <c r="AE822" s="85"/>
      <c r="AF822" s="85"/>
      <c r="AG822" s="85"/>
      <c r="AH822" s="85"/>
      <c r="AI822" s="85"/>
      <c r="AJ822" s="85"/>
      <c r="AK822" s="85"/>
      <c r="AL822" s="85"/>
      <c r="AM822" s="85"/>
      <c r="AN822" s="85"/>
      <c r="AO822" s="85"/>
      <c r="AP822" s="85"/>
      <c r="AQ822" s="85"/>
      <c r="AR822" s="85"/>
      <c r="AS822" s="85"/>
      <c r="AT822" s="85"/>
      <c r="AU822" s="85"/>
      <c r="AV822" s="85"/>
      <c r="AW822" s="85"/>
      <c r="AX822" s="85"/>
      <c r="AY822" s="85"/>
      <c r="AZ822" s="85"/>
      <c r="BA822" s="85"/>
      <c r="BB822" s="85"/>
      <c r="BC822" s="85"/>
    </row>
    <row r="823" spans="1:55" ht="15.75" customHeight="1">
      <c r="A823" s="104"/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  <c r="AA823" s="85"/>
      <c r="AB823" s="85"/>
      <c r="AC823" s="85"/>
      <c r="AD823" s="85"/>
      <c r="AE823" s="85"/>
      <c r="AF823" s="85"/>
      <c r="AG823" s="85"/>
      <c r="AH823" s="85"/>
      <c r="AI823" s="85"/>
      <c r="AJ823" s="85"/>
      <c r="AK823" s="85"/>
      <c r="AL823" s="85"/>
      <c r="AM823" s="85"/>
      <c r="AN823" s="85"/>
      <c r="AO823" s="85"/>
      <c r="AP823" s="85"/>
      <c r="AQ823" s="85"/>
      <c r="AR823" s="85"/>
      <c r="AS823" s="85"/>
      <c r="AT823" s="85"/>
      <c r="AU823" s="85"/>
      <c r="AV823" s="85"/>
      <c r="AW823" s="85"/>
      <c r="AX823" s="85"/>
      <c r="AY823" s="85"/>
      <c r="AZ823" s="85"/>
      <c r="BA823" s="85"/>
      <c r="BB823" s="85"/>
      <c r="BC823" s="85"/>
    </row>
    <row r="824" spans="1:55" ht="15.75" customHeight="1">
      <c r="A824" s="104"/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  <c r="AA824" s="85"/>
      <c r="AB824" s="85"/>
      <c r="AC824" s="85"/>
      <c r="AD824" s="85"/>
      <c r="AE824" s="85"/>
      <c r="AF824" s="85"/>
      <c r="AG824" s="85"/>
      <c r="AH824" s="85"/>
      <c r="AI824" s="85"/>
      <c r="AJ824" s="85"/>
      <c r="AK824" s="85"/>
      <c r="AL824" s="85"/>
      <c r="AM824" s="85"/>
      <c r="AN824" s="85"/>
      <c r="AO824" s="85"/>
      <c r="AP824" s="85"/>
      <c r="AQ824" s="85"/>
      <c r="AR824" s="85"/>
      <c r="AS824" s="85"/>
      <c r="AT824" s="85"/>
      <c r="AU824" s="85"/>
      <c r="AV824" s="85"/>
      <c r="AW824" s="85"/>
      <c r="AX824" s="85"/>
      <c r="AY824" s="85"/>
      <c r="AZ824" s="85"/>
      <c r="BA824" s="85"/>
      <c r="BB824" s="85"/>
      <c r="BC824" s="85"/>
    </row>
    <row r="825" spans="1:55" ht="15.75" customHeight="1">
      <c r="A825" s="104"/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  <c r="AA825" s="85"/>
      <c r="AB825" s="85"/>
      <c r="AC825" s="85"/>
      <c r="AD825" s="85"/>
      <c r="AE825" s="85"/>
      <c r="AF825" s="85"/>
      <c r="AG825" s="85"/>
      <c r="AH825" s="85"/>
      <c r="AI825" s="85"/>
      <c r="AJ825" s="85"/>
      <c r="AK825" s="85"/>
      <c r="AL825" s="85"/>
      <c r="AM825" s="85"/>
      <c r="AN825" s="85"/>
      <c r="AO825" s="85"/>
      <c r="AP825" s="85"/>
      <c r="AQ825" s="85"/>
      <c r="AR825" s="85"/>
      <c r="AS825" s="85"/>
      <c r="AT825" s="85"/>
      <c r="AU825" s="85"/>
      <c r="AV825" s="85"/>
      <c r="AW825" s="85"/>
      <c r="AX825" s="85"/>
      <c r="AY825" s="85"/>
      <c r="AZ825" s="85"/>
      <c r="BA825" s="85"/>
      <c r="BB825" s="85"/>
      <c r="BC825" s="85"/>
    </row>
    <row r="826" spans="1:55" ht="15.75" customHeight="1">
      <c r="A826" s="104"/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  <c r="AA826" s="85"/>
      <c r="AB826" s="85"/>
      <c r="AC826" s="85"/>
      <c r="AD826" s="85"/>
      <c r="AE826" s="85"/>
      <c r="AF826" s="85"/>
      <c r="AG826" s="85"/>
      <c r="AH826" s="85"/>
      <c r="AI826" s="85"/>
      <c r="AJ826" s="85"/>
      <c r="AK826" s="85"/>
      <c r="AL826" s="85"/>
      <c r="AM826" s="85"/>
      <c r="AN826" s="85"/>
      <c r="AO826" s="85"/>
      <c r="AP826" s="85"/>
      <c r="AQ826" s="85"/>
      <c r="AR826" s="85"/>
      <c r="AS826" s="85"/>
      <c r="AT826" s="85"/>
      <c r="AU826" s="85"/>
      <c r="AV826" s="85"/>
      <c r="AW826" s="85"/>
      <c r="AX826" s="85"/>
      <c r="AY826" s="85"/>
      <c r="AZ826" s="85"/>
      <c r="BA826" s="85"/>
      <c r="BB826" s="85"/>
      <c r="BC826" s="85"/>
    </row>
    <row r="827" spans="1:55" ht="15.75" customHeight="1">
      <c r="A827" s="104"/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  <c r="AA827" s="85"/>
      <c r="AB827" s="85"/>
      <c r="AC827" s="85"/>
      <c r="AD827" s="85"/>
      <c r="AE827" s="85"/>
      <c r="AF827" s="85"/>
      <c r="AG827" s="85"/>
      <c r="AH827" s="85"/>
      <c r="AI827" s="85"/>
      <c r="AJ827" s="85"/>
      <c r="AK827" s="85"/>
      <c r="AL827" s="85"/>
      <c r="AM827" s="85"/>
      <c r="AN827" s="85"/>
      <c r="AO827" s="85"/>
      <c r="AP827" s="85"/>
      <c r="AQ827" s="85"/>
      <c r="AR827" s="85"/>
      <c r="AS827" s="85"/>
      <c r="AT827" s="85"/>
      <c r="AU827" s="85"/>
      <c r="AV827" s="85"/>
      <c r="AW827" s="85"/>
      <c r="AX827" s="85"/>
      <c r="AY827" s="85"/>
      <c r="AZ827" s="85"/>
      <c r="BA827" s="85"/>
      <c r="BB827" s="85"/>
      <c r="BC827" s="85"/>
    </row>
    <row r="828" spans="1:55" ht="15.75" customHeight="1">
      <c r="A828" s="104"/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  <c r="AA828" s="85"/>
      <c r="AB828" s="85"/>
      <c r="AC828" s="85"/>
      <c r="AD828" s="85"/>
      <c r="AE828" s="85"/>
      <c r="AF828" s="85"/>
      <c r="AG828" s="85"/>
      <c r="AH828" s="85"/>
      <c r="AI828" s="85"/>
      <c r="AJ828" s="85"/>
      <c r="AK828" s="85"/>
      <c r="AL828" s="85"/>
      <c r="AM828" s="85"/>
      <c r="AN828" s="85"/>
      <c r="AO828" s="85"/>
      <c r="AP828" s="85"/>
      <c r="AQ828" s="85"/>
      <c r="AR828" s="85"/>
      <c r="AS828" s="85"/>
      <c r="AT828" s="85"/>
      <c r="AU828" s="85"/>
      <c r="AV828" s="85"/>
      <c r="AW828" s="85"/>
      <c r="AX828" s="85"/>
      <c r="AY828" s="85"/>
      <c r="AZ828" s="85"/>
      <c r="BA828" s="85"/>
      <c r="BB828" s="85"/>
      <c r="BC828" s="85"/>
    </row>
    <row r="829" spans="1:55" ht="15.75" customHeight="1">
      <c r="A829" s="104"/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  <c r="AA829" s="85"/>
      <c r="AB829" s="85"/>
      <c r="AC829" s="85"/>
      <c r="AD829" s="85"/>
      <c r="AE829" s="85"/>
      <c r="AF829" s="85"/>
      <c r="AG829" s="85"/>
      <c r="AH829" s="85"/>
      <c r="AI829" s="85"/>
      <c r="AJ829" s="85"/>
      <c r="AK829" s="85"/>
      <c r="AL829" s="85"/>
      <c r="AM829" s="85"/>
      <c r="AN829" s="85"/>
      <c r="AO829" s="85"/>
      <c r="AP829" s="85"/>
      <c r="AQ829" s="85"/>
      <c r="AR829" s="85"/>
      <c r="AS829" s="85"/>
      <c r="AT829" s="85"/>
      <c r="AU829" s="85"/>
      <c r="AV829" s="85"/>
      <c r="AW829" s="85"/>
      <c r="AX829" s="85"/>
      <c r="AY829" s="85"/>
      <c r="AZ829" s="85"/>
      <c r="BA829" s="85"/>
      <c r="BB829" s="85"/>
      <c r="BC829" s="85"/>
    </row>
    <row r="830" spans="1:55" ht="15.75" customHeight="1">
      <c r="A830" s="104"/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  <c r="AA830" s="85"/>
      <c r="AB830" s="85"/>
      <c r="AC830" s="85"/>
      <c r="AD830" s="85"/>
      <c r="AE830" s="85"/>
      <c r="AF830" s="85"/>
      <c r="AG830" s="85"/>
      <c r="AH830" s="85"/>
      <c r="AI830" s="85"/>
      <c r="AJ830" s="85"/>
      <c r="AK830" s="85"/>
      <c r="AL830" s="85"/>
      <c r="AM830" s="85"/>
      <c r="AN830" s="85"/>
      <c r="AO830" s="85"/>
      <c r="AP830" s="85"/>
      <c r="AQ830" s="85"/>
      <c r="AR830" s="85"/>
      <c r="AS830" s="85"/>
      <c r="AT830" s="85"/>
      <c r="AU830" s="85"/>
      <c r="AV830" s="85"/>
      <c r="AW830" s="85"/>
      <c r="AX830" s="85"/>
      <c r="AY830" s="85"/>
      <c r="AZ830" s="85"/>
      <c r="BA830" s="85"/>
      <c r="BB830" s="85"/>
      <c r="BC830" s="85"/>
    </row>
    <row r="831" spans="1:55" ht="15.75" customHeight="1">
      <c r="A831" s="104"/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  <c r="AA831" s="85"/>
      <c r="AB831" s="85"/>
      <c r="AC831" s="85"/>
      <c r="AD831" s="85"/>
      <c r="AE831" s="85"/>
      <c r="AF831" s="85"/>
      <c r="AG831" s="85"/>
      <c r="AH831" s="85"/>
      <c r="AI831" s="85"/>
      <c r="AJ831" s="85"/>
      <c r="AK831" s="85"/>
      <c r="AL831" s="85"/>
      <c r="AM831" s="85"/>
      <c r="AN831" s="85"/>
      <c r="AO831" s="85"/>
      <c r="AP831" s="85"/>
      <c r="AQ831" s="85"/>
      <c r="AR831" s="85"/>
      <c r="AS831" s="85"/>
      <c r="AT831" s="85"/>
      <c r="AU831" s="85"/>
      <c r="AV831" s="85"/>
      <c r="AW831" s="85"/>
      <c r="AX831" s="85"/>
      <c r="AY831" s="85"/>
      <c r="AZ831" s="85"/>
      <c r="BA831" s="85"/>
      <c r="BB831" s="85"/>
      <c r="BC831" s="85"/>
    </row>
    <row r="832" spans="1:55" ht="15.75" customHeight="1">
      <c r="A832" s="104"/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  <c r="AA832" s="85"/>
      <c r="AB832" s="85"/>
      <c r="AC832" s="85"/>
      <c r="AD832" s="85"/>
      <c r="AE832" s="85"/>
      <c r="AF832" s="85"/>
      <c r="AG832" s="85"/>
      <c r="AH832" s="85"/>
      <c r="AI832" s="85"/>
      <c r="AJ832" s="85"/>
      <c r="AK832" s="85"/>
      <c r="AL832" s="85"/>
      <c r="AM832" s="85"/>
      <c r="AN832" s="85"/>
      <c r="AO832" s="85"/>
      <c r="AP832" s="85"/>
      <c r="AQ832" s="85"/>
      <c r="AR832" s="85"/>
      <c r="AS832" s="85"/>
      <c r="AT832" s="85"/>
      <c r="AU832" s="85"/>
      <c r="AV832" s="85"/>
      <c r="AW832" s="85"/>
      <c r="AX832" s="85"/>
      <c r="AY832" s="85"/>
      <c r="AZ832" s="85"/>
      <c r="BA832" s="85"/>
      <c r="BB832" s="85"/>
      <c r="BC832" s="85"/>
    </row>
    <row r="833" spans="1:55" ht="15.75" customHeight="1">
      <c r="A833" s="104"/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  <c r="AA833" s="85"/>
      <c r="AB833" s="85"/>
      <c r="AC833" s="85"/>
      <c r="AD833" s="85"/>
      <c r="AE833" s="85"/>
      <c r="AF833" s="85"/>
      <c r="AG833" s="85"/>
      <c r="AH833" s="85"/>
      <c r="AI833" s="85"/>
      <c r="AJ833" s="85"/>
      <c r="AK833" s="85"/>
      <c r="AL833" s="85"/>
      <c r="AM833" s="85"/>
      <c r="AN833" s="85"/>
      <c r="AO833" s="85"/>
      <c r="AP833" s="85"/>
      <c r="AQ833" s="85"/>
      <c r="AR833" s="85"/>
      <c r="AS833" s="85"/>
      <c r="AT833" s="85"/>
      <c r="AU833" s="85"/>
      <c r="AV833" s="85"/>
      <c r="AW833" s="85"/>
      <c r="AX833" s="85"/>
      <c r="AY833" s="85"/>
      <c r="AZ833" s="85"/>
      <c r="BA833" s="85"/>
      <c r="BB833" s="85"/>
      <c r="BC833" s="85"/>
    </row>
    <row r="834" spans="1:55" ht="15.75" customHeight="1">
      <c r="A834" s="104"/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  <c r="AA834" s="85"/>
      <c r="AB834" s="85"/>
      <c r="AC834" s="85"/>
      <c r="AD834" s="85"/>
      <c r="AE834" s="85"/>
      <c r="AF834" s="85"/>
      <c r="AG834" s="85"/>
      <c r="AH834" s="85"/>
      <c r="AI834" s="85"/>
      <c r="AJ834" s="85"/>
      <c r="AK834" s="85"/>
      <c r="AL834" s="85"/>
      <c r="AM834" s="85"/>
      <c r="AN834" s="85"/>
      <c r="AO834" s="85"/>
      <c r="AP834" s="85"/>
      <c r="AQ834" s="85"/>
      <c r="AR834" s="85"/>
      <c r="AS834" s="85"/>
      <c r="AT834" s="85"/>
      <c r="AU834" s="85"/>
      <c r="AV834" s="85"/>
      <c r="AW834" s="85"/>
      <c r="AX834" s="85"/>
      <c r="AY834" s="85"/>
      <c r="AZ834" s="85"/>
      <c r="BA834" s="85"/>
      <c r="BB834" s="85"/>
      <c r="BC834" s="85"/>
    </row>
    <row r="835" spans="1:55" ht="15.75" customHeight="1">
      <c r="A835" s="104"/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  <c r="AA835" s="85"/>
      <c r="AB835" s="85"/>
      <c r="AC835" s="85"/>
      <c r="AD835" s="85"/>
      <c r="AE835" s="85"/>
      <c r="AF835" s="85"/>
      <c r="AG835" s="85"/>
      <c r="AH835" s="85"/>
      <c r="AI835" s="85"/>
      <c r="AJ835" s="85"/>
      <c r="AK835" s="85"/>
      <c r="AL835" s="85"/>
      <c r="AM835" s="85"/>
      <c r="AN835" s="85"/>
      <c r="AO835" s="85"/>
      <c r="AP835" s="85"/>
      <c r="AQ835" s="85"/>
      <c r="AR835" s="85"/>
      <c r="AS835" s="85"/>
      <c r="AT835" s="85"/>
      <c r="AU835" s="85"/>
      <c r="AV835" s="85"/>
      <c r="AW835" s="85"/>
      <c r="AX835" s="85"/>
      <c r="AY835" s="85"/>
      <c r="AZ835" s="85"/>
      <c r="BA835" s="85"/>
      <c r="BB835" s="85"/>
      <c r="BC835" s="85"/>
    </row>
    <row r="836" spans="1:55" ht="15.75" customHeight="1">
      <c r="A836" s="104"/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  <c r="AA836" s="85"/>
      <c r="AB836" s="85"/>
      <c r="AC836" s="85"/>
      <c r="AD836" s="85"/>
      <c r="AE836" s="85"/>
      <c r="AF836" s="85"/>
      <c r="AG836" s="85"/>
      <c r="AH836" s="85"/>
      <c r="AI836" s="85"/>
      <c r="AJ836" s="85"/>
      <c r="AK836" s="85"/>
      <c r="AL836" s="85"/>
      <c r="AM836" s="85"/>
      <c r="AN836" s="85"/>
      <c r="AO836" s="85"/>
      <c r="AP836" s="85"/>
      <c r="AQ836" s="85"/>
      <c r="AR836" s="85"/>
      <c r="AS836" s="85"/>
      <c r="AT836" s="85"/>
      <c r="AU836" s="85"/>
      <c r="AV836" s="85"/>
      <c r="AW836" s="85"/>
      <c r="AX836" s="85"/>
      <c r="AY836" s="85"/>
      <c r="AZ836" s="85"/>
      <c r="BA836" s="85"/>
      <c r="BB836" s="85"/>
      <c r="BC836" s="85"/>
    </row>
    <row r="837" spans="1:55" ht="15.75" customHeight="1">
      <c r="A837" s="104"/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  <c r="AA837" s="85"/>
      <c r="AB837" s="85"/>
      <c r="AC837" s="85"/>
      <c r="AD837" s="85"/>
      <c r="AE837" s="85"/>
      <c r="AF837" s="85"/>
      <c r="AG837" s="85"/>
      <c r="AH837" s="85"/>
      <c r="AI837" s="85"/>
      <c r="AJ837" s="85"/>
      <c r="AK837" s="85"/>
      <c r="AL837" s="85"/>
      <c r="AM837" s="85"/>
      <c r="AN837" s="85"/>
      <c r="AO837" s="85"/>
      <c r="AP837" s="85"/>
      <c r="AQ837" s="85"/>
      <c r="AR837" s="85"/>
      <c r="AS837" s="85"/>
      <c r="AT837" s="85"/>
      <c r="AU837" s="85"/>
      <c r="AV837" s="85"/>
      <c r="AW837" s="85"/>
      <c r="AX837" s="85"/>
      <c r="AY837" s="85"/>
      <c r="AZ837" s="85"/>
      <c r="BA837" s="85"/>
      <c r="BB837" s="85"/>
      <c r="BC837" s="85"/>
    </row>
    <row r="838" spans="1:55" ht="15.75" customHeight="1">
      <c r="A838" s="104"/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  <c r="AA838" s="85"/>
      <c r="AB838" s="85"/>
      <c r="AC838" s="85"/>
      <c r="AD838" s="85"/>
      <c r="AE838" s="85"/>
      <c r="AF838" s="85"/>
      <c r="AG838" s="85"/>
      <c r="AH838" s="85"/>
      <c r="AI838" s="85"/>
      <c r="AJ838" s="85"/>
      <c r="AK838" s="85"/>
      <c r="AL838" s="85"/>
      <c r="AM838" s="85"/>
      <c r="AN838" s="85"/>
      <c r="AO838" s="85"/>
      <c r="AP838" s="85"/>
      <c r="AQ838" s="85"/>
      <c r="AR838" s="85"/>
      <c r="AS838" s="85"/>
      <c r="AT838" s="85"/>
      <c r="AU838" s="85"/>
      <c r="AV838" s="85"/>
      <c r="AW838" s="85"/>
      <c r="AX838" s="85"/>
      <c r="AY838" s="85"/>
      <c r="AZ838" s="85"/>
      <c r="BA838" s="85"/>
      <c r="BB838" s="85"/>
      <c r="BC838" s="85"/>
    </row>
    <row r="839" spans="1:55" ht="15.75" customHeight="1">
      <c r="A839" s="104"/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  <c r="AA839" s="85"/>
      <c r="AB839" s="85"/>
      <c r="AC839" s="85"/>
      <c r="AD839" s="85"/>
      <c r="AE839" s="85"/>
      <c r="AF839" s="85"/>
      <c r="AG839" s="85"/>
      <c r="AH839" s="85"/>
      <c r="AI839" s="85"/>
      <c r="AJ839" s="85"/>
      <c r="AK839" s="85"/>
      <c r="AL839" s="85"/>
      <c r="AM839" s="85"/>
      <c r="AN839" s="85"/>
      <c r="AO839" s="85"/>
      <c r="AP839" s="85"/>
      <c r="AQ839" s="85"/>
      <c r="AR839" s="85"/>
      <c r="AS839" s="85"/>
      <c r="AT839" s="85"/>
      <c r="AU839" s="85"/>
      <c r="AV839" s="85"/>
      <c r="AW839" s="85"/>
      <c r="AX839" s="85"/>
      <c r="AY839" s="85"/>
      <c r="AZ839" s="85"/>
      <c r="BA839" s="85"/>
      <c r="BB839" s="85"/>
      <c r="BC839" s="85"/>
    </row>
    <row r="840" spans="1:55" ht="15.75" customHeight="1">
      <c r="A840" s="104"/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  <c r="AA840" s="85"/>
      <c r="AB840" s="85"/>
      <c r="AC840" s="85"/>
      <c r="AD840" s="85"/>
      <c r="AE840" s="85"/>
      <c r="AF840" s="85"/>
      <c r="AG840" s="85"/>
      <c r="AH840" s="85"/>
      <c r="AI840" s="85"/>
      <c r="AJ840" s="85"/>
      <c r="AK840" s="85"/>
      <c r="AL840" s="85"/>
      <c r="AM840" s="85"/>
      <c r="AN840" s="85"/>
      <c r="AO840" s="85"/>
      <c r="AP840" s="85"/>
      <c r="AQ840" s="85"/>
      <c r="AR840" s="85"/>
      <c r="AS840" s="85"/>
      <c r="AT840" s="85"/>
      <c r="AU840" s="85"/>
      <c r="AV840" s="85"/>
      <c r="AW840" s="85"/>
      <c r="AX840" s="85"/>
      <c r="AY840" s="85"/>
      <c r="AZ840" s="85"/>
      <c r="BA840" s="85"/>
      <c r="BB840" s="85"/>
      <c r="BC840" s="85"/>
    </row>
    <row r="841" spans="1:55" ht="15.75" customHeight="1">
      <c r="A841" s="104"/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  <c r="AA841" s="85"/>
      <c r="AB841" s="85"/>
      <c r="AC841" s="85"/>
      <c r="AD841" s="85"/>
      <c r="AE841" s="85"/>
      <c r="AF841" s="85"/>
      <c r="AG841" s="85"/>
      <c r="AH841" s="85"/>
      <c r="AI841" s="85"/>
      <c r="AJ841" s="85"/>
      <c r="AK841" s="85"/>
      <c r="AL841" s="85"/>
      <c r="AM841" s="85"/>
      <c r="AN841" s="85"/>
      <c r="AO841" s="85"/>
      <c r="AP841" s="85"/>
      <c r="AQ841" s="85"/>
      <c r="AR841" s="85"/>
      <c r="AS841" s="85"/>
      <c r="AT841" s="85"/>
      <c r="AU841" s="85"/>
      <c r="AV841" s="85"/>
      <c r="AW841" s="85"/>
      <c r="AX841" s="85"/>
      <c r="AY841" s="85"/>
      <c r="AZ841" s="85"/>
      <c r="BA841" s="85"/>
      <c r="BB841" s="85"/>
      <c r="BC841" s="85"/>
    </row>
    <row r="842" spans="1:55" ht="15.75" customHeight="1">
      <c r="A842" s="104"/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  <c r="AA842" s="85"/>
      <c r="AB842" s="85"/>
      <c r="AC842" s="85"/>
      <c r="AD842" s="85"/>
      <c r="AE842" s="85"/>
      <c r="AF842" s="85"/>
      <c r="AG842" s="85"/>
      <c r="AH842" s="85"/>
      <c r="AI842" s="85"/>
      <c r="AJ842" s="85"/>
      <c r="AK842" s="85"/>
      <c r="AL842" s="85"/>
      <c r="AM842" s="85"/>
      <c r="AN842" s="85"/>
      <c r="AO842" s="85"/>
      <c r="AP842" s="85"/>
      <c r="AQ842" s="85"/>
      <c r="AR842" s="85"/>
      <c r="AS842" s="85"/>
      <c r="AT842" s="85"/>
      <c r="AU842" s="85"/>
      <c r="AV842" s="85"/>
      <c r="AW842" s="85"/>
      <c r="AX842" s="85"/>
      <c r="AY842" s="85"/>
      <c r="AZ842" s="85"/>
      <c r="BA842" s="85"/>
      <c r="BB842" s="85"/>
      <c r="BC842" s="85"/>
    </row>
    <row r="843" spans="1:55" ht="15.75" customHeight="1">
      <c r="A843" s="104"/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  <c r="AA843" s="85"/>
      <c r="AB843" s="85"/>
      <c r="AC843" s="85"/>
      <c r="AD843" s="85"/>
      <c r="AE843" s="85"/>
      <c r="AF843" s="85"/>
      <c r="AG843" s="85"/>
      <c r="AH843" s="85"/>
      <c r="AI843" s="85"/>
      <c r="AJ843" s="85"/>
      <c r="AK843" s="85"/>
      <c r="AL843" s="85"/>
      <c r="AM843" s="85"/>
      <c r="AN843" s="85"/>
      <c r="AO843" s="85"/>
      <c r="AP843" s="85"/>
      <c r="AQ843" s="85"/>
      <c r="AR843" s="85"/>
      <c r="AS843" s="85"/>
      <c r="AT843" s="85"/>
      <c r="AU843" s="85"/>
      <c r="AV843" s="85"/>
      <c r="AW843" s="85"/>
      <c r="AX843" s="85"/>
      <c r="AY843" s="85"/>
      <c r="AZ843" s="85"/>
      <c r="BA843" s="85"/>
      <c r="BB843" s="85"/>
      <c r="BC843" s="85"/>
    </row>
    <row r="844" spans="1:55" ht="15.75" customHeight="1">
      <c r="A844" s="104"/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  <c r="AA844" s="85"/>
      <c r="AB844" s="85"/>
      <c r="AC844" s="85"/>
      <c r="AD844" s="85"/>
      <c r="AE844" s="85"/>
      <c r="AF844" s="85"/>
      <c r="AG844" s="85"/>
      <c r="AH844" s="85"/>
      <c r="AI844" s="85"/>
      <c r="AJ844" s="85"/>
      <c r="AK844" s="85"/>
      <c r="AL844" s="85"/>
      <c r="AM844" s="85"/>
      <c r="AN844" s="85"/>
      <c r="AO844" s="85"/>
      <c r="AP844" s="85"/>
      <c r="AQ844" s="85"/>
      <c r="AR844" s="85"/>
      <c r="AS844" s="85"/>
      <c r="AT844" s="85"/>
      <c r="AU844" s="85"/>
      <c r="AV844" s="85"/>
      <c r="AW844" s="85"/>
      <c r="AX844" s="85"/>
      <c r="AY844" s="85"/>
      <c r="AZ844" s="85"/>
      <c r="BA844" s="85"/>
      <c r="BB844" s="85"/>
      <c r="BC844" s="85"/>
    </row>
    <row r="845" spans="1:55" ht="15.75" customHeight="1">
      <c r="A845" s="104"/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  <c r="AA845" s="85"/>
      <c r="AB845" s="85"/>
      <c r="AC845" s="85"/>
      <c r="AD845" s="85"/>
      <c r="AE845" s="85"/>
      <c r="AF845" s="85"/>
      <c r="AG845" s="85"/>
      <c r="AH845" s="85"/>
      <c r="AI845" s="85"/>
      <c r="AJ845" s="85"/>
      <c r="AK845" s="85"/>
      <c r="AL845" s="85"/>
      <c r="AM845" s="85"/>
      <c r="AN845" s="85"/>
      <c r="AO845" s="85"/>
      <c r="AP845" s="85"/>
      <c r="AQ845" s="85"/>
      <c r="AR845" s="85"/>
      <c r="AS845" s="85"/>
      <c r="AT845" s="85"/>
      <c r="AU845" s="85"/>
      <c r="AV845" s="85"/>
      <c r="AW845" s="85"/>
      <c r="AX845" s="85"/>
      <c r="AY845" s="85"/>
      <c r="AZ845" s="85"/>
      <c r="BA845" s="85"/>
      <c r="BB845" s="85"/>
      <c r="BC845" s="85"/>
    </row>
    <row r="846" spans="1:55" ht="15.75" customHeight="1">
      <c r="A846" s="104"/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  <c r="AA846" s="85"/>
      <c r="AB846" s="85"/>
      <c r="AC846" s="85"/>
      <c r="AD846" s="85"/>
      <c r="AE846" s="85"/>
      <c r="AF846" s="85"/>
      <c r="AG846" s="85"/>
      <c r="AH846" s="85"/>
      <c r="AI846" s="85"/>
      <c r="AJ846" s="85"/>
      <c r="AK846" s="85"/>
      <c r="AL846" s="85"/>
      <c r="AM846" s="85"/>
      <c r="AN846" s="85"/>
      <c r="AO846" s="85"/>
      <c r="AP846" s="85"/>
      <c r="AQ846" s="85"/>
      <c r="AR846" s="85"/>
      <c r="AS846" s="85"/>
      <c r="AT846" s="85"/>
      <c r="AU846" s="85"/>
      <c r="AV846" s="85"/>
      <c r="AW846" s="85"/>
      <c r="AX846" s="85"/>
      <c r="AY846" s="85"/>
      <c r="AZ846" s="85"/>
      <c r="BA846" s="85"/>
      <c r="BB846" s="85"/>
      <c r="BC846" s="85"/>
    </row>
    <row r="847" spans="1:55" ht="15.75" customHeight="1">
      <c r="A847" s="104"/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  <c r="AA847" s="85"/>
      <c r="AB847" s="85"/>
      <c r="AC847" s="85"/>
      <c r="AD847" s="85"/>
      <c r="AE847" s="85"/>
      <c r="AF847" s="85"/>
      <c r="AG847" s="85"/>
      <c r="AH847" s="85"/>
      <c r="AI847" s="85"/>
      <c r="AJ847" s="85"/>
      <c r="AK847" s="85"/>
      <c r="AL847" s="85"/>
      <c r="AM847" s="85"/>
      <c r="AN847" s="85"/>
      <c r="AO847" s="85"/>
      <c r="AP847" s="85"/>
      <c r="AQ847" s="85"/>
      <c r="AR847" s="85"/>
      <c r="AS847" s="85"/>
      <c r="AT847" s="85"/>
      <c r="AU847" s="85"/>
      <c r="AV847" s="85"/>
      <c r="AW847" s="85"/>
      <c r="AX847" s="85"/>
      <c r="AY847" s="85"/>
      <c r="AZ847" s="85"/>
      <c r="BA847" s="85"/>
      <c r="BB847" s="85"/>
      <c r="BC847" s="85"/>
    </row>
    <row r="848" spans="1:55" ht="15.75" customHeight="1">
      <c r="A848" s="104"/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  <c r="AA848" s="85"/>
      <c r="AB848" s="85"/>
      <c r="AC848" s="85"/>
      <c r="AD848" s="85"/>
      <c r="AE848" s="85"/>
      <c r="AF848" s="85"/>
      <c r="AG848" s="85"/>
      <c r="AH848" s="85"/>
      <c r="AI848" s="85"/>
      <c r="AJ848" s="85"/>
      <c r="AK848" s="85"/>
      <c r="AL848" s="85"/>
      <c r="AM848" s="85"/>
      <c r="AN848" s="85"/>
      <c r="AO848" s="85"/>
      <c r="AP848" s="85"/>
      <c r="AQ848" s="85"/>
      <c r="AR848" s="85"/>
      <c r="AS848" s="85"/>
      <c r="AT848" s="85"/>
      <c r="AU848" s="85"/>
      <c r="AV848" s="85"/>
      <c r="AW848" s="85"/>
      <c r="AX848" s="85"/>
      <c r="AY848" s="85"/>
      <c r="AZ848" s="85"/>
      <c r="BA848" s="85"/>
      <c r="BB848" s="85"/>
      <c r="BC848" s="85"/>
    </row>
    <row r="849" spans="1:55" ht="15.75" customHeight="1">
      <c r="A849" s="104"/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  <c r="AA849" s="85"/>
      <c r="AB849" s="85"/>
      <c r="AC849" s="85"/>
      <c r="AD849" s="85"/>
      <c r="AE849" s="85"/>
      <c r="AF849" s="85"/>
      <c r="AG849" s="85"/>
      <c r="AH849" s="85"/>
      <c r="AI849" s="85"/>
      <c r="AJ849" s="85"/>
      <c r="AK849" s="85"/>
      <c r="AL849" s="85"/>
      <c r="AM849" s="85"/>
      <c r="AN849" s="85"/>
      <c r="AO849" s="85"/>
      <c r="AP849" s="85"/>
      <c r="AQ849" s="85"/>
      <c r="AR849" s="85"/>
      <c r="AS849" s="85"/>
      <c r="AT849" s="85"/>
      <c r="AU849" s="85"/>
      <c r="AV849" s="85"/>
      <c r="AW849" s="85"/>
      <c r="AX849" s="85"/>
      <c r="AY849" s="85"/>
      <c r="AZ849" s="85"/>
      <c r="BA849" s="85"/>
      <c r="BB849" s="85"/>
      <c r="BC849" s="85"/>
    </row>
    <row r="850" spans="1:55" ht="15.75" customHeight="1">
      <c r="A850" s="104"/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  <c r="AA850" s="85"/>
      <c r="AB850" s="85"/>
      <c r="AC850" s="85"/>
      <c r="AD850" s="85"/>
      <c r="AE850" s="85"/>
      <c r="AF850" s="85"/>
      <c r="AG850" s="85"/>
      <c r="AH850" s="85"/>
      <c r="AI850" s="85"/>
      <c r="AJ850" s="85"/>
      <c r="AK850" s="85"/>
      <c r="AL850" s="85"/>
      <c r="AM850" s="85"/>
      <c r="AN850" s="85"/>
      <c r="AO850" s="85"/>
      <c r="AP850" s="85"/>
      <c r="AQ850" s="85"/>
      <c r="AR850" s="85"/>
      <c r="AS850" s="85"/>
      <c r="AT850" s="85"/>
      <c r="AU850" s="85"/>
      <c r="AV850" s="85"/>
      <c r="AW850" s="85"/>
      <c r="AX850" s="85"/>
      <c r="AY850" s="85"/>
      <c r="AZ850" s="85"/>
      <c r="BA850" s="85"/>
      <c r="BB850" s="85"/>
      <c r="BC850" s="85"/>
    </row>
    <row r="851" spans="1:55" ht="15.75" customHeight="1">
      <c r="A851" s="104"/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  <c r="AA851" s="85"/>
      <c r="AB851" s="85"/>
      <c r="AC851" s="85"/>
      <c r="AD851" s="85"/>
      <c r="AE851" s="85"/>
      <c r="AF851" s="85"/>
      <c r="AG851" s="85"/>
      <c r="AH851" s="85"/>
      <c r="AI851" s="85"/>
      <c r="AJ851" s="85"/>
      <c r="AK851" s="85"/>
      <c r="AL851" s="85"/>
      <c r="AM851" s="85"/>
      <c r="AN851" s="85"/>
      <c r="AO851" s="85"/>
      <c r="AP851" s="85"/>
      <c r="AQ851" s="85"/>
      <c r="AR851" s="85"/>
      <c r="AS851" s="85"/>
      <c r="AT851" s="85"/>
      <c r="AU851" s="85"/>
      <c r="AV851" s="85"/>
      <c r="AW851" s="85"/>
      <c r="AX851" s="85"/>
      <c r="AY851" s="85"/>
      <c r="AZ851" s="85"/>
      <c r="BA851" s="85"/>
      <c r="BB851" s="85"/>
      <c r="BC851" s="85"/>
    </row>
    <row r="852" spans="1:55" ht="15.75" customHeight="1">
      <c r="A852" s="104"/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  <c r="AA852" s="85"/>
      <c r="AB852" s="85"/>
      <c r="AC852" s="85"/>
      <c r="AD852" s="85"/>
      <c r="AE852" s="85"/>
      <c r="AF852" s="85"/>
      <c r="AG852" s="85"/>
      <c r="AH852" s="85"/>
      <c r="AI852" s="85"/>
      <c r="AJ852" s="85"/>
      <c r="AK852" s="85"/>
      <c r="AL852" s="85"/>
      <c r="AM852" s="85"/>
      <c r="AN852" s="85"/>
      <c r="AO852" s="85"/>
      <c r="AP852" s="85"/>
      <c r="AQ852" s="85"/>
      <c r="AR852" s="85"/>
      <c r="AS852" s="85"/>
      <c r="AT852" s="85"/>
      <c r="AU852" s="85"/>
      <c r="AV852" s="85"/>
      <c r="AW852" s="85"/>
      <c r="AX852" s="85"/>
      <c r="AY852" s="85"/>
      <c r="AZ852" s="85"/>
      <c r="BA852" s="85"/>
      <c r="BB852" s="85"/>
      <c r="BC852" s="85"/>
    </row>
    <row r="853" spans="1:55" ht="15.75" customHeight="1">
      <c r="A853" s="104"/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  <c r="AA853" s="85"/>
      <c r="AB853" s="85"/>
      <c r="AC853" s="85"/>
      <c r="AD853" s="85"/>
      <c r="AE853" s="85"/>
      <c r="AF853" s="85"/>
      <c r="AG853" s="85"/>
      <c r="AH853" s="85"/>
      <c r="AI853" s="85"/>
      <c r="AJ853" s="85"/>
      <c r="AK853" s="85"/>
      <c r="AL853" s="85"/>
      <c r="AM853" s="85"/>
      <c r="AN853" s="85"/>
      <c r="AO853" s="85"/>
      <c r="AP853" s="85"/>
      <c r="AQ853" s="85"/>
      <c r="AR853" s="85"/>
      <c r="AS853" s="85"/>
      <c r="AT853" s="85"/>
      <c r="AU853" s="85"/>
      <c r="AV853" s="85"/>
      <c r="AW853" s="85"/>
      <c r="AX853" s="85"/>
      <c r="AY853" s="85"/>
      <c r="AZ853" s="85"/>
      <c r="BA853" s="85"/>
      <c r="BB853" s="85"/>
      <c r="BC853" s="85"/>
    </row>
    <row r="854" spans="1:55" ht="15.75" customHeight="1">
      <c r="A854" s="104"/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  <c r="AA854" s="85"/>
      <c r="AB854" s="85"/>
      <c r="AC854" s="85"/>
      <c r="AD854" s="85"/>
      <c r="AE854" s="85"/>
      <c r="AF854" s="85"/>
      <c r="AG854" s="85"/>
      <c r="AH854" s="85"/>
      <c r="AI854" s="85"/>
      <c r="AJ854" s="85"/>
      <c r="AK854" s="85"/>
      <c r="AL854" s="85"/>
      <c r="AM854" s="85"/>
      <c r="AN854" s="85"/>
      <c r="AO854" s="85"/>
      <c r="AP854" s="85"/>
      <c r="AQ854" s="85"/>
      <c r="AR854" s="85"/>
      <c r="AS854" s="85"/>
      <c r="AT854" s="85"/>
      <c r="AU854" s="85"/>
      <c r="AV854" s="85"/>
      <c r="AW854" s="85"/>
      <c r="AX854" s="85"/>
      <c r="AY854" s="85"/>
      <c r="AZ854" s="85"/>
      <c r="BA854" s="85"/>
      <c r="BB854" s="85"/>
      <c r="BC854" s="85"/>
    </row>
    <row r="855" spans="1:55" ht="15.75" customHeight="1">
      <c r="A855" s="104"/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  <c r="AA855" s="85"/>
      <c r="AB855" s="85"/>
      <c r="AC855" s="85"/>
      <c r="AD855" s="85"/>
      <c r="AE855" s="85"/>
      <c r="AF855" s="85"/>
      <c r="AG855" s="85"/>
      <c r="AH855" s="85"/>
      <c r="AI855" s="85"/>
      <c r="AJ855" s="85"/>
      <c r="AK855" s="85"/>
      <c r="AL855" s="85"/>
      <c r="AM855" s="85"/>
      <c r="AN855" s="85"/>
      <c r="AO855" s="85"/>
      <c r="AP855" s="85"/>
      <c r="AQ855" s="85"/>
      <c r="AR855" s="85"/>
      <c r="AS855" s="85"/>
      <c r="AT855" s="85"/>
      <c r="AU855" s="85"/>
      <c r="AV855" s="85"/>
      <c r="AW855" s="85"/>
      <c r="AX855" s="85"/>
      <c r="AY855" s="85"/>
      <c r="AZ855" s="85"/>
      <c r="BA855" s="85"/>
      <c r="BB855" s="85"/>
      <c r="BC855" s="85"/>
    </row>
    <row r="856" spans="1:55" ht="15.75" customHeight="1">
      <c r="A856" s="104"/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  <c r="AA856" s="85"/>
      <c r="AB856" s="85"/>
      <c r="AC856" s="85"/>
      <c r="AD856" s="85"/>
      <c r="AE856" s="85"/>
      <c r="AF856" s="85"/>
      <c r="AG856" s="85"/>
      <c r="AH856" s="85"/>
      <c r="AI856" s="85"/>
      <c r="AJ856" s="85"/>
      <c r="AK856" s="85"/>
      <c r="AL856" s="85"/>
      <c r="AM856" s="85"/>
      <c r="AN856" s="85"/>
      <c r="AO856" s="85"/>
      <c r="AP856" s="85"/>
      <c r="AQ856" s="85"/>
      <c r="AR856" s="85"/>
      <c r="AS856" s="85"/>
      <c r="AT856" s="85"/>
      <c r="AU856" s="85"/>
      <c r="AV856" s="85"/>
      <c r="AW856" s="85"/>
      <c r="AX856" s="85"/>
      <c r="AY856" s="85"/>
      <c r="AZ856" s="85"/>
      <c r="BA856" s="85"/>
      <c r="BB856" s="85"/>
      <c r="BC856" s="85"/>
    </row>
    <row r="857" spans="1:55" ht="15.75" customHeight="1">
      <c r="A857" s="104"/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  <c r="AA857" s="85"/>
      <c r="AB857" s="85"/>
      <c r="AC857" s="85"/>
      <c r="AD857" s="85"/>
      <c r="AE857" s="85"/>
      <c r="AF857" s="85"/>
      <c r="AG857" s="85"/>
      <c r="AH857" s="85"/>
      <c r="AI857" s="85"/>
      <c r="AJ857" s="85"/>
      <c r="AK857" s="85"/>
      <c r="AL857" s="85"/>
      <c r="AM857" s="85"/>
      <c r="AN857" s="85"/>
      <c r="AO857" s="85"/>
      <c r="AP857" s="85"/>
      <c r="AQ857" s="85"/>
      <c r="AR857" s="85"/>
      <c r="AS857" s="85"/>
      <c r="AT857" s="85"/>
      <c r="AU857" s="85"/>
      <c r="AV857" s="85"/>
      <c r="AW857" s="85"/>
      <c r="AX857" s="85"/>
      <c r="AY857" s="85"/>
      <c r="AZ857" s="85"/>
      <c r="BA857" s="85"/>
      <c r="BB857" s="85"/>
      <c r="BC857" s="85"/>
    </row>
    <row r="858" spans="1:55" ht="15.75" customHeight="1">
      <c r="A858" s="104"/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  <c r="AA858" s="85"/>
      <c r="AB858" s="85"/>
      <c r="AC858" s="85"/>
      <c r="AD858" s="85"/>
      <c r="AE858" s="85"/>
      <c r="AF858" s="85"/>
      <c r="AG858" s="85"/>
      <c r="AH858" s="85"/>
      <c r="AI858" s="85"/>
      <c r="AJ858" s="85"/>
      <c r="AK858" s="85"/>
      <c r="AL858" s="85"/>
      <c r="AM858" s="85"/>
      <c r="AN858" s="85"/>
      <c r="AO858" s="85"/>
      <c r="AP858" s="85"/>
      <c r="AQ858" s="85"/>
      <c r="AR858" s="85"/>
      <c r="AS858" s="85"/>
      <c r="AT858" s="85"/>
      <c r="AU858" s="85"/>
      <c r="AV858" s="85"/>
      <c r="AW858" s="85"/>
      <c r="AX858" s="85"/>
      <c r="AY858" s="85"/>
      <c r="AZ858" s="85"/>
      <c r="BA858" s="85"/>
      <c r="BB858" s="85"/>
      <c r="BC858" s="85"/>
    </row>
    <row r="859" spans="1:55" ht="15.75" customHeight="1">
      <c r="A859" s="104"/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  <c r="AA859" s="85"/>
      <c r="AB859" s="85"/>
      <c r="AC859" s="85"/>
      <c r="AD859" s="85"/>
      <c r="AE859" s="85"/>
      <c r="AF859" s="85"/>
      <c r="AG859" s="85"/>
      <c r="AH859" s="85"/>
      <c r="AI859" s="85"/>
      <c r="AJ859" s="85"/>
      <c r="AK859" s="85"/>
      <c r="AL859" s="85"/>
      <c r="AM859" s="85"/>
      <c r="AN859" s="85"/>
      <c r="AO859" s="85"/>
      <c r="AP859" s="85"/>
      <c r="AQ859" s="85"/>
      <c r="AR859" s="85"/>
      <c r="AS859" s="85"/>
      <c r="AT859" s="85"/>
      <c r="AU859" s="85"/>
      <c r="AV859" s="85"/>
      <c r="AW859" s="85"/>
      <c r="AX859" s="85"/>
      <c r="AY859" s="85"/>
      <c r="AZ859" s="85"/>
      <c r="BA859" s="85"/>
      <c r="BB859" s="85"/>
      <c r="BC859" s="85"/>
    </row>
    <row r="860" spans="1:55" ht="15.75" customHeight="1">
      <c r="A860" s="104"/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  <c r="AA860" s="85"/>
      <c r="AB860" s="85"/>
      <c r="AC860" s="85"/>
      <c r="AD860" s="85"/>
      <c r="AE860" s="85"/>
      <c r="AF860" s="85"/>
      <c r="AG860" s="85"/>
      <c r="AH860" s="85"/>
      <c r="AI860" s="85"/>
      <c r="AJ860" s="85"/>
      <c r="AK860" s="85"/>
      <c r="AL860" s="85"/>
      <c r="AM860" s="85"/>
      <c r="AN860" s="85"/>
      <c r="AO860" s="85"/>
      <c r="AP860" s="85"/>
      <c r="AQ860" s="85"/>
      <c r="AR860" s="85"/>
      <c r="AS860" s="85"/>
      <c r="AT860" s="85"/>
      <c r="AU860" s="85"/>
      <c r="AV860" s="85"/>
      <c r="AW860" s="85"/>
      <c r="AX860" s="85"/>
      <c r="AY860" s="85"/>
      <c r="AZ860" s="85"/>
      <c r="BA860" s="85"/>
      <c r="BB860" s="85"/>
      <c r="BC860" s="85"/>
    </row>
    <row r="861" spans="1:55" ht="15.75" customHeight="1">
      <c r="A861" s="104"/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  <c r="AA861" s="85"/>
      <c r="AB861" s="85"/>
      <c r="AC861" s="85"/>
      <c r="AD861" s="85"/>
      <c r="AE861" s="85"/>
      <c r="AF861" s="85"/>
      <c r="AG861" s="85"/>
      <c r="AH861" s="85"/>
      <c r="AI861" s="85"/>
      <c r="AJ861" s="85"/>
      <c r="AK861" s="85"/>
      <c r="AL861" s="85"/>
      <c r="AM861" s="85"/>
      <c r="AN861" s="85"/>
      <c r="AO861" s="85"/>
      <c r="AP861" s="85"/>
      <c r="AQ861" s="85"/>
      <c r="AR861" s="85"/>
      <c r="AS861" s="85"/>
      <c r="AT861" s="85"/>
      <c r="AU861" s="85"/>
      <c r="AV861" s="85"/>
      <c r="AW861" s="85"/>
      <c r="AX861" s="85"/>
      <c r="AY861" s="85"/>
      <c r="AZ861" s="85"/>
      <c r="BA861" s="85"/>
      <c r="BB861" s="85"/>
      <c r="BC861" s="85"/>
    </row>
    <row r="862" spans="1:55" ht="15.75" customHeight="1">
      <c r="A862" s="104"/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  <c r="AA862" s="85"/>
      <c r="AB862" s="85"/>
      <c r="AC862" s="85"/>
      <c r="AD862" s="85"/>
      <c r="AE862" s="85"/>
      <c r="AF862" s="85"/>
      <c r="AG862" s="85"/>
      <c r="AH862" s="85"/>
      <c r="AI862" s="85"/>
      <c r="AJ862" s="85"/>
      <c r="AK862" s="85"/>
      <c r="AL862" s="85"/>
      <c r="AM862" s="85"/>
      <c r="AN862" s="85"/>
      <c r="AO862" s="85"/>
      <c r="AP862" s="85"/>
      <c r="AQ862" s="85"/>
      <c r="AR862" s="85"/>
      <c r="AS862" s="85"/>
      <c r="AT862" s="85"/>
      <c r="AU862" s="85"/>
      <c r="AV862" s="85"/>
      <c r="AW862" s="85"/>
      <c r="AX862" s="85"/>
      <c r="AY862" s="85"/>
      <c r="AZ862" s="85"/>
      <c r="BA862" s="85"/>
      <c r="BB862" s="85"/>
      <c r="BC862" s="85"/>
    </row>
    <row r="863" spans="1:55" ht="15.75" customHeight="1">
      <c r="A863" s="104"/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  <c r="AA863" s="85"/>
      <c r="AB863" s="85"/>
      <c r="AC863" s="85"/>
      <c r="AD863" s="85"/>
      <c r="AE863" s="85"/>
      <c r="AF863" s="85"/>
      <c r="AG863" s="85"/>
      <c r="AH863" s="85"/>
      <c r="AI863" s="85"/>
      <c r="AJ863" s="85"/>
      <c r="AK863" s="85"/>
      <c r="AL863" s="85"/>
      <c r="AM863" s="85"/>
      <c r="AN863" s="85"/>
      <c r="AO863" s="85"/>
      <c r="AP863" s="85"/>
      <c r="AQ863" s="85"/>
      <c r="AR863" s="85"/>
      <c r="AS863" s="85"/>
      <c r="AT863" s="85"/>
      <c r="AU863" s="85"/>
      <c r="AV863" s="85"/>
      <c r="AW863" s="85"/>
      <c r="AX863" s="85"/>
      <c r="AY863" s="85"/>
      <c r="AZ863" s="85"/>
      <c r="BA863" s="85"/>
      <c r="BB863" s="85"/>
      <c r="BC863" s="85"/>
    </row>
    <row r="864" spans="1:55" ht="15.75" customHeight="1">
      <c r="A864" s="104"/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  <c r="AA864" s="85"/>
      <c r="AB864" s="85"/>
      <c r="AC864" s="85"/>
      <c r="AD864" s="85"/>
      <c r="AE864" s="85"/>
      <c r="AF864" s="85"/>
      <c r="AG864" s="85"/>
      <c r="AH864" s="85"/>
      <c r="AI864" s="85"/>
      <c r="AJ864" s="85"/>
      <c r="AK864" s="85"/>
      <c r="AL864" s="85"/>
      <c r="AM864" s="85"/>
      <c r="AN864" s="85"/>
      <c r="AO864" s="85"/>
      <c r="AP864" s="85"/>
      <c r="AQ864" s="85"/>
      <c r="AR864" s="85"/>
      <c r="AS864" s="85"/>
      <c r="AT864" s="85"/>
      <c r="AU864" s="85"/>
      <c r="AV864" s="85"/>
      <c r="AW864" s="85"/>
      <c r="AX864" s="85"/>
      <c r="AY864" s="85"/>
      <c r="AZ864" s="85"/>
      <c r="BA864" s="85"/>
      <c r="BB864" s="85"/>
      <c r="BC864" s="85"/>
    </row>
    <row r="865" spans="1:55" ht="15.75" customHeight="1">
      <c r="A865" s="104"/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  <c r="AA865" s="85"/>
      <c r="AB865" s="85"/>
      <c r="AC865" s="85"/>
      <c r="AD865" s="85"/>
      <c r="AE865" s="85"/>
      <c r="AF865" s="85"/>
      <c r="AG865" s="85"/>
      <c r="AH865" s="85"/>
      <c r="AI865" s="85"/>
      <c r="AJ865" s="85"/>
      <c r="AK865" s="85"/>
      <c r="AL865" s="85"/>
      <c r="AM865" s="85"/>
      <c r="AN865" s="85"/>
      <c r="AO865" s="85"/>
      <c r="AP865" s="85"/>
      <c r="AQ865" s="85"/>
      <c r="AR865" s="85"/>
      <c r="AS865" s="85"/>
      <c r="AT865" s="85"/>
      <c r="AU865" s="85"/>
      <c r="AV865" s="85"/>
      <c r="AW865" s="85"/>
      <c r="AX865" s="85"/>
      <c r="AY865" s="85"/>
      <c r="AZ865" s="85"/>
      <c r="BA865" s="85"/>
      <c r="BB865" s="85"/>
      <c r="BC865" s="85"/>
    </row>
    <row r="866" spans="1:55" ht="15.75" customHeight="1">
      <c r="A866" s="104"/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  <c r="AA866" s="85"/>
      <c r="AB866" s="85"/>
      <c r="AC866" s="85"/>
      <c r="AD866" s="85"/>
      <c r="AE866" s="85"/>
      <c r="AF866" s="85"/>
      <c r="AG866" s="85"/>
      <c r="AH866" s="85"/>
      <c r="AI866" s="85"/>
      <c r="AJ866" s="85"/>
      <c r="AK866" s="85"/>
      <c r="AL866" s="85"/>
      <c r="AM866" s="85"/>
      <c r="AN866" s="85"/>
      <c r="AO866" s="85"/>
      <c r="AP866" s="85"/>
      <c r="AQ866" s="85"/>
      <c r="AR866" s="85"/>
      <c r="AS866" s="85"/>
      <c r="AT866" s="85"/>
      <c r="AU866" s="85"/>
      <c r="AV866" s="85"/>
      <c r="AW866" s="85"/>
      <c r="AX866" s="85"/>
      <c r="AY866" s="85"/>
      <c r="AZ866" s="85"/>
      <c r="BA866" s="85"/>
      <c r="BB866" s="85"/>
      <c r="BC866" s="85"/>
    </row>
    <row r="867" spans="1:55" ht="15.75" customHeight="1">
      <c r="A867" s="104"/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  <c r="AA867" s="85"/>
      <c r="AB867" s="85"/>
      <c r="AC867" s="85"/>
      <c r="AD867" s="85"/>
      <c r="AE867" s="85"/>
      <c r="AF867" s="85"/>
      <c r="AG867" s="85"/>
      <c r="AH867" s="85"/>
      <c r="AI867" s="85"/>
      <c r="AJ867" s="85"/>
      <c r="AK867" s="85"/>
      <c r="AL867" s="85"/>
      <c r="AM867" s="85"/>
      <c r="AN867" s="85"/>
      <c r="AO867" s="85"/>
      <c r="AP867" s="85"/>
      <c r="AQ867" s="85"/>
      <c r="AR867" s="85"/>
      <c r="AS867" s="85"/>
      <c r="AT867" s="85"/>
      <c r="AU867" s="85"/>
      <c r="AV867" s="85"/>
      <c r="AW867" s="85"/>
      <c r="AX867" s="85"/>
      <c r="AY867" s="85"/>
      <c r="AZ867" s="85"/>
      <c r="BA867" s="85"/>
      <c r="BB867" s="85"/>
      <c r="BC867" s="85"/>
    </row>
    <row r="868" spans="1:55" ht="15.75" customHeight="1">
      <c r="A868" s="104"/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  <c r="AA868" s="85"/>
      <c r="AB868" s="85"/>
      <c r="AC868" s="85"/>
      <c r="AD868" s="85"/>
      <c r="AE868" s="85"/>
      <c r="AF868" s="85"/>
      <c r="AG868" s="85"/>
      <c r="AH868" s="85"/>
      <c r="AI868" s="85"/>
      <c r="AJ868" s="85"/>
      <c r="AK868" s="85"/>
      <c r="AL868" s="85"/>
      <c r="AM868" s="85"/>
      <c r="AN868" s="85"/>
      <c r="AO868" s="85"/>
      <c r="AP868" s="85"/>
      <c r="AQ868" s="85"/>
      <c r="AR868" s="85"/>
      <c r="AS868" s="85"/>
      <c r="AT868" s="85"/>
      <c r="AU868" s="85"/>
      <c r="AV868" s="85"/>
      <c r="AW868" s="85"/>
      <c r="AX868" s="85"/>
      <c r="AY868" s="85"/>
      <c r="AZ868" s="85"/>
      <c r="BA868" s="85"/>
      <c r="BB868" s="85"/>
      <c r="BC868" s="85"/>
    </row>
    <row r="869" spans="1:55" ht="15.75" customHeight="1">
      <c r="A869" s="104"/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  <c r="AA869" s="85"/>
      <c r="AB869" s="85"/>
      <c r="AC869" s="85"/>
      <c r="AD869" s="85"/>
      <c r="AE869" s="85"/>
      <c r="AF869" s="85"/>
      <c r="AG869" s="85"/>
      <c r="AH869" s="85"/>
      <c r="AI869" s="85"/>
      <c r="AJ869" s="85"/>
      <c r="AK869" s="85"/>
      <c r="AL869" s="85"/>
      <c r="AM869" s="85"/>
      <c r="AN869" s="85"/>
      <c r="AO869" s="85"/>
      <c r="AP869" s="85"/>
      <c r="AQ869" s="85"/>
      <c r="AR869" s="85"/>
      <c r="AS869" s="85"/>
      <c r="AT869" s="85"/>
      <c r="AU869" s="85"/>
      <c r="AV869" s="85"/>
      <c r="AW869" s="85"/>
      <c r="AX869" s="85"/>
      <c r="AY869" s="85"/>
      <c r="AZ869" s="85"/>
      <c r="BA869" s="85"/>
      <c r="BB869" s="85"/>
      <c r="BC869" s="85"/>
    </row>
    <row r="870" spans="1:55" ht="15.75" customHeight="1">
      <c r="A870" s="104"/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  <c r="AA870" s="85"/>
      <c r="AB870" s="85"/>
      <c r="AC870" s="85"/>
      <c r="AD870" s="85"/>
      <c r="AE870" s="85"/>
      <c r="AF870" s="85"/>
      <c r="AG870" s="85"/>
      <c r="AH870" s="85"/>
      <c r="AI870" s="85"/>
      <c r="AJ870" s="85"/>
      <c r="AK870" s="85"/>
      <c r="AL870" s="85"/>
      <c r="AM870" s="85"/>
      <c r="AN870" s="85"/>
      <c r="AO870" s="85"/>
      <c r="AP870" s="85"/>
      <c r="AQ870" s="85"/>
      <c r="AR870" s="85"/>
      <c r="AS870" s="85"/>
      <c r="AT870" s="85"/>
      <c r="AU870" s="85"/>
      <c r="AV870" s="85"/>
      <c r="AW870" s="85"/>
      <c r="AX870" s="85"/>
      <c r="AY870" s="85"/>
      <c r="AZ870" s="85"/>
      <c r="BA870" s="85"/>
      <c r="BB870" s="85"/>
      <c r="BC870" s="85"/>
    </row>
    <row r="871" spans="1:55" ht="15.75" customHeight="1">
      <c r="A871" s="104"/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  <c r="AA871" s="85"/>
      <c r="AB871" s="85"/>
      <c r="AC871" s="85"/>
      <c r="AD871" s="85"/>
      <c r="AE871" s="85"/>
      <c r="AF871" s="85"/>
      <c r="AG871" s="85"/>
      <c r="AH871" s="85"/>
      <c r="AI871" s="85"/>
      <c r="AJ871" s="85"/>
      <c r="AK871" s="85"/>
      <c r="AL871" s="85"/>
      <c r="AM871" s="85"/>
      <c r="AN871" s="85"/>
      <c r="AO871" s="85"/>
      <c r="AP871" s="85"/>
      <c r="AQ871" s="85"/>
      <c r="AR871" s="85"/>
      <c r="AS871" s="85"/>
      <c r="AT871" s="85"/>
      <c r="AU871" s="85"/>
      <c r="AV871" s="85"/>
      <c r="AW871" s="85"/>
      <c r="AX871" s="85"/>
      <c r="AY871" s="85"/>
      <c r="AZ871" s="85"/>
      <c r="BA871" s="85"/>
      <c r="BB871" s="85"/>
      <c r="BC871" s="85"/>
    </row>
    <row r="872" spans="1:55" ht="15.75" customHeight="1">
      <c r="A872" s="104"/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  <c r="AA872" s="85"/>
      <c r="AB872" s="85"/>
      <c r="AC872" s="85"/>
      <c r="AD872" s="85"/>
      <c r="AE872" s="85"/>
      <c r="AF872" s="85"/>
      <c r="AG872" s="85"/>
      <c r="AH872" s="85"/>
      <c r="AI872" s="85"/>
      <c r="AJ872" s="85"/>
      <c r="AK872" s="85"/>
      <c r="AL872" s="85"/>
      <c r="AM872" s="85"/>
      <c r="AN872" s="85"/>
      <c r="AO872" s="85"/>
      <c r="AP872" s="85"/>
      <c r="AQ872" s="85"/>
      <c r="AR872" s="85"/>
      <c r="AS872" s="85"/>
      <c r="AT872" s="85"/>
      <c r="AU872" s="85"/>
      <c r="AV872" s="85"/>
      <c r="AW872" s="85"/>
      <c r="AX872" s="85"/>
      <c r="AY872" s="85"/>
      <c r="AZ872" s="85"/>
      <c r="BA872" s="85"/>
      <c r="BB872" s="85"/>
      <c r="BC872" s="85"/>
    </row>
    <row r="873" spans="1:55" ht="15.75" customHeight="1">
      <c r="A873" s="104"/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  <c r="AA873" s="85"/>
      <c r="AB873" s="85"/>
      <c r="AC873" s="85"/>
      <c r="AD873" s="85"/>
      <c r="AE873" s="85"/>
      <c r="AF873" s="85"/>
      <c r="AG873" s="85"/>
      <c r="AH873" s="85"/>
      <c r="AI873" s="85"/>
      <c r="AJ873" s="85"/>
      <c r="AK873" s="85"/>
      <c r="AL873" s="85"/>
      <c r="AM873" s="85"/>
      <c r="AN873" s="85"/>
      <c r="AO873" s="85"/>
      <c r="AP873" s="85"/>
      <c r="AQ873" s="85"/>
      <c r="AR873" s="85"/>
      <c r="AS873" s="85"/>
      <c r="AT873" s="85"/>
      <c r="AU873" s="85"/>
      <c r="AV873" s="85"/>
      <c r="AW873" s="85"/>
      <c r="AX873" s="85"/>
      <c r="AY873" s="85"/>
      <c r="AZ873" s="85"/>
      <c r="BA873" s="85"/>
      <c r="BB873" s="85"/>
      <c r="BC873" s="85"/>
    </row>
    <row r="874" spans="1:55" ht="15.75" customHeight="1">
      <c r="A874" s="104"/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  <c r="AA874" s="85"/>
      <c r="AB874" s="85"/>
      <c r="AC874" s="85"/>
      <c r="AD874" s="85"/>
      <c r="AE874" s="85"/>
      <c r="AF874" s="85"/>
      <c r="AG874" s="85"/>
      <c r="AH874" s="85"/>
      <c r="AI874" s="85"/>
      <c r="AJ874" s="85"/>
      <c r="AK874" s="85"/>
      <c r="AL874" s="85"/>
      <c r="AM874" s="85"/>
      <c r="AN874" s="85"/>
      <c r="AO874" s="85"/>
      <c r="AP874" s="85"/>
      <c r="AQ874" s="85"/>
      <c r="AR874" s="85"/>
      <c r="AS874" s="85"/>
      <c r="AT874" s="85"/>
      <c r="AU874" s="85"/>
      <c r="AV874" s="85"/>
      <c r="AW874" s="85"/>
      <c r="AX874" s="85"/>
      <c r="AY874" s="85"/>
      <c r="AZ874" s="85"/>
      <c r="BA874" s="85"/>
      <c r="BB874" s="85"/>
      <c r="BC874" s="85"/>
    </row>
    <row r="875" spans="1:55" ht="15.75" customHeight="1">
      <c r="A875" s="104"/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  <c r="AA875" s="85"/>
      <c r="AB875" s="85"/>
      <c r="AC875" s="85"/>
      <c r="AD875" s="85"/>
      <c r="AE875" s="85"/>
      <c r="AF875" s="85"/>
      <c r="AG875" s="85"/>
      <c r="AH875" s="85"/>
      <c r="AI875" s="85"/>
      <c r="AJ875" s="85"/>
      <c r="AK875" s="85"/>
      <c r="AL875" s="85"/>
      <c r="AM875" s="85"/>
      <c r="AN875" s="85"/>
      <c r="AO875" s="85"/>
      <c r="AP875" s="85"/>
      <c r="AQ875" s="85"/>
      <c r="AR875" s="85"/>
      <c r="AS875" s="85"/>
      <c r="AT875" s="85"/>
      <c r="AU875" s="85"/>
      <c r="AV875" s="85"/>
      <c r="AW875" s="85"/>
      <c r="AX875" s="85"/>
      <c r="AY875" s="85"/>
      <c r="AZ875" s="85"/>
      <c r="BA875" s="85"/>
      <c r="BB875" s="85"/>
      <c r="BC875" s="85"/>
    </row>
    <row r="876" spans="1:55" ht="15.75" customHeight="1">
      <c r="A876" s="104"/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  <c r="AA876" s="85"/>
      <c r="AB876" s="85"/>
      <c r="AC876" s="85"/>
      <c r="AD876" s="85"/>
      <c r="AE876" s="85"/>
      <c r="AF876" s="85"/>
      <c r="AG876" s="85"/>
      <c r="AH876" s="85"/>
      <c r="AI876" s="85"/>
      <c r="AJ876" s="85"/>
      <c r="AK876" s="85"/>
      <c r="AL876" s="85"/>
      <c r="AM876" s="85"/>
      <c r="AN876" s="85"/>
      <c r="AO876" s="85"/>
      <c r="AP876" s="85"/>
      <c r="AQ876" s="85"/>
      <c r="AR876" s="85"/>
      <c r="AS876" s="85"/>
      <c r="AT876" s="85"/>
      <c r="AU876" s="85"/>
      <c r="AV876" s="85"/>
      <c r="AW876" s="85"/>
      <c r="AX876" s="85"/>
      <c r="AY876" s="85"/>
      <c r="AZ876" s="85"/>
      <c r="BA876" s="85"/>
      <c r="BB876" s="85"/>
      <c r="BC876" s="85"/>
    </row>
    <row r="877" spans="1:55" ht="15.75" customHeight="1">
      <c r="A877" s="104"/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  <c r="AA877" s="85"/>
      <c r="AB877" s="85"/>
      <c r="AC877" s="85"/>
      <c r="AD877" s="85"/>
      <c r="AE877" s="85"/>
      <c r="AF877" s="85"/>
      <c r="AG877" s="85"/>
      <c r="AH877" s="85"/>
      <c r="AI877" s="85"/>
      <c r="AJ877" s="85"/>
      <c r="AK877" s="85"/>
      <c r="AL877" s="85"/>
      <c r="AM877" s="85"/>
      <c r="AN877" s="85"/>
      <c r="AO877" s="85"/>
      <c r="AP877" s="85"/>
      <c r="AQ877" s="85"/>
      <c r="AR877" s="85"/>
      <c r="AS877" s="85"/>
      <c r="AT877" s="85"/>
      <c r="AU877" s="85"/>
      <c r="AV877" s="85"/>
      <c r="AW877" s="85"/>
      <c r="AX877" s="85"/>
      <c r="AY877" s="85"/>
      <c r="AZ877" s="85"/>
      <c r="BA877" s="85"/>
      <c r="BB877" s="85"/>
      <c r="BC877" s="85"/>
    </row>
    <row r="878" spans="1:55" ht="15.75" customHeight="1">
      <c r="A878" s="104"/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  <c r="AA878" s="85"/>
      <c r="AB878" s="85"/>
      <c r="AC878" s="85"/>
      <c r="AD878" s="85"/>
      <c r="AE878" s="85"/>
      <c r="AF878" s="85"/>
      <c r="AG878" s="85"/>
      <c r="AH878" s="85"/>
      <c r="AI878" s="85"/>
      <c r="AJ878" s="85"/>
      <c r="AK878" s="85"/>
      <c r="AL878" s="85"/>
      <c r="AM878" s="85"/>
      <c r="AN878" s="85"/>
      <c r="AO878" s="85"/>
      <c r="AP878" s="85"/>
      <c r="AQ878" s="85"/>
      <c r="AR878" s="85"/>
      <c r="AS878" s="85"/>
      <c r="AT878" s="85"/>
      <c r="AU878" s="85"/>
      <c r="AV878" s="85"/>
      <c r="AW878" s="85"/>
      <c r="AX878" s="85"/>
      <c r="AY878" s="85"/>
      <c r="AZ878" s="85"/>
      <c r="BA878" s="85"/>
      <c r="BB878" s="85"/>
      <c r="BC878" s="85"/>
    </row>
    <row r="879" spans="1:55" ht="15.75" customHeight="1">
      <c r="A879" s="104"/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  <c r="AA879" s="85"/>
      <c r="AB879" s="85"/>
      <c r="AC879" s="85"/>
      <c r="AD879" s="85"/>
      <c r="AE879" s="85"/>
      <c r="AF879" s="85"/>
      <c r="AG879" s="85"/>
      <c r="AH879" s="85"/>
      <c r="AI879" s="85"/>
      <c r="AJ879" s="85"/>
      <c r="AK879" s="85"/>
      <c r="AL879" s="85"/>
      <c r="AM879" s="85"/>
      <c r="AN879" s="85"/>
      <c r="AO879" s="85"/>
      <c r="AP879" s="85"/>
      <c r="AQ879" s="85"/>
      <c r="AR879" s="85"/>
      <c r="AS879" s="85"/>
      <c r="AT879" s="85"/>
      <c r="AU879" s="85"/>
      <c r="AV879" s="85"/>
      <c r="AW879" s="85"/>
      <c r="AX879" s="85"/>
      <c r="AY879" s="85"/>
      <c r="AZ879" s="85"/>
      <c r="BA879" s="85"/>
      <c r="BB879" s="85"/>
      <c r="BC879" s="85"/>
    </row>
    <row r="880" spans="1:55" ht="15.75" customHeight="1">
      <c r="A880" s="104"/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  <c r="AA880" s="85"/>
      <c r="AB880" s="85"/>
      <c r="AC880" s="85"/>
      <c r="AD880" s="85"/>
      <c r="AE880" s="85"/>
      <c r="AF880" s="85"/>
      <c r="AG880" s="85"/>
      <c r="AH880" s="85"/>
      <c r="AI880" s="85"/>
      <c r="AJ880" s="85"/>
      <c r="AK880" s="85"/>
      <c r="AL880" s="85"/>
      <c r="AM880" s="85"/>
      <c r="AN880" s="85"/>
      <c r="AO880" s="85"/>
      <c r="AP880" s="85"/>
      <c r="AQ880" s="85"/>
      <c r="AR880" s="85"/>
      <c r="AS880" s="85"/>
      <c r="AT880" s="85"/>
      <c r="AU880" s="85"/>
      <c r="AV880" s="85"/>
      <c r="AW880" s="85"/>
      <c r="AX880" s="85"/>
      <c r="AY880" s="85"/>
      <c r="AZ880" s="85"/>
      <c r="BA880" s="85"/>
      <c r="BB880" s="85"/>
      <c r="BC880" s="85"/>
    </row>
    <row r="881" spans="1:55" ht="15.75" customHeight="1">
      <c r="A881" s="104"/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  <c r="AA881" s="85"/>
      <c r="AB881" s="85"/>
      <c r="AC881" s="85"/>
      <c r="AD881" s="85"/>
      <c r="AE881" s="85"/>
      <c r="AF881" s="85"/>
      <c r="AG881" s="85"/>
      <c r="AH881" s="85"/>
      <c r="AI881" s="85"/>
      <c r="AJ881" s="85"/>
      <c r="AK881" s="85"/>
      <c r="AL881" s="85"/>
      <c r="AM881" s="85"/>
      <c r="AN881" s="85"/>
      <c r="AO881" s="85"/>
      <c r="AP881" s="85"/>
      <c r="AQ881" s="85"/>
      <c r="AR881" s="85"/>
      <c r="AS881" s="85"/>
      <c r="AT881" s="85"/>
      <c r="AU881" s="85"/>
      <c r="AV881" s="85"/>
      <c r="AW881" s="85"/>
      <c r="AX881" s="85"/>
      <c r="AY881" s="85"/>
      <c r="AZ881" s="85"/>
      <c r="BA881" s="85"/>
      <c r="BB881" s="85"/>
      <c r="BC881" s="85"/>
    </row>
    <row r="882" spans="1:55" ht="15.75" customHeight="1">
      <c r="A882" s="104"/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  <c r="AA882" s="85"/>
      <c r="AB882" s="85"/>
      <c r="AC882" s="85"/>
      <c r="AD882" s="85"/>
      <c r="AE882" s="85"/>
      <c r="AF882" s="85"/>
      <c r="AG882" s="85"/>
      <c r="AH882" s="85"/>
      <c r="AI882" s="85"/>
      <c r="AJ882" s="85"/>
      <c r="AK882" s="85"/>
      <c r="AL882" s="85"/>
      <c r="AM882" s="85"/>
      <c r="AN882" s="85"/>
      <c r="AO882" s="85"/>
      <c r="AP882" s="85"/>
      <c r="AQ882" s="85"/>
      <c r="AR882" s="85"/>
      <c r="AS882" s="85"/>
      <c r="AT882" s="85"/>
      <c r="AU882" s="85"/>
      <c r="AV882" s="85"/>
      <c r="AW882" s="85"/>
      <c r="AX882" s="85"/>
      <c r="AY882" s="85"/>
      <c r="AZ882" s="85"/>
      <c r="BA882" s="85"/>
      <c r="BB882" s="85"/>
      <c r="BC882" s="85"/>
    </row>
    <row r="883" spans="1:55" ht="15.75" customHeight="1">
      <c r="A883" s="104"/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  <c r="AA883" s="85"/>
      <c r="AB883" s="85"/>
      <c r="AC883" s="85"/>
      <c r="AD883" s="85"/>
      <c r="AE883" s="85"/>
      <c r="AF883" s="85"/>
      <c r="AG883" s="85"/>
      <c r="AH883" s="85"/>
      <c r="AI883" s="85"/>
      <c r="AJ883" s="85"/>
      <c r="AK883" s="85"/>
      <c r="AL883" s="85"/>
      <c r="AM883" s="85"/>
      <c r="AN883" s="85"/>
      <c r="AO883" s="85"/>
      <c r="AP883" s="85"/>
      <c r="AQ883" s="85"/>
      <c r="AR883" s="85"/>
      <c r="AS883" s="85"/>
      <c r="AT883" s="85"/>
      <c r="AU883" s="85"/>
      <c r="AV883" s="85"/>
      <c r="AW883" s="85"/>
      <c r="AX883" s="85"/>
      <c r="AY883" s="85"/>
      <c r="AZ883" s="85"/>
      <c r="BA883" s="85"/>
      <c r="BB883" s="85"/>
      <c r="BC883" s="85"/>
    </row>
    <row r="884" spans="1:55" ht="15.75" customHeight="1">
      <c r="A884" s="104"/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  <c r="AA884" s="85"/>
      <c r="AB884" s="85"/>
      <c r="AC884" s="85"/>
      <c r="AD884" s="85"/>
      <c r="AE884" s="85"/>
      <c r="AF884" s="85"/>
      <c r="AG884" s="85"/>
      <c r="AH884" s="85"/>
      <c r="AI884" s="85"/>
      <c r="AJ884" s="85"/>
      <c r="AK884" s="85"/>
      <c r="AL884" s="85"/>
      <c r="AM884" s="85"/>
      <c r="AN884" s="85"/>
      <c r="AO884" s="85"/>
      <c r="AP884" s="85"/>
      <c r="AQ884" s="85"/>
      <c r="AR884" s="85"/>
      <c r="AS884" s="85"/>
      <c r="AT884" s="85"/>
      <c r="AU884" s="85"/>
      <c r="AV884" s="85"/>
      <c r="AW884" s="85"/>
      <c r="AX884" s="85"/>
      <c r="AY884" s="85"/>
      <c r="AZ884" s="85"/>
      <c r="BA884" s="85"/>
      <c r="BB884" s="85"/>
      <c r="BC884" s="85"/>
    </row>
    <row r="885" spans="1:55" ht="15.75" customHeight="1">
      <c r="A885" s="104"/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  <c r="AA885" s="85"/>
      <c r="AB885" s="85"/>
      <c r="AC885" s="85"/>
      <c r="AD885" s="85"/>
      <c r="AE885" s="85"/>
      <c r="AF885" s="85"/>
      <c r="AG885" s="85"/>
      <c r="AH885" s="85"/>
      <c r="AI885" s="85"/>
      <c r="AJ885" s="85"/>
      <c r="AK885" s="85"/>
      <c r="AL885" s="85"/>
      <c r="AM885" s="85"/>
      <c r="AN885" s="85"/>
      <c r="AO885" s="85"/>
      <c r="AP885" s="85"/>
      <c r="AQ885" s="85"/>
      <c r="AR885" s="85"/>
      <c r="AS885" s="85"/>
      <c r="AT885" s="85"/>
      <c r="AU885" s="85"/>
      <c r="AV885" s="85"/>
      <c r="AW885" s="85"/>
      <c r="AX885" s="85"/>
      <c r="AY885" s="85"/>
      <c r="AZ885" s="85"/>
      <c r="BA885" s="85"/>
      <c r="BB885" s="85"/>
      <c r="BC885" s="85"/>
    </row>
    <row r="886" spans="1:55" ht="15.75" customHeight="1">
      <c r="A886" s="104"/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  <c r="AA886" s="85"/>
      <c r="AB886" s="85"/>
      <c r="AC886" s="85"/>
      <c r="AD886" s="85"/>
      <c r="AE886" s="85"/>
      <c r="AF886" s="85"/>
      <c r="AG886" s="85"/>
      <c r="AH886" s="85"/>
      <c r="AI886" s="85"/>
      <c r="AJ886" s="85"/>
      <c r="AK886" s="85"/>
      <c r="AL886" s="85"/>
      <c r="AM886" s="85"/>
      <c r="AN886" s="85"/>
      <c r="AO886" s="85"/>
      <c r="AP886" s="85"/>
      <c r="AQ886" s="85"/>
      <c r="AR886" s="85"/>
      <c r="AS886" s="85"/>
      <c r="AT886" s="85"/>
      <c r="AU886" s="85"/>
      <c r="AV886" s="85"/>
      <c r="AW886" s="85"/>
      <c r="AX886" s="85"/>
      <c r="AY886" s="85"/>
      <c r="AZ886" s="85"/>
      <c r="BA886" s="85"/>
      <c r="BB886" s="85"/>
      <c r="BC886" s="85"/>
    </row>
    <row r="887" spans="1:55" ht="15.75" customHeight="1">
      <c r="A887" s="104"/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  <c r="AA887" s="85"/>
      <c r="AB887" s="85"/>
      <c r="AC887" s="85"/>
      <c r="AD887" s="85"/>
      <c r="AE887" s="85"/>
      <c r="AF887" s="85"/>
      <c r="AG887" s="85"/>
      <c r="AH887" s="85"/>
      <c r="AI887" s="85"/>
      <c r="AJ887" s="85"/>
      <c r="AK887" s="85"/>
      <c r="AL887" s="85"/>
      <c r="AM887" s="85"/>
      <c r="AN887" s="85"/>
      <c r="AO887" s="85"/>
      <c r="AP887" s="85"/>
      <c r="AQ887" s="85"/>
      <c r="AR887" s="85"/>
      <c r="AS887" s="85"/>
      <c r="AT887" s="85"/>
      <c r="AU887" s="85"/>
      <c r="AV887" s="85"/>
      <c r="AW887" s="85"/>
      <c r="AX887" s="85"/>
      <c r="AY887" s="85"/>
      <c r="AZ887" s="85"/>
      <c r="BA887" s="85"/>
      <c r="BB887" s="85"/>
      <c r="BC887" s="85"/>
    </row>
    <row r="888" spans="1:55" ht="15.75" customHeight="1">
      <c r="A888" s="104"/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  <c r="AA888" s="85"/>
      <c r="AB888" s="85"/>
      <c r="AC888" s="85"/>
      <c r="AD888" s="85"/>
      <c r="AE888" s="85"/>
      <c r="AF888" s="85"/>
      <c r="AG888" s="85"/>
      <c r="AH888" s="85"/>
      <c r="AI888" s="85"/>
      <c r="AJ888" s="85"/>
      <c r="AK888" s="85"/>
      <c r="AL888" s="85"/>
      <c r="AM888" s="85"/>
      <c r="AN888" s="85"/>
      <c r="AO888" s="85"/>
      <c r="AP888" s="85"/>
      <c r="AQ888" s="85"/>
      <c r="AR888" s="85"/>
      <c r="AS888" s="85"/>
      <c r="AT888" s="85"/>
      <c r="AU888" s="85"/>
      <c r="AV888" s="85"/>
      <c r="AW888" s="85"/>
      <c r="AX888" s="85"/>
      <c r="AY888" s="85"/>
      <c r="AZ888" s="85"/>
      <c r="BA888" s="85"/>
      <c r="BB888" s="85"/>
      <c r="BC888" s="85"/>
    </row>
    <row r="889" spans="1:55" ht="15.75" customHeight="1">
      <c r="A889" s="104"/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  <c r="AA889" s="85"/>
      <c r="AB889" s="85"/>
      <c r="AC889" s="85"/>
      <c r="AD889" s="85"/>
      <c r="AE889" s="85"/>
      <c r="AF889" s="85"/>
      <c r="AG889" s="85"/>
      <c r="AH889" s="85"/>
      <c r="AI889" s="85"/>
      <c r="AJ889" s="85"/>
      <c r="AK889" s="85"/>
      <c r="AL889" s="85"/>
      <c r="AM889" s="85"/>
      <c r="AN889" s="85"/>
      <c r="AO889" s="85"/>
      <c r="AP889" s="85"/>
      <c r="AQ889" s="85"/>
      <c r="AR889" s="85"/>
      <c r="AS889" s="85"/>
      <c r="AT889" s="85"/>
      <c r="AU889" s="85"/>
      <c r="AV889" s="85"/>
      <c r="AW889" s="85"/>
      <c r="AX889" s="85"/>
      <c r="AY889" s="85"/>
      <c r="AZ889" s="85"/>
      <c r="BA889" s="85"/>
      <c r="BB889" s="85"/>
      <c r="BC889" s="85"/>
    </row>
    <row r="890" spans="1:55" ht="15.75" customHeight="1">
      <c r="A890" s="104"/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  <c r="AA890" s="85"/>
      <c r="AB890" s="85"/>
      <c r="AC890" s="85"/>
      <c r="AD890" s="85"/>
      <c r="AE890" s="85"/>
      <c r="AF890" s="85"/>
      <c r="AG890" s="85"/>
      <c r="AH890" s="85"/>
      <c r="AI890" s="85"/>
      <c r="AJ890" s="85"/>
      <c r="AK890" s="85"/>
      <c r="AL890" s="85"/>
      <c r="AM890" s="85"/>
      <c r="AN890" s="85"/>
      <c r="AO890" s="85"/>
      <c r="AP890" s="85"/>
      <c r="AQ890" s="85"/>
      <c r="AR890" s="85"/>
      <c r="AS890" s="85"/>
      <c r="AT890" s="85"/>
      <c r="AU890" s="85"/>
      <c r="AV890" s="85"/>
      <c r="AW890" s="85"/>
      <c r="AX890" s="85"/>
      <c r="AY890" s="85"/>
      <c r="AZ890" s="85"/>
      <c r="BA890" s="85"/>
      <c r="BB890" s="85"/>
      <c r="BC890" s="85"/>
    </row>
    <row r="891" spans="1:55" ht="15.75" customHeight="1">
      <c r="A891" s="104"/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  <c r="AA891" s="85"/>
      <c r="AB891" s="85"/>
      <c r="AC891" s="85"/>
      <c r="AD891" s="85"/>
      <c r="AE891" s="85"/>
      <c r="AF891" s="85"/>
      <c r="AG891" s="85"/>
      <c r="AH891" s="85"/>
      <c r="AI891" s="85"/>
      <c r="AJ891" s="85"/>
      <c r="AK891" s="85"/>
      <c r="AL891" s="85"/>
      <c r="AM891" s="85"/>
      <c r="AN891" s="85"/>
      <c r="AO891" s="85"/>
      <c r="AP891" s="85"/>
      <c r="AQ891" s="85"/>
      <c r="AR891" s="85"/>
      <c r="AS891" s="85"/>
      <c r="AT891" s="85"/>
      <c r="AU891" s="85"/>
      <c r="AV891" s="85"/>
      <c r="AW891" s="85"/>
      <c r="AX891" s="85"/>
      <c r="AY891" s="85"/>
      <c r="AZ891" s="85"/>
      <c r="BA891" s="85"/>
      <c r="BB891" s="85"/>
      <c r="BC891" s="85"/>
    </row>
    <row r="892" spans="1:55" ht="15.75" customHeight="1">
      <c r="A892" s="104"/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  <c r="AA892" s="85"/>
      <c r="AB892" s="85"/>
      <c r="AC892" s="85"/>
      <c r="AD892" s="85"/>
      <c r="AE892" s="85"/>
      <c r="AF892" s="85"/>
      <c r="AG892" s="85"/>
      <c r="AH892" s="85"/>
      <c r="AI892" s="85"/>
      <c r="AJ892" s="85"/>
      <c r="AK892" s="85"/>
      <c r="AL892" s="85"/>
      <c r="AM892" s="85"/>
      <c r="AN892" s="85"/>
      <c r="AO892" s="85"/>
      <c r="AP892" s="85"/>
      <c r="AQ892" s="85"/>
      <c r="AR892" s="85"/>
      <c r="AS892" s="85"/>
      <c r="AT892" s="85"/>
      <c r="AU892" s="85"/>
      <c r="AV892" s="85"/>
      <c r="AW892" s="85"/>
      <c r="AX892" s="85"/>
      <c r="AY892" s="85"/>
      <c r="AZ892" s="85"/>
      <c r="BA892" s="85"/>
      <c r="BB892" s="85"/>
      <c r="BC892" s="85"/>
    </row>
    <row r="893" spans="1:55" ht="15.75" customHeight="1">
      <c r="A893" s="104"/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  <c r="AA893" s="85"/>
      <c r="AB893" s="85"/>
      <c r="AC893" s="85"/>
      <c r="AD893" s="85"/>
      <c r="AE893" s="85"/>
      <c r="AF893" s="85"/>
      <c r="AG893" s="85"/>
      <c r="AH893" s="85"/>
      <c r="AI893" s="85"/>
      <c r="AJ893" s="85"/>
      <c r="AK893" s="85"/>
      <c r="AL893" s="85"/>
      <c r="AM893" s="85"/>
      <c r="AN893" s="85"/>
      <c r="AO893" s="85"/>
      <c r="AP893" s="85"/>
      <c r="AQ893" s="85"/>
      <c r="AR893" s="85"/>
      <c r="AS893" s="85"/>
      <c r="AT893" s="85"/>
      <c r="AU893" s="85"/>
      <c r="AV893" s="85"/>
      <c r="AW893" s="85"/>
      <c r="AX893" s="85"/>
      <c r="AY893" s="85"/>
      <c r="AZ893" s="85"/>
      <c r="BA893" s="85"/>
      <c r="BB893" s="85"/>
      <c r="BC893" s="85"/>
    </row>
    <row r="894" spans="1:55" ht="15.75" customHeight="1">
      <c r="A894" s="104"/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  <c r="AA894" s="85"/>
      <c r="AB894" s="85"/>
      <c r="AC894" s="85"/>
      <c r="AD894" s="85"/>
      <c r="AE894" s="85"/>
      <c r="AF894" s="85"/>
      <c r="AG894" s="85"/>
      <c r="AH894" s="85"/>
      <c r="AI894" s="85"/>
      <c r="AJ894" s="85"/>
      <c r="AK894" s="85"/>
      <c r="AL894" s="85"/>
      <c r="AM894" s="85"/>
      <c r="AN894" s="85"/>
      <c r="AO894" s="85"/>
      <c r="AP894" s="85"/>
      <c r="AQ894" s="85"/>
      <c r="AR894" s="85"/>
      <c r="AS894" s="85"/>
      <c r="AT894" s="85"/>
      <c r="AU894" s="85"/>
      <c r="AV894" s="85"/>
      <c r="AW894" s="85"/>
      <c r="AX894" s="85"/>
      <c r="AY894" s="85"/>
      <c r="AZ894" s="85"/>
      <c r="BA894" s="85"/>
      <c r="BB894" s="85"/>
      <c r="BC894" s="85"/>
    </row>
    <row r="895" spans="1:55" ht="15.75" customHeight="1">
      <c r="A895" s="104"/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  <c r="AA895" s="85"/>
      <c r="AB895" s="85"/>
      <c r="AC895" s="85"/>
      <c r="AD895" s="85"/>
      <c r="AE895" s="85"/>
      <c r="AF895" s="85"/>
      <c r="AG895" s="85"/>
      <c r="AH895" s="85"/>
      <c r="AI895" s="85"/>
      <c r="AJ895" s="85"/>
      <c r="AK895" s="85"/>
      <c r="AL895" s="85"/>
      <c r="AM895" s="85"/>
      <c r="AN895" s="85"/>
      <c r="AO895" s="85"/>
      <c r="AP895" s="85"/>
      <c r="AQ895" s="85"/>
      <c r="AR895" s="85"/>
      <c r="AS895" s="85"/>
      <c r="AT895" s="85"/>
      <c r="AU895" s="85"/>
      <c r="AV895" s="85"/>
      <c r="AW895" s="85"/>
      <c r="AX895" s="85"/>
      <c r="AY895" s="85"/>
      <c r="AZ895" s="85"/>
      <c r="BA895" s="85"/>
      <c r="BB895" s="85"/>
      <c r="BC895" s="85"/>
    </row>
    <row r="896" spans="1:55" ht="15.75" customHeight="1">
      <c r="A896" s="104"/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  <c r="AA896" s="85"/>
      <c r="AB896" s="85"/>
      <c r="AC896" s="85"/>
      <c r="AD896" s="85"/>
      <c r="AE896" s="85"/>
      <c r="AF896" s="85"/>
      <c r="AG896" s="85"/>
      <c r="AH896" s="85"/>
      <c r="AI896" s="85"/>
      <c r="AJ896" s="85"/>
      <c r="AK896" s="85"/>
      <c r="AL896" s="85"/>
      <c r="AM896" s="85"/>
      <c r="AN896" s="85"/>
      <c r="AO896" s="85"/>
      <c r="AP896" s="85"/>
      <c r="AQ896" s="85"/>
      <c r="AR896" s="85"/>
      <c r="AS896" s="85"/>
      <c r="AT896" s="85"/>
      <c r="AU896" s="85"/>
      <c r="AV896" s="85"/>
      <c r="AW896" s="85"/>
      <c r="AX896" s="85"/>
      <c r="AY896" s="85"/>
      <c r="AZ896" s="85"/>
      <c r="BA896" s="85"/>
      <c r="BB896" s="85"/>
      <c r="BC896" s="85"/>
    </row>
    <row r="897" spans="1:55" ht="15.75" customHeight="1">
      <c r="A897" s="104"/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  <c r="AA897" s="85"/>
      <c r="AB897" s="85"/>
      <c r="AC897" s="85"/>
      <c r="AD897" s="85"/>
      <c r="AE897" s="85"/>
      <c r="AF897" s="85"/>
      <c r="AG897" s="85"/>
      <c r="AH897" s="85"/>
      <c r="AI897" s="85"/>
      <c r="AJ897" s="85"/>
      <c r="AK897" s="85"/>
      <c r="AL897" s="85"/>
      <c r="AM897" s="85"/>
      <c r="AN897" s="85"/>
      <c r="AO897" s="85"/>
      <c r="AP897" s="85"/>
      <c r="AQ897" s="85"/>
      <c r="AR897" s="85"/>
      <c r="AS897" s="85"/>
      <c r="AT897" s="85"/>
      <c r="AU897" s="85"/>
      <c r="AV897" s="85"/>
      <c r="AW897" s="85"/>
      <c r="AX897" s="85"/>
      <c r="AY897" s="85"/>
      <c r="AZ897" s="85"/>
      <c r="BA897" s="85"/>
      <c r="BB897" s="85"/>
      <c r="BC897" s="85"/>
    </row>
    <row r="898" spans="1:55" ht="15.75" customHeight="1">
      <c r="A898" s="104"/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  <c r="AA898" s="85"/>
      <c r="AB898" s="85"/>
      <c r="AC898" s="85"/>
      <c r="AD898" s="85"/>
      <c r="AE898" s="85"/>
      <c r="AF898" s="85"/>
      <c r="AG898" s="85"/>
      <c r="AH898" s="85"/>
      <c r="AI898" s="85"/>
      <c r="AJ898" s="85"/>
      <c r="AK898" s="85"/>
      <c r="AL898" s="85"/>
      <c r="AM898" s="85"/>
      <c r="AN898" s="85"/>
      <c r="AO898" s="85"/>
      <c r="AP898" s="85"/>
      <c r="AQ898" s="85"/>
      <c r="AR898" s="85"/>
      <c r="AS898" s="85"/>
      <c r="AT898" s="85"/>
      <c r="AU898" s="85"/>
      <c r="AV898" s="85"/>
      <c r="AW898" s="85"/>
      <c r="AX898" s="85"/>
      <c r="AY898" s="85"/>
      <c r="AZ898" s="85"/>
      <c r="BA898" s="85"/>
      <c r="BB898" s="85"/>
      <c r="BC898" s="85"/>
    </row>
    <row r="899" spans="1:55" ht="15.75" customHeight="1">
      <c r="A899" s="104"/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  <c r="AA899" s="85"/>
      <c r="AB899" s="85"/>
      <c r="AC899" s="85"/>
      <c r="AD899" s="85"/>
      <c r="AE899" s="85"/>
      <c r="AF899" s="85"/>
      <c r="AG899" s="85"/>
      <c r="AH899" s="85"/>
      <c r="AI899" s="85"/>
      <c r="AJ899" s="85"/>
      <c r="AK899" s="85"/>
      <c r="AL899" s="85"/>
      <c r="AM899" s="85"/>
      <c r="AN899" s="85"/>
      <c r="AO899" s="85"/>
      <c r="AP899" s="85"/>
      <c r="AQ899" s="85"/>
      <c r="AR899" s="85"/>
      <c r="AS899" s="85"/>
      <c r="AT899" s="85"/>
      <c r="AU899" s="85"/>
      <c r="AV899" s="85"/>
      <c r="AW899" s="85"/>
      <c r="AX899" s="85"/>
      <c r="AY899" s="85"/>
      <c r="AZ899" s="85"/>
      <c r="BA899" s="85"/>
      <c r="BB899" s="85"/>
      <c r="BC899" s="85"/>
    </row>
    <row r="900" spans="1:55" ht="15.75" customHeight="1">
      <c r="A900" s="104"/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  <c r="AA900" s="85"/>
      <c r="AB900" s="85"/>
      <c r="AC900" s="85"/>
      <c r="AD900" s="85"/>
      <c r="AE900" s="85"/>
      <c r="AF900" s="85"/>
      <c r="AG900" s="85"/>
      <c r="AH900" s="85"/>
      <c r="AI900" s="85"/>
      <c r="AJ900" s="85"/>
      <c r="AK900" s="85"/>
      <c r="AL900" s="85"/>
      <c r="AM900" s="85"/>
      <c r="AN900" s="85"/>
      <c r="AO900" s="85"/>
      <c r="AP900" s="85"/>
      <c r="AQ900" s="85"/>
      <c r="AR900" s="85"/>
      <c r="AS900" s="85"/>
      <c r="AT900" s="85"/>
      <c r="AU900" s="85"/>
      <c r="AV900" s="85"/>
      <c r="AW900" s="85"/>
      <c r="AX900" s="85"/>
      <c r="AY900" s="85"/>
      <c r="AZ900" s="85"/>
      <c r="BA900" s="85"/>
      <c r="BB900" s="85"/>
      <c r="BC900" s="85"/>
    </row>
    <row r="901" spans="1:55" ht="15.75" customHeight="1">
      <c r="A901" s="104"/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  <c r="AA901" s="85"/>
      <c r="AB901" s="85"/>
      <c r="AC901" s="85"/>
      <c r="AD901" s="85"/>
      <c r="AE901" s="85"/>
      <c r="AF901" s="85"/>
      <c r="AG901" s="85"/>
      <c r="AH901" s="85"/>
      <c r="AI901" s="85"/>
      <c r="AJ901" s="85"/>
      <c r="AK901" s="85"/>
      <c r="AL901" s="85"/>
      <c r="AM901" s="85"/>
      <c r="AN901" s="85"/>
      <c r="AO901" s="85"/>
      <c r="AP901" s="85"/>
      <c r="AQ901" s="85"/>
      <c r="AR901" s="85"/>
      <c r="AS901" s="85"/>
      <c r="AT901" s="85"/>
      <c r="AU901" s="85"/>
      <c r="AV901" s="85"/>
      <c r="AW901" s="85"/>
      <c r="AX901" s="85"/>
      <c r="AY901" s="85"/>
      <c r="AZ901" s="85"/>
      <c r="BA901" s="85"/>
      <c r="BB901" s="85"/>
      <c r="BC901" s="85"/>
    </row>
    <row r="902" spans="1:55" ht="15.75" customHeight="1">
      <c r="A902" s="104"/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  <c r="AA902" s="85"/>
      <c r="AB902" s="85"/>
      <c r="AC902" s="85"/>
      <c r="AD902" s="85"/>
      <c r="AE902" s="85"/>
      <c r="AF902" s="85"/>
      <c r="AG902" s="85"/>
      <c r="AH902" s="85"/>
      <c r="AI902" s="85"/>
      <c r="AJ902" s="85"/>
      <c r="AK902" s="85"/>
      <c r="AL902" s="85"/>
      <c r="AM902" s="85"/>
      <c r="AN902" s="85"/>
      <c r="AO902" s="85"/>
      <c r="AP902" s="85"/>
      <c r="AQ902" s="85"/>
      <c r="AR902" s="85"/>
      <c r="AS902" s="85"/>
      <c r="AT902" s="85"/>
      <c r="AU902" s="85"/>
      <c r="AV902" s="85"/>
      <c r="AW902" s="85"/>
      <c r="AX902" s="85"/>
      <c r="AY902" s="85"/>
      <c r="AZ902" s="85"/>
      <c r="BA902" s="85"/>
      <c r="BB902" s="85"/>
      <c r="BC902" s="85"/>
    </row>
    <row r="903" spans="1:55" ht="15.75" customHeight="1">
      <c r="A903" s="104"/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  <c r="AA903" s="85"/>
      <c r="AB903" s="85"/>
      <c r="AC903" s="85"/>
      <c r="AD903" s="85"/>
      <c r="AE903" s="85"/>
      <c r="AF903" s="85"/>
      <c r="AG903" s="85"/>
      <c r="AH903" s="85"/>
      <c r="AI903" s="85"/>
      <c r="AJ903" s="85"/>
      <c r="AK903" s="85"/>
      <c r="AL903" s="85"/>
      <c r="AM903" s="85"/>
      <c r="AN903" s="85"/>
      <c r="AO903" s="85"/>
      <c r="AP903" s="85"/>
      <c r="AQ903" s="85"/>
      <c r="AR903" s="85"/>
      <c r="AS903" s="85"/>
      <c r="AT903" s="85"/>
      <c r="AU903" s="85"/>
      <c r="AV903" s="85"/>
      <c r="AW903" s="85"/>
      <c r="AX903" s="85"/>
      <c r="AY903" s="85"/>
      <c r="AZ903" s="85"/>
      <c r="BA903" s="85"/>
      <c r="BB903" s="85"/>
      <c r="BC903" s="85"/>
    </row>
    <row r="904" spans="1:55" ht="15.75" customHeight="1">
      <c r="A904" s="104"/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  <c r="AA904" s="85"/>
      <c r="AB904" s="85"/>
      <c r="AC904" s="85"/>
      <c r="AD904" s="85"/>
      <c r="AE904" s="85"/>
      <c r="AF904" s="85"/>
      <c r="AG904" s="85"/>
      <c r="AH904" s="85"/>
      <c r="AI904" s="85"/>
      <c r="AJ904" s="85"/>
      <c r="AK904" s="85"/>
      <c r="AL904" s="85"/>
      <c r="AM904" s="85"/>
      <c r="AN904" s="85"/>
      <c r="AO904" s="85"/>
      <c r="AP904" s="85"/>
      <c r="AQ904" s="85"/>
      <c r="AR904" s="85"/>
      <c r="AS904" s="85"/>
      <c r="AT904" s="85"/>
      <c r="AU904" s="85"/>
      <c r="AV904" s="85"/>
      <c r="AW904" s="85"/>
      <c r="AX904" s="85"/>
      <c r="AY904" s="85"/>
      <c r="AZ904" s="85"/>
      <c r="BA904" s="85"/>
      <c r="BB904" s="85"/>
      <c r="BC904" s="85"/>
    </row>
    <row r="905" spans="1:55" ht="15.75" customHeight="1">
      <c r="A905" s="104"/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  <c r="AA905" s="85"/>
      <c r="AB905" s="85"/>
      <c r="AC905" s="85"/>
      <c r="AD905" s="85"/>
      <c r="AE905" s="85"/>
      <c r="AF905" s="85"/>
      <c r="AG905" s="85"/>
      <c r="AH905" s="85"/>
      <c r="AI905" s="85"/>
      <c r="AJ905" s="85"/>
      <c r="AK905" s="85"/>
      <c r="AL905" s="85"/>
      <c r="AM905" s="85"/>
      <c r="AN905" s="85"/>
      <c r="AO905" s="85"/>
      <c r="AP905" s="85"/>
      <c r="AQ905" s="85"/>
      <c r="AR905" s="85"/>
      <c r="AS905" s="85"/>
      <c r="AT905" s="85"/>
      <c r="AU905" s="85"/>
      <c r="AV905" s="85"/>
      <c r="AW905" s="85"/>
      <c r="AX905" s="85"/>
      <c r="AY905" s="85"/>
      <c r="AZ905" s="85"/>
      <c r="BA905" s="85"/>
      <c r="BB905" s="85"/>
      <c r="BC905" s="85"/>
    </row>
    <row r="906" spans="1:55" ht="15.75" customHeight="1">
      <c r="A906" s="104"/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  <c r="AA906" s="85"/>
      <c r="AB906" s="85"/>
      <c r="AC906" s="85"/>
      <c r="AD906" s="85"/>
      <c r="AE906" s="85"/>
      <c r="AF906" s="85"/>
      <c r="AG906" s="85"/>
      <c r="AH906" s="85"/>
      <c r="AI906" s="85"/>
      <c r="AJ906" s="85"/>
      <c r="AK906" s="85"/>
      <c r="AL906" s="85"/>
      <c r="AM906" s="85"/>
      <c r="AN906" s="85"/>
      <c r="AO906" s="85"/>
      <c r="AP906" s="85"/>
      <c r="AQ906" s="85"/>
      <c r="AR906" s="85"/>
      <c r="AS906" s="85"/>
      <c r="AT906" s="85"/>
      <c r="AU906" s="85"/>
      <c r="AV906" s="85"/>
      <c r="AW906" s="85"/>
      <c r="AX906" s="85"/>
      <c r="AY906" s="85"/>
      <c r="AZ906" s="85"/>
      <c r="BA906" s="85"/>
      <c r="BB906" s="85"/>
      <c r="BC906" s="85"/>
    </row>
    <row r="907" spans="1:55" ht="15.75" customHeight="1">
      <c r="A907" s="104"/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  <c r="AA907" s="85"/>
      <c r="AB907" s="85"/>
      <c r="AC907" s="85"/>
      <c r="AD907" s="85"/>
      <c r="AE907" s="85"/>
      <c r="AF907" s="85"/>
      <c r="AG907" s="85"/>
      <c r="AH907" s="85"/>
      <c r="AI907" s="85"/>
      <c r="AJ907" s="85"/>
      <c r="AK907" s="85"/>
      <c r="AL907" s="85"/>
      <c r="AM907" s="85"/>
      <c r="AN907" s="85"/>
      <c r="AO907" s="85"/>
      <c r="AP907" s="85"/>
      <c r="AQ907" s="85"/>
      <c r="AR907" s="85"/>
      <c r="AS907" s="85"/>
      <c r="AT907" s="85"/>
      <c r="AU907" s="85"/>
      <c r="AV907" s="85"/>
      <c r="AW907" s="85"/>
      <c r="AX907" s="85"/>
      <c r="AY907" s="85"/>
      <c r="AZ907" s="85"/>
      <c r="BA907" s="85"/>
      <c r="BB907" s="85"/>
      <c r="BC907" s="85"/>
    </row>
    <row r="908" spans="1:55" ht="15.75" customHeight="1">
      <c r="A908" s="104"/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  <c r="AA908" s="85"/>
      <c r="AB908" s="85"/>
      <c r="AC908" s="85"/>
      <c r="AD908" s="85"/>
      <c r="AE908" s="85"/>
      <c r="AF908" s="85"/>
      <c r="AG908" s="85"/>
      <c r="AH908" s="85"/>
      <c r="AI908" s="85"/>
      <c r="AJ908" s="85"/>
      <c r="AK908" s="85"/>
      <c r="AL908" s="85"/>
      <c r="AM908" s="85"/>
      <c r="AN908" s="85"/>
      <c r="AO908" s="85"/>
      <c r="AP908" s="85"/>
      <c r="AQ908" s="85"/>
      <c r="AR908" s="85"/>
      <c r="AS908" s="85"/>
      <c r="AT908" s="85"/>
      <c r="AU908" s="85"/>
      <c r="AV908" s="85"/>
      <c r="AW908" s="85"/>
      <c r="AX908" s="85"/>
      <c r="AY908" s="85"/>
      <c r="AZ908" s="85"/>
      <c r="BA908" s="85"/>
      <c r="BB908" s="85"/>
      <c r="BC908" s="85"/>
    </row>
    <row r="909" spans="1:55" ht="15.75" customHeight="1">
      <c r="A909" s="104"/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  <c r="AA909" s="85"/>
      <c r="AB909" s="85"/>
      <c r="AC909" s="85"/>
      <c r="AD909" s="85"/>
      <c r="AE909" s="85"/>
      <c r="AF909" s="85"/>
      <c r="AG909" s="85"/>
      <c r="AH909" s="85"/>
      <c r="AI909" s="85"/>
      <c r="AJ909" s="85"/>
      <c r="AK909" s="85"/>
      <c r="AL909" s="85"/>
      <c r="AM909" s="85"/>
      <c r="AN909" s="85"/>
      <c r="AO909" s="85"/>
      <c r="AP909" s="85"/>
      <c r="AQ909" s="85"/>
      <c r="AR909" s="85"/>
      <c r="AS909" s="85"/>
      <c r="AT909" s="85"/>
      <c r="AU909" s="85"/>
      <c r="AV909" s="85"/>
      <c r="AW909" s="85"/>
      <c r="AX909" s="85"/>
      <c r="AY909" s="85"/>
      <c r="AZ909" s="85"/>
      <c r="BA909" s="85"/>
      <c r="BB909" s="85"/>
      <c r="BC909" s="85"/>
    </row>
    <row r="910" spans="1:55" ht="15.75" customHeight="1">
      <c r="A910" s="104"/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  <c r="AA910" s="85"/>
      <c r="AB910" s="85"/>
      <c r="AC910" s="85"/>
      <c r="AD910" s="85"/>
      <c r="AE910" s="85"/>
      <c r="AF910" s="85"/>
      <c r="AG910" s="85"/>
      <c r="AH910" s="85"/>
      <c r="AI910" s="85"/>
      <c r="AJ910" s="85"/>
      <c r="AK910" s="85"/>
      <c r="AL910" s="85"/>
      <c r="AM910" s="85"/>
      <c r="AN910" s="85"/>
      <c r="AO910" s="85"/>
      <c r="AP910" s="85"/>
      <c r="AQ910" s="85"/>
      <c r="AR910" s="85"/>
      <c r="AS910" s="85"/>
      <c r="AT910" s="85"/>
      <c r="AU910" s="85"/>
      <c r="AV910" s="85"/>
      <c r="AW910" s="85"/>
      <c r="AX910" s="85"/>
      <c r="AY910" s="85"/>
      <c r="AZ910" s="85"/>
      <c r="BA910" s="85"/>
      <c r="BB910" s="85"/>
      <c r="BC910" s="85"/>
    </row>
    <row r="911" spans="1:55" ht="15.75" customHeight="1">
      <c r="A911" s="104"/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  <c r="AA911" s="85"/>
      <c r="AB911" s="85"/>
      <c r="AC911" s="85"/>
      <c r="AD911" s="85"/>
      <c r="AE911" s="85"/>
      <c r="AF911" s="85"/>
      <c r="AG911" s="85"/>
      <c r="AH911" s="85"/>
      <c r="AI911" s="85"/>
      <c r="AJ911" s="85"/>
      <c r="AK911" s="85"/>
      <c r="AL911" s="85"/>
      <c r="AM911" s="85"/>
      <c r="AN911" s="85"/>
      <c r="AO911" s="85"/>
      <c r="AP911" s="85"/>
      <c r="AQ911" s="85"/>
      <c r="AR911" s="85"/>
      <c r="AS911" s="85"/>
      <c r="AT911" s="85"/>
      <c r="AU911" s="85"/>
      <c r="AV911" s="85"/>
      <c r="AW911" s="85"/>
      <c r="AX911" s="85"/>
      <c r="AY911" s="85"/>
      <c r="AZ911" s="85"/>
      <c r="BA911" s="85"/>
      <c r="BB911" s="85"/>
      <c r="BC911" s="85"/>
    </row>
    <row r="912" spans="1:55" ht="15.75" customHeight="1">
      <c r="A912" s="104"/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  <c r="AA912" s="85"/>
      <c r="AB912" s="85"/>
      <c r="AC912" s="85"/>
      <c r="AD912" s="85"/>
      <c r="AE912" s="85"/>
      <c r="AF912" s="85"/>
      <c r="AG912" s="85"/>
      <c r="AH912" s="85"/>
      <c r="AI912" s="85"/>
      <c r="AJ912" s="85"/>
      <c r="AK912" s="85"/>
      <c r="AL912" s="85"/>
      <c r="AM912" s="85"/>
      <c r="AN912" s="85"/>
      <c r="AO912" s="85"/>
      <c r="AP912" s="85"/>
      <c r="AQ912" s="85"/>
      <c r="AR912" s="85"/>
      <c r="AS912" s="85"/>
      <c r="AT912" s="85"/>
      <c r="AU912" s="85"/>
      <c r="AV912" s="85"/>
      <c r="AW912" s="85"/>
      <c r="AX912" s="85"/>
      <c r="AY912" s="85"/>
      <c r="AZ912" s="85"/>
      <c r="BA912" s="85"/>
      <c r="BB912" s="85"/>
      <c r="BC912" s="85"/>
    </row>
    <row r="913" spans="1:55" ht="15.75" customHeight="1">
      <c r="A913" s="104"/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  <c r="AA913" s="85"/>
      <c r="AB913" s="85"/>
      <c r="AC913" s="85"/>
      <c r="AD913" s="85"/>
      <c r="AE913" s="85"/>
      <c r="AF913" s="85"/>
      <c r="AG913" s="85"/>
      <c r="AH913" s="85"/>
      <c r="AI913" s="85"/>
      <c r="AJ913" s="85"/>
      <c r="AK913" s="85"/>
      <c r="AL913" s="85"/>
      <c r="AM913" s="85"/>
      <c r="AN913" s="85"/>
      <c r="AO913" s="85"/>
      <c r="AP913" s="85"/>
      <c r="AQ913" s="85"/>
      <c r="AR913" s="85"/>
      <c r="AS913" s="85"/>
      <c r="AT913" s="85"/>
      <c r="AU913" s="85"/>
      <c r="AV913" s="85"/>
      <c r="AW913" s="85"/>
      <c r="AX913" s="85"/>
      <c r="AY913" s="85"/>
      <c r="AZ913" s="85"/>
      <c r="BA913" s="85"/>
      <c r="BB913" s="85"/>
      <c r="BC913" s="85"/>
    </row>
    <row r="914" spans="1:55" ht="15.75" customHeight="1">
      <c r="A914" s="104"/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  <c r="AA914" s="85"/>
      <c r="AB914" s="85"/>
      <c r="AC914" s="85"/>
      <c r="AD914" s="85"/>
      <c r="AE914" s="85"/>
      <c r="AF914" s="85"/>
      <c r="AG914" s="85"/>
      <c r="AH914" s="85"/>
      <c r="AI914" s="85"/>
      <c r="AJ914" s="85"/>
      <c r="AK914" s="85"/>
      <c r="AL914" s="85"/>
      <c r="AM914" s="85"/>
      <c r="AN914" s="85"/>
      <c r="AO914" s="85"/>
      <c r="AP914" s="85"/>
      <c r="AQ914" s="85"/>
      <c r="AR914" s="85"/>
      <c r="AS914" s="85"/>
      <c r="AT914" s="85"/>
      <c r="AU914" s="85"/>
      <c r="AV914" s="85"/>
      <c r="AW914" s="85"/>
      <c r="AX914" s="85"/>
      <c r="AY914" s="85"/>
      <c r="AZ914" s="85"/>
      <c r="BA914" s="85"/>
      <c r="BB914" s="85"/>
      <c r="BC914" s="85"/>
    </row>
    <row r="915" spans="1:55" ht="15.75" customHeight="1">
      <c r="A915" s="104"/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  <c r="AA915" s="85"/>
      <c r="AB915" s="85"/>
      <c r="AC915" s="85"/>
      <c r="AD915" s="85"/>
      <c r="AE915" s="85"/>
      <c r="AF915" s="85"/>
      <c r="AG915" s="85"/>
      <c r="AH915" s="85"/>
      <c r="AI915" s="85"/>
      <c r="AJ915" s="85"/>
      <c r="AK915" s="85"/>
      <c r="AL915" s="85"/>
      <c r="AM915" s="85"/>
      <c r="AN915" s="85"/>
      <c r="AO915" s="85"/>
      <c r="AP915" s="85"/>
      <c r="AQ915" s="85"/>
      <c r="AR915" s="85"/>
      <c r="AS915" s="85"/>
      <c r="AT915" s="85"/>
      <c r="AU915" s="85"/>
      <c r="AV915" s="85"/>
      <c r="AW915" s="85"/>
      <c r="AX915" s="85"/>
      <c r="AY915" s="85"/>
      <c r="AZ915" s="85"/>
      <c r="BA915" s="85"/>
      <c r="BB915" s="85"/>
      <c r="BC915" s="85"/>
    </row>
    <row r="916" spans="1:55" ht="15.75" customHeight="1">
      <c r="A916" s="104"/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  <c r="AA916" s="85"/>
      <c r="AB916" s="85"/>
      <c r="AC916" s="85"/>
      <c r="AD916" s="85"/>
      <c r="AE916" s="85"/>
      <c r="AF916" s="85"/>
      <c r="AG916" s="85"/>
      <c r="AH916" s="85"/>
      <c r="AI916" s="85"/>
      <c r="AJ916" s="85"/>
      <c r="AK916" s="85"/>
      <c r="AL916" s="85"/>
      <c r="AM916" s="85"/>
      <c r="AN916" s="85"/>
      <c r="AO916" s="85"/>
      <c r="AP916" s="85"/>
      <c r="AQ916" s="85"/>
      <c r="AR916" s="85"/>
      <c r="AS916" s="85"/>
      <c r="AT916" s="85"/>
      <c r="AU916" s="85"/>
      <c r="AV916" s="85"/>
      <c r="AW916" s="85"/>
      <c r="AX916" s="85"/>
      <c r="AY916" s="85"/>
      <c r="AZ916" s="85"/>
      <c r="BA916" s="85"/>
      <c r="BB916" s="85"/>
      <c r="BC916" s="85"/>
    </row>
    <row r="917" spans="1:55" ht="15.75" customHeight="1">
      <c r="A917" s="104"/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  <c r="AA917" s="85"/>
      <c r="AB917" s="85"/>
      <c r="AC917" s="85"/>
      <c r="AD917" s="85"/>
      <c r="AE917" s="85"/>
      <c r="AF917" s="85"/>
      <c r="AG917" s="85"/>
      <c r="AH917" s="85"/>
      <c r="AI917" s="85"/>
      <c r="AJ917" s="85"/>
      <c r="AK917" s="85"/>
      <c r="AL917" s="85"/>
      <c r="AM917" s="85"/>
      <c r="AN917" s="85"/>
      <c r="AO917" s="85"/>
      <c r="AP917" s="85"/>
      <c r="AQ917" s="85"/>
      <c r="AR917" s="85"/>
      <c r="AS917" s="85"/>
      <c r="AT917" s="85"/>
      <c r="AU917" s="85"/>
      <c r="AV917" s="85"/>
      <c r="AW917" s="85"/>
      <c r="AX917" s="85"/>
      <c r="AY917" s="85"/>
      <c r="AZ917" s="85"/>
      <c r="BA917" s="85"/>
      <c r="BB917" s="85"/>
      <c r="BC917" s="85"/>
    </row>
    <row r="918" spans="1:55" ht="15.75" customHeight="1">
      <c r="A918" s="104"/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  <c r="AA918" s="85"/>
      <c r="AB918" s="85"/>
      <c r="AC918" s="85"/>
      <c r="AD918" s="85"/>
      <c r="AE918" s="85"/>
      <c r="AF918" s="85"/>
      <c r="AG918" s="85"/>
      <c r="AH918" s="85"/>
      <c r="AI918" s="85"/>
      <c r="AJ918" s="85"/>
      <c r="AK918" s="85"/>
      <c r="AL918" s="85"/>
      <c r="AM918" s="85"/>
      <c r="AN918" s="85"/>
      <c r="AO918" s="85"/>
      <c r="AP918" s="85"/>
      <c r="AQ918" s="85"/>
      <c r="AR918" s="85"/>
      <c r="AS918" s="85"/>
      <c r="AT918" s="85"/>
      <c r="AU918" s="85"/>
      <c r="AV918" s="85"/>
      <c r="AW918" s="85"/>
      <c r="AX918" s="85"/>
      <c r="AY918" s="85"/>
      <c r="AZ918" s="85"/>
      <c r="BA918" s="85"/>
      <c r="BB918" s="85"/>
      <c r="BC918" s="85"/>
    </row>
    <row r="919" spans="1:55" ht="15.75" customHeight="1">
      <c r="A919" s="104"/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  <c r="AA919" s="85"/>
      <c r="AB919" s="85"/>
      <c r="AC919" s="85"/>
      <c r="AD919" s="85"/>
      <c r="AE919" s="85"/>
      <c r="AF919" s="85"/>
      <c r="AG919" s="85"/>
      <c r="AH919" s="85"/>
      <c r="AI919" s="85"/>
      <c r="AJ919" s="85"/>
      <c r="AK919" s="85"/>
      <c r="AL919" s="85"/>
      <c r="AM919" s="85"/>
      <c r="AN919" s="85"/>
      <c r="AO919" s="85"/>
      <c r="AP919" s="85"/>
      <c r="AQ919" s="85"/>
      <c r="AR919" s="85"/>
      <c r="AS919" s="85"/>
      <c r="AT919" s="85"/>
      <c r="AU919" s="85"/>
      <c r="AV919" s="85"/>
      <c r="AW919" s="85"/>
      <c r="AX919" s="85"/>
      <c r="AY919" s="85"/>
      <c r="AZ919" s="85"/>
      <c r="BA919" s="85"/>
      <c r="BB919" s="85"/>
      <c r="BC919" s="85"/>
    </row>
    <row r="920" spans="1:55" ht="15.75" customHeight="1">
      <c r="A920" s="104"/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  <c r="AA920" s="85"/>
      <c r="AB920" s="85"/>
      <c r="AC920" s="85"/>
      <c r="AD920" s="85"/>
      <c r="AE920" s="85"/>
      <c r="AF920" s="85"/>
      <c r="AG920" s="85"/>
      <c r="AH920" s="85"/>
      <c r="AI920" s="85"/>
      <c r="AJ920" s="85"/>
      <c r="AK920" s="85"/>
      <c r="AL920" s="85"/>
      <c r="AM920" s="85"/>
      <c r="AN920" s="85"/>
      <c r="AO920" s="85"/>
      <c r="AP920" s="85"/>
      <c r="AQ920" s="85"/>
      <c r="AR920" s="85"/>
      <c r="AS920" s="85"/>
      <c r="AT920" s="85"/>
      <c r="AU920" s="85"/>
      <c r="AV920" s="85"/>
      <c r="AW920" s="85"/>
      <c r="AX920" s="85"/>
      <c r="AY920" s="85"/>
      <c r="AZ920" s="85"/>
      <c r="BA920" s="85"/>
      <c r="BB920" s="85"/>
      <c r="BC920" s="85"/>
    </row>
    <row r="921" spans="1:55" ht="15.75" customHeight="1">
      <c r="A921" s="104"/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  <c r="AA921" s="85"/>
      <c r="AB921" s="85"/>
      <c r="AC921" s="85"/>
      <c r="AD921" s="85"/>
      <c r="AE921" s="85"/>
      <c r="AF921" s="85"/>
      <c r="AG921" s="85"/>
      <c r="AH921" s="85"/>
      <c r="AI921" s="85"/>
      <c r="AJ921" s="85"/>
      <c r="AK921" s="85"/>
      <c r="AL921" s="85"/>
      <c r="AM921" s="85"/>
      <c r="AN921" s="85"/>
      <c r="AO921" s="85"/>
      <c r="AP921" s="85"/>
      <c r="AQ921" s="85"/>
      <c r="AR921" s="85"/>
      <c r="AS921" s="85"/>
      <c r="AT921" s="85"/>
      <c r="AU921" s="85"/>
      <c r="AV921" s="85"/>
      <c r="AW921" s="85"/>
      <c r="AX921" s="85"/>
      <c r="AY921" s="85"/>
      <c r="AZ921" s="85"/>
      <c r="BA921" s="85"/>
      <c r="BB921" s="85"/>
      <c r="BC921" s="85"/>
    </row>
    <row r="922" spans="1:55" ht="15.75" customHeight="1">
      <c r="A922" s="104"/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  <c r="AA922" s="85"/>
      <c r="AB922" s="85"/>
      <c r="AC922" s="85"/>
      <c r="AD922" s="85"/>
      <c r="AE922" s="85"/>
      <c r="AF922" s="85"/>
      <c r="AG922" s="85"/>
      <c r="AH922" s="85"/>
      <c r="AI922" s="85"/>
      <c r="AJ922" s="85"/>
      <c r="AK922" s="85"/>
      <c r="AL922" s="85"/>
      <c r="AM922" s="85"/>
      <c r="AN922" s="85"/>
      <c r="AO922" s="85"/>
      <c r="AP922" s="85"/>
      <c r="AQ922" s="85"/>
      <c r="AR922" s="85"/>
      <c r="AS922" s="85"/>
      <c r="AT922" s="85"/>
      <c r="AU922" s="85"/>
      <c r="AV922" s="85"/>
      <c r="AW922" s="85"/>
      <c r="AX922" s="85"/>
      <c r="AY922" s="85"/>
      <c r="AZ922" s="85"/>
      <c r="BA922" s="85"/>
      <c r="BB922" s="85"/>
      <c r="BC922" s="85"/>
    </row>
    <row r="923" spans="1:55" ht="15.75" customHeight="1">
      <c r="A923" s="104"/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  <c r="AA923" s="85"/>
      <c r="AB923" s="85"/>
      <c r="AC923" s="85"/>
      <c r="AD923" s="85"/>
      <c r="AE923" s="85"/>
      <c r="AF923" s="85"/>
      <c r="AG923" s="85"/>
      <c r="AH923" s="85"/>
      <c r="AI923" s="85"/>
      <c r="AJ923" s="85"/>
      <c r="AK923" s="85"/>
      <c r="AL923" s="85"/>
      <c r="AM923" s="85"/>
      <c r="AN923" s="85"/>
      <c r="AO923" s="85"/>
      <c r="AP923" s="85"/>
      <c r="AQ923" s="85"/>
      <c r="AR923" s="85"/>
      <c r="AS923" s="85"/>
      <c r="AT923" s="85"/>
      <c r="AU923" s="85"/>
      <c r="AV923" s="85"/>
      <c r="AW923" s="85"/>
      <c r="AX923" s="85"/>
      <c r="AY923" s="85"/>
      <c r="AZ923" s="85"/>
      <c r="BA923" s="85"/>
      <c r="BB923" s="85"/>
      <c r="BC923" s="85"/>
    </row>
    <row r="924" spans="1:55" ht="15.75" customHeight="1">
      <c r="A924" s="104"/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  <c r="AA924" s="85"/>
      <c r="AB924" s="85"/>
      <c r="AC924" s="85"/>
      <c r="AD924" s="85"/>
      <c r="AE924" s="85"/>
      <c r="AF924" s="85"/>
      <c r="AG924" s="85"/>
      <c r="AH924" s="85"/>
      <c r="AI924" s="85"/>
      <c r="AJ924" s="85"/>
      <c r="AK924" s="85"/>
      <c r="AL924" s="85"/>
      <c r="AM924" s="85"/>
      <c r="AN924" s="85"/>
      <c r="AO924" s="85"/>
      <c r="AP924" s="85"/>
      <c r="AQ924" s="85"/>
      <c r="AR924" s="85"/>
      <c r="AS924" s="85"/>
      <c r="AT924" s="85"/>
      <c r="AU924" s="85"/>
      <c r="AV924" s="85"/>
      <c r="AW924" s="85"/>
      <c r="AX924" s="85"/>
      <c r="AY924" s="85"/>
      <c r="AZ924" s="85"/>
      <c r="BA924" s="85"/>
      <c r="BB924" s="85"/>
      <c r="BC924" s="85"/>
    </row>
    <row r="925" spans="1:55" ht="15.75" customHeight="1">
      <c r="A925" s="104"/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  <c r="AA925" s="85"/>
      <c r="AB925" s="85"/>
      <c r="AC925" s="85"/>
      <c r="AD925" s="85"/>
      <c r="AE925" s="85"/>
      <c r="AF925" s="85"/>
      <c r="AG925" s="85"/>
      <c r="AH925" s="85"/>
      <c r="AI925" s="85"/>
      <c r="AJ925" s="85"/>
      <c r="AK925" s="85"/>
      <c r="AL925" s="85"/>
      <c r="AM925" s="85"/>
      <c r="AN925" s="85"/>
      <c r="AO925" s="85"/>
      <c r="AP925" s="85"/>
      <c r="AQ925" s="85"/>
      <c r="AR925" s="85"/>
      <c r="AS925" s="85"/>
      <c r="AT925" s="85"/>
      <c r="AU925" s="85"/>
      <c r="AV925" s="85"/>
      <c r="AW925" s="85"/>
      <c r="AX925" s="85"/>
      <c r="AY925" s="85"/>
      <c r="AZ925" s="85"/>
      <c r="BA925" s="85"/>
      <c r="BB925" s="85"/>
      <c r="BC925" s="85"/>
    </row>
    <row r="926" spans="1:55" ht="15.75" customHeight="1">
      <c r="A926" s="104"/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  <c r="AA926" s="85"/>
      <c r="AB926" s="85"/>
      <c r="AC926" s="85"/>
      <c r="AD926" s="85"/>
      <c r="AE926" s="85"/>
      <c r="AF926" s="85"/>
      <c r="AG926" s="85"/>
      <c r="AH926" s="85"/>
      <c r="AI926" s="85"/>
      <c r="AJ926" s="85"/>
      <c r="AK926" s="85"/>
      <c r="AL926" s="85"/>
      <c r="AM926" s="85"/>
      <c r="AN926" s="85"/>
      <c r="AO926" s="85"/>
      <c r="AP926" s="85"/>
      <c r="AQ926" s="85"/>
      <c r="AR926" s="85"/>
      <c r="AS926" s="85"/>
      <c r="AT926" s="85"/>
      <c r="AU926" s="85"/>
      <c r="AV926" s="85"/>
      <c r="AW926" s="85"/>
      <c r="AX926" s="85"/>
      <c r="AY926" s="85"/>
      <c r="AZ926" s="85"/>
      <c r="BA926" s="85"/>
      <c r="BB926" s="85"/>
      <c r="BC926" s="85"/>
    </row>
    <row r="927" spans="1:55" ht="15.75" customHeight="1">
      <c r="A927" s="104"/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  <c r="AA927" s="85"/>
      <c r="AB927" s="85"/>
      <c r="AC927" s="85"/>
      <c r="AD927" s="85"/>
      <c r="AE927" s="85"/>
      <c r="AF927" s="85"/>
      <c r="AG927" s="85"/>
      <c r="AH927" s="85"/>
      <c r="AI927" s="85"/>
      <c r="AJ927" s="85"/>
      <c r="AK927" s="85"/>
      <c r="AL927" s="85"/>
      <c r="AM927" s="85"/>
      <c r="AN927" s="85"/>
      <c r="AO927" s="85"/>
      <c r="AP927" s="85"/>
      <c r="AQ927" s="85"/>
      <c r="AR927" s="85"/>
      <c r="AS927" s="85"/>
      <c r="AT927" s="85"/>
      <c r="AU927" s="85"/>
      <c r="AV927" s="85"/>
      <c r="AW927" s="85"/>
      <c r="AX927" s="85"/>
      <c r="AY927" s="85"/>
      <c r="AZ927" s="85"/>
      <c r="BA927" s="85"/>
      <c r="BB927" s="85"/>
      <c r="BC927" s="85"/>
    </row>
    <row r="928" spans="1:55" ht="15.75" customHeight="1">
      <c r="A928" s="104"/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  <c r="AA928" s="85"/>
      <c r="AB928" s="85"/>
      <c r="AC928" s="85"/>
      <c r="AD928" s="85"/>
      <c r="AE928" s="85"/>
      <c r="AF928" s="85"/>
      <c r="AG928" s="85"/>
      <c r="AH928" s="85"/>
      <c r="AI928" s="85"/>
      <c r="AJ928" s="85"/>
      <c r="AK928" s="85"/>
      <c r="AL928" s="85"/>
      <c r="AM928" s="85"/>
      <c r="AN928" s="85"/>
      <c r="AO928" s="85"/>
      <c r="AP928" s="85"/>
      <c r="AQ928" s="85"/>
      <c r="AR928" s="85"/>
      <c r="AS928" s="85"/>
      <c r="AT928" s="85"/>
      <c r="AU928" s="85"/>
      <c r="AV928" s="85"/>
      <c r="AW928" s="85"/>
      <c r="AX928" s="85"/>
      <c r="AY928" s="85"/>
      <c r="AZ928" s="85"/>
      <c r="BA928" s="85"/>
      <c r="BB928" s="85"/>
      <c r="BC928" s="85"/>
    </row>
    <row r="929" spans="1:55" ht="15.75" customHeight="1">
      <c r="A929" s="104"/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  <c r="AA929" s="85"/>
      <c r="AB929" s="85"/>
      <c r="AC929" s="85"/>
      <c r="AD929" s="85"/>
      <c r="AE929" s="85"/>
      <c r="AF929" s="85"/>
      <c r="AG929" s="85"/>
      <c r="AH929" s="85"/>
      <c r="AI929" s="85"/>
      <c r="AJ929" s="85"/>
      <c r="AK929" s="85"/>
      <c r="AL929" s="85"/>
      <c r="AM929" s="85"/>
      <c r="AN929" s="85"/>
      <c r="AO929" s="85"/>
      <c r="AP929" s="85"/>
      <c r="AQ929" s="85"/>
      <c r="AR929" s="85"/>
      <c r="AS929" s="85"/>
      <c r="AT929" s="85"/>
      <c r="AU929" s="85"/>
      <c r="AV929" s="85"/>
      <c r="AW929" s="85"/>
      <c r="AX929" s="85"/>
      <c r="AY929" s="85"/>
      <c r="AZ929" s="85"/>
      <c r="BA929" s="85"/>
      <c r="BB929" s="85"/>
      <c r="BC929" s="85"/>
    </row>
    <row r="930" spans="1:55" ht="15.75" customHeight="1">
      <c r="A930" s="104"/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  <c r="AA930" s="85"/>
      <c r="AB930" s="85"/>
      <c r="AC930" s="85"/>
      <c r="AD930" s="85"/>
      <c r="AE930" s="85"/>
      <c r="AF930" s="85"/>
      <c r="AG930" s="85"/>
      <c r="AH930" s="85"/>
      <c r="AI930" s="85"/>
      <c r="AJ930" s="85"/>
      <c r="AK930" s="85"/>
      <c r="AL930" s="85"/>
      <c r="AM930" s="85"/>
      <c r="AN930" s="85"/>
      <c r="AO930" s="85"/>
      <c r="AP930" s="85"/>
      <c r="AQ930" s="85"/>
      <c r="AR930" s="85"/>
      <c r="AS930" s="85"/>
      <c r="AT930" s="85"/>
      <c r="AU930" s="85"/>
      <c r="AV930" s="85"/>
      <c r="AW930" s="85"/>
      <c r="AX930" s="85"/>
      <c r="AY930" s="85"/>
      <c r="AZ930" s="85"/>
      <c r="BA930" s="85"/>
      <c r="BB930" s="85"/>
      <c r="BC930" s="85"/>
    </row>
    <row r="931" spans="1:55" ht="15.75" customHeight="1">
      <c r="A931" s="104"/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  <c r="AA931" s="85"/>
      <c r="AB931" s="85"/>
      <c r="AC931" s="85"/>
      <c r="AD931" s="85"/>
      <c r="AE931" s="85"/>
      <c r="AF931" s="85"/>
      <c r="AG931" s="85"/>
      <c r="AH931" s="85"/>
      <c r="AI931" s="85"/>
      <c r="AJ931" s="85"/>
      <c r="AK931" s="85"/>
      <c r="AL931" s="85"/>
      <c r="AM931" s="85"/>
      <c r="AN931" s="85"/>
      <c r="AO931" s="85"/>
      <c r="AP931" s="85"/>
      <c r="AQ931" s="85"/>
      <c r="AR931" s="85"/>
      <c r="AS931" s="85"/>
      <c r="AT931" s="85"/>
      <c r="AU931" s="85"/>
      <c r="AV931" s="85"/>
      <c r="AW931" s="85"/>
      <c r="AX931" s="85"/>
      <c r="AY931" s="85"/>
      <c r="AZ931" s="85"/>
      <c r="BA931" s="85"/>
      <c r="BB931" s="85"/>
      <c r="BC931" s="85"/>
    </row>
    <row r="932" spans="1:55" ht="15.75" customHeight="1">
      <c r="A932" s="104"/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  <c r="AA932" s="85"/>
      <c r="AB932" s="85"/>
      <c r="AC932" s="85"/>
      <c r="AD932" s="85"/>
      <c r="AE932" s="85"/>
      <c r="AF932" s="85"/>
      <c r="AG932" s="85"/>
      <c r="AH932" s="85"/>
      <c r="AI932" s="85"/>
      <c r="AJ932" s="85"/>
      <c r="AK932" s="85"/>
      <c r="AL932" s="85"/>
      <c r="AM932" s="85"/>
      <c r="AN932" s="85"/>
      <c r="AO932" s="85"/>
      <c r="AP932" s="85"/>
      <c r="AQ932" s="85"/>
      <c r="AR932" s="85"/>
      <c r="AS932" s="85"/>
      <c r="AT932" s="85"/>
      <c r="AU932" s="85"/>
      <c r="AV932" s="85"/>
      <c r="AW932" s="85"/>
      <c r="AX932" s="85"/>
      <c r="AY932" s="85"/>
      <c r="AZ932" s="85"/>
      <c r="BA932" s="85"/>
      <c r="BB932" s="85"/>
      <c r="BC932" s="85"/>
    </row>
    <row r="933" spans="1:55" ht="15.75" customHeight="1">
      <c r="A933" s="104"/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  <c r="AA933" s="85"/>
      <c r="AB933" s="85"/>
      <c r="AC933" s="85"/>
      <c r="AD933" s="85"/>
      <c r="AE933" s="85"/>
      <c r="AF933" s="85"/>
      <c r="AG933" s="85"/>
      <c r="AH933" s="85"/>
      <c r="AI933" s="85"/>
      <c r="AJ933" s="85"/>
      <c r="AK933" s="85"/>
      <c r="AL933" s="85"/>
      <c r="AM933" s="85"/>
      <c r="AN933" s="85"/>
      <c r="AO933" s="85"/>
      <c r="AP933" s="85"/>
      <c r="AQ933" s="85"/>
      <c r="AR933" s="85"/>
      <c r="AS933" s="85"/>
      <c r="AT933" s="85"/>
      <c r="AU933" s="85"/>
      <c r="AV933" s="85"/>
      <c r="AW933" s="85"/>
      <c r="AX933" s="85"/>
      <c r="AY933" s="85"/>
      <c r="AZ933" s="85"/>
      <c r="BA933" s="85"/>
      <c r="BB933" s="85"/>
      <c r="BC933" s="85"/>
    </row>
    <row r="934" spans="1:55" ht="15.75" customHeight="1">
      <c r="A934" s="104"/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  <c r="AA934" s="85"/>
      <c r="AB934" s="85"/>
      <c r="AC934" s="85"/>
      <c r="AD934" s="85"/>
      <c r="AE934" s="85"/>
      <c r="AF934" s="85"/>
      <c r="AG934" s="85"/>
      <c r="AH934" s="85"/>
      <c r="AI934" s="85"/>
      <c r="AJ934" s="85"/>
      <c r="AK934" s="85"/>
      <c r="AL934" s="85"/>
      <c r="AM934" s="85"/>
      <c r="AN934" s="85"/>
      <c r="AO934" s="85"/>
      <c r="AP934" s="85"/>
      <c r="AQ934" s="85"/>
      <c r="AR934" s="85"/>
      <c r="AS934" s="85"/>
      <c r="AT934" s="85"/>
      <c r="AU934" s="85"/>
      <c r="AV934" s="85"/>
      <c r="AW934" s="85"/>
      <c r="AX934" s="85"/>
      <c r="AY934" s="85"/>
      <c r="AZ934" s="85"/>
      <c r="BA934" s="85"/>
      <c r="BB934" s="85"/>
      <c r="BC934" s="85"/>
    </row>
    <row r="935" spans="1:55" ht="15.75" customHeight="1">
      <c r="A935" s="104"/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  <c r="AA935" s="85"/>
      <c r="AB935" s="85"/>
      <c r="AC935" s="85"/>
      <c r="AD935" s="85"/>
      <c r="AE935" s="85"/>
      <c r="AF935" s="85"/>
      <c r="AG935" s="85"/>
      <c r="AH935" s="85"/>
      <c r="AI935" s="85"/>
      <c r="AJ935" s="85"/>
      <c r="AK935" s="85"/>
      <c r="AL935" s="85"/>
      <c r="AM935" s="85"/>
      <c r="AN935" s="85"/>
      <c r="AO935" s="85"/>
      <c r="AP935" s="85"/>
      <c r="AQ935" s="85"/>
      <c r="AR935" s="85"/>
      <c r="AS935" s="85"/>
      <c r="AT935" s="85"/>
      <c r="AU935" s="85"/>
      <c r="AV935" s="85"/>
      <c r="AW935" s="85"/>
      <c r="AX935" s="85"/>
      <c r="AY935" s="85"/>
      <c r="AZ935" s="85"/>
      <c r="BA935" s="85"/>
      <c r="BB935" s="85"/>
      <c r="BC935" s="85"/>
    </row>
    <row r="936" spans="1:55" ht="15.75" customHeight="1">
      <c r="A936" s="104"/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  <c r="AA936" s="85"/>
      <c r="AB936" s="85"/>
      <c r="AC936" s="85"/>
      <c r="AD936" s="85"/>
      <c r="AE936" s="85"/>
      <c r="AF936" s="85"/>
      <c r="AG936" s="85"/>
      <c r="AH936" s="85"/>
      <c r="AI936" s="85"/>
      <c r="AJ936" s="85"/>
      <c r="AK936" s="85"/>
      <c r="AL936" s="85"/>
      <c r="AM936" s="85"/>
      <c r="AN936" s="85"/>
      <c r="AO936" s="85"/>
      <c r="AP936" s="85"/>
      <c r="AQ936" s="85"/>
      <c r="AR936" s="85"/>
      <c r="AS936" s="85"/>
      <c r="AT936" s="85"/>
      <c r="AU936" s="85"/>
      <c r="AV936" s="85"/>
      <c r="AW936" s="85"/>
      <c r="AX936" s="85"/>
      <c r="AY936" s="85"/>
      <c r="AZ936" s="85"/>
      <c r="BA936" s="85"/>
      <c r="BB936" s="85"/>
      <c r="BC936" s="85"/>
    </row>
    <row r="937" spans="1:55" ht="15.75" customHeight="1">
      <c r="A937" s="104"/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  <c r="AA937" s="85"/>
      <c r="AB937" s="85"/>
      <c r="AC937" s="85"/>
      <c r="AD937" s="85"/>
      <c r="AE937" s="85"/>
      <c r="AF937" s="85"/>
      <c r="AG937" s="85"/>
      <c r="AH937" s="85"/>
      <c r="AI937" s="85"/>
      <c r="AJ937" s="85"/>
      <c r="AK937" s="85"/>
      <c r="AL937" s="85"/>
      <c r="AM937" s="85"/>
      <c r="AN937" s="85"/>
      <c r="AO937" s="85"/>
      <c r="AP937" s="85"/>
      <c r="AQ937" s="85"/>
      <c r="AR937" s="85"/>
      <c r="AS937" s="85"/>
      <c r="AT937" s="85"/>
      <c r="AU937" s="85"/>
      <c r="AV937" s="85"/>
      <c r="AW937" s="85"/>
      <c r="AX937" s="85"/>
      <c r="AY937" s="85"/>
      <c r="AZ937" s="85"/>
      <c r="BA937" s="85"/>
      <c r="BB937" s="85"/>
      <c r="BC937" s="85"/>
    </row>
    <row r="938" spans="1:55" ht="15.75" customHeight="1">
      <c r="A938" s="104"/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  <c r="AA938" s="85"/>
      <c r="AB938" s="85"/>
      <c r="AC938" s="85"/>
      <c r="AD938" s="85"/>
      <c r="AE938" s="85"/>
      <c r="AF938" s="85"/>
      <c r="AG938" s="85"/>
      <c r="AH938" s="85"/>
      <c r="AI938" s="85"/>
      <c r="AJ938" s="85"/>
      <c r="AK938" s="85"/>
      <c r="AL938" s="85"/>
      <c r="AM938" s="85"/>
      <c r="AN938" s="85"/>
      <c r="AO938" s="85"/>
      <c r="AP938" s="85"/>
      <c r="AQ938" s="85"/>
      <c r="AR938" s="85"/>
      <c r="AS938" s="85"/>
      <c r="AT938" s="85"/>
      <c r="AU938" s="85"/>
      <c r="AV938" s="85"/>
      <c r="AW938" s="85"/>
      <c r="AX938" s="85"/>
      <c r="AY938" s="85"/>
      <c r="AZ938" s="85"/>
      <c r="BA938" s="85"/>
      <c r="BB938" s="85"/>
      <c r="BC938" s="85"/>
    </row>
    <row r="939" spans="1:55" ht="15.75" customHeight="1">
      <c r="A939" s="104"/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  <c r="AA939" s="85"/>
      <c r="AB939" s="85"/>
      <c r="AC939" s="85"/>
      <c r="AD939" s="85"/>
      <c r="AE939" s="85"/>
      <c r="AF939" s="85"/>
      <c r="AG939" s="85"/>
      <c r="AH939" s="85"/>
      <c r="AI939" s="85"/>
      <c r="AJ939" s="85"/>
      <c r="AK939" s="85"/>
      <c r="AL939" s="85"/>
      <c r="AM939" s="85"/>
      <c r="AN939" s="85"/>
      <c r="AO939" s="85"/>
      <c r="AP939" s="85"/>
      <c r="AQ939" s="85"/>
      <c r="AR939" s="85"/>
      <c r="AS939" s="85"/>
      <c r="AT939" s="85"/>
      <c r="AU939" s="85"/>
      <c r="AV939" s="85"/>
      <c r="AW939" s="85"/>
      <c r="AX939" s="85"/>
      <c r="AY939" s="85"/>
      <c r="AZ939" s="85"/>
      <c r="BA939" s="85"/>
      <c r="BB939" s="85"/>
      <c r="BC939" s="85"/>
    </row>
    <row r="940" spans="1:55" ht="15.75" customHeight="1">
      <c r="A940" s="104"/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  <c r="AA940" s="85"/>
      <c r="AB940" s="85"/>
      <c r="AC940" s="85"/>
      <c r="AD940" s="85"/>
      <c r="AE940" s="85"/>
      <c r="AF940" s="85"/>
      <c r="AG940" s="85"/>
      <c r="AH940" s="85"/>
      <c r="AI940" s="85"/>
      <c r="AJ940" s="85"/>
      <c r="AK940" s="85"/>
      <c r="AL940" s="85"/>
      <c r="AM940" s="85"/>
      <c r="AN940" s="85"/>
      <c r="AO940" s="85"/>
      <c r="AP940" s="85"/>
      <c r="AQ940" s="85"/>
      <c r="AR940" s="85"/>
      <c r="AS940" s="85"/>
      <c r="AT940" s="85"/>
      <c r="AU940" s="85"/>
      <c r="AV940" s="85"/>
      <c r="AW940" s="85"/>
      <c r="AX940" s="85"/>
      <c r="AY940" s="85"/>
      <c r="AZ940" s="85"/>
      <c r="BA940" s="85"/>
      <c r="BB940" s="85"/>
      <c r="BC940" s="85"/>
    </row>
    <row r="941" spans="1:55" ht="15.75" customHeight="1">
      <c r="A941" s="104"/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  <c r="AA941" s="85"/>
      <c r="AB941" s="85"/>
      <c r="AC941" s="85"/>
      <c r="AD941" s="85"/>
      <c r="AE941" s="85"/>
      <c r="AF941" s="85"/>
      <c r="AG941" s="85"/>
      <c r="AH941" s="85"/>
      <c r="AI941" s="85"/>
      <c r="AJ941" s="85"/>
      <c r="AK941" s="85"/>
      <c r="AL941" s="85"/>
      <c r="AM941" s="85"/>
      <c r="AN941" s="85"/>
      <c r="AO941" s="85"/>
      <c r="AP941" s="85"/>
      <c r="AQ941" s="85"/>
      <c r="AR941" s="85"/>
      <c r="AS941" s="85"/>
      <c r="AT941" s="85"/>
      <c r="AU941" s="85"/>
      <c r="AV941" s="85"/>
      <c r="AW941" s="85"/>
      <c r="AX941" s="85"/>
      <c r="AY941" s="85"/>
      <c r="AZ941" s="85"/>
      <c r="BA941" s="85"/>
      <c r="BB941" s="85"/>
      <c r="BC941" s="85"/>
    </row>
    <row r="942" spans="1:55" ht="15.75" customHeight="1">
      <c r="A942" s="104"/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  <c r="AA942" s="85"/>
      <c r="AB942" s="85"/>
      <c r="AC942" s="85"/>
      <c r="AD942" s="85"/>
      <c r="AE942" s="85"/>
      <c r="AF942" s="85"/>
      <c r="AG942" s="85"/>
      <c r="AH942" s="85"/>
      <c r="AI942" s="85"/>
      <c r="AJ942" s="85"/>
      <c r="AK942" s="85"/>
      <c r="AL942" s="85"/>
      <c r="AM942" s="85"/>
      <c r="AN942" s="85"/>
      <c r="AO942" s="85"/>
      <c r="AP942" s="85"/>
      <c r="AQ942" s="85"/>
      <c r="AR942" s="85"/>
      <c r="AS942" s="85"/>
      <c r="AT942" s="85"/>
      <c r="AU942" s="85"/>
      <c r="AV942" s="85"/>
      <c r="AW942" s="85"/>
      <c r="AX942" s="85"/>
      <c r="AY942" s="85"/>
      <c r="AZ942" s="85"/>
      <c r="BA942" s="85"/>
      <c r="BB942" s="85"/>
      <c r="BC942" s="85"/>
    </row>
    <row r="943" spans="1:55" ht="15.75" customHeight="1">
      <c r="A943" s="104"/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  <c r="AA943" s="85"/>
      <c r="AB943" s="85"/>
      <c r="AC943" s="85"/>
      <c r="AD943" s="85"/>
      <c r="AE943" s="85"/>
      <c r="AF943" s="85"/>
      <c r="AG943" s="85"/>
      <c r="AH943" s="85"/>
      <c r="AI943" s="85"/>
      <c r="AJ943" s="85"/>
      <c r="AK943" s="85"/>
      <c r="AL943" s="85"/>
      <c r="AM943" s="85"/>
      <c r="AN943" s="85"/>
      <c r="AO943" s="85"/>
      <c r="AP943" s="85"/>
      <c r="AQ943" s="85"/>
      <c r="AR943" s="85"/>
      <c r="AS943" s="85"/>
      <c r="AT943" s="85"/>
      <c r="AU943" s="85"/>
      <c r="AV943" s="85"/>
      <c r="AW943" s="85"/>
      <c r="AX943" s="85"/>
      <c r="AY943" s="85"/>
      <c r="AZ943" s="85"/>
      <c r="BA943" s="85"/>
      <c r="BB943" s="85"/>
      <c r="BC943" s="85"/>
    </row>
    <row r="944" spans="1:55" ht="15.75" customHeight="1">
      <c r="A944" s="104"/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  <c r="AA944" s="85"/>
      <c r="AB944" s="85"/>
      <c r="AC944" s="85"/>
      <c r="AD944" s="85"/>
      <c r="AE944" s="85"/>
      <c r="AF944" s="85"/>
      <c r="AG944" s="85"/>
      <c r="AH944" s="85"/>
      <c r="AI944" s="85"/>
      <c r="AJ944" s="85"/>
      <c r="AK944" s="85"/>
      <c r="AL944" s="85"/>
      <c r="AM944" s="85"/>
      <c r="AN944" s="85"/>
      <c r="AO944" s="85"/>
      <c r="AP944" s="85"/>
      <c r="AQ944" s="85"/>
      <c r="AR944" s="85"/>
      <c r="AS944" s="85"/>
      <c r="AT944" s="85"/>
      <c r="AU944" s="85"/>
      <c r="AV944" s="85"/>
      <c r="AW944" s="85"/>
      <c r="AX944" s="85"/>
      <c r="AY944" s="85"/>
      <c r="AZ944" s="85"/>
      <c r="BA944" s="85"/>
      <c r="BB944" s="85"/>
      <c r="BC944" s="85"/>
    </row>
    <row r="945" spans="1:55" ht="15.75" customHeight="1">
      <c r="A945" s="104"/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  <c r="AA945" s="85"/>
      <c r="AB945" s="85"/>
      <c r="AC945" s="85"/>
      <c r="AD945" s="85"/>
      <c r="AE945" s="85"/>
      <c r="AF945" s="85"/>
      <c r="AG945" s="85"/>
      <c r="AH945" s="85"/>
      <c r="AI945" s="85"/>
      <c r="AJ945" s="85"/>
      <c r="AK945" s="85"/>
      <c r="AL945" s="85"/>
      <c r="AM945" s="85"/>
      <c r="AN945" s="85"/>
      <c r="AO945" s="85"/>
      <c r="AP945" s="85"/>
      <c r="AQ945" s="85"/>
      <c r="AR945" s="85"/>
      <c r="AS945" s="85"/>
      <c r="AT945" s="85"/>
      <c r="AU945" s="85"/>
      <c r="AV945" s="85"/>
      <c r="AW945" s="85"/>
      <c r="AX945" s="85"/>
      <c r="AY945" s="85"/>
      <c r="AZ945" s="85"/>
      <c r="BA945" s="85"/>
      <c r="BB945" s="85"/>
      <c r="BC945" s="85"/>
    </row>
    <row r="946" spans="1:55" ht="15.75" customHeight="1">
      <c r="A946" s="104"/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  <c r="AA946" s="85"/>
      <c r="AB946" s="85"/>
      <c r="AC946" s="85"/>
      <c r="AD946" s="85"/>
      <c r="AE946" s="85"/>
      <c r="AF946" s="85"/>
      <c r="AG946" s="85"/>
      <c r="AH946" s="85"/>
      <c r="AI946" s="85"/>
      <c r="AJ946" s="85"/>
      <c r="AK946" s="85"/>
      <c r="AL946" s="85"/>
      <c r="AM946" s="85"/>
      <c r="AN946" s="85"/>
      <c r="AO946" s="85"/>
      <c r="AP946" s="85"/>
      <c r="AQ946" s="85"/>
      <c r="AR946" s="85"/>
      <c r="AS946" s="85"/>
      <c r="AT946" s="85"/>
      <c r="AU946" s="85"/>
      <c r="AV946" s="85"/>
      <c r="AW946" s="85"/>
      <c r="AX946" s="85"/>
      <c r="AY946" s="85"/>
      <c r="AZ946" s="85"/>
      <c r="BA946" s="85"/>
      <c r="BB946" s="85"/>
      <c r="BC946" s="85"/>
    </row>
    <row r="947" spans="1:55" ht="15.75" customHeight="1">
      <c r="A947" s="104"/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  <c r="AA947" s="85"/>
      <c r="AB947" s="85"/>
      <c r="AC947" s="85"/>
      <c r="AD947" s="85"/>
      <c r="AE947" s="85"/>
      <c r="AF947" s="85"/>
      <c r="AG947" s="85"/>
      <c r="AH947" s="85"/>
      <c r="AI947" s="85"/>
      <c r="AJ947" s="85"/>
      <c r="AK947" s="85"/>
      <c r="AL947" s="85"/>
      <c r="AM947" s="85"/>
      <c r="AN947" s="85"/>
      <c r="AO947" s="85"/>
      <c r="AP947" s="85"/>
      <c r="AQ947" s="85"/>
      <c r="AR947" s="85"/>
      <c r="AS947" s="85"/>
      <c r="AT947" s="85"/>
      <c r="AU947" s="85"/>
      <c r="AV947" s="85"/>
      <c r="AW947" s="85"/>
      <c r="AX947" s="85"/>
      <c r="AY947" s="85"/>
      <c r="AZ947" s="85"/>
      <c r="BA947" s="85"/>
      <c r="BB947" s="85"/>
      <c r="BC947" s="85"/>
    </row>
    <row r="948" spans="1:55" ht="15.75" customHeight="1">
      <c r="A948" s="104"/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  <c r="AA948" s="85"/>
      <c r="AB948" s="85"/>
      <c r="AC948" s="85"/>
      <c r="AD948" s="85"/>
      <c r="AE948" s="85"/>
      <c r="AF948" s="85"/>
      <c r="AG948" s="85"/>
      <c r="AH948" s="85"/>
      <c r="AI948" s="85"/>
      <c r="AJ948" s="85"/>
      <c r="AK948" s="85"/>
      <c r="AL948" s="85"/>
      <c r="AM948" s="85"/>
      <c r="AN948" s="85"/>
      <c r="AO948" s="85"/>
      <c r="AP948" s="85"/>
      <c r="AQ948" s="85"/>
      <c r="AR948" s="85"/>
      <c r="AS948" s="85"/>
      <c r="AT948" s="85"/>
      <c r="AU948" s="85"/>
      <c r="AV948" s="85"/>
      <c r="AW948" s="85"/>
      <c r="AX948" s="85"/>
      <c r="AY948" s="85"/>
      <c r="AZ948" s="85"/>
      <c r="BA948" s="85"/>
      <c r="BB948" s="85"/>
      <c r="BC948" s="85"/>
    </row>
    <row r="949" spans="1:55" ht="15.75" customHeight="1">
      <c r="A949" s="104"/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  <c r="AA949" s="85"/>
      <c r="AB949" s="85"/>
      <c r="AC949" s="85"/>
      <c r="AD949" s="85"/>
      <c r="AE949" s="85"/>
      <c r="AF949" s="85"/>
      <c r="AG949" s="85"/>
      <c r="AH949" s="85"/>
      <c r="AI949" s="85"/>
      <c r="AJ949" s="85"/>
      <c r="AK949" s="85"/>
      <c r="AL949" s="85"/>
      <c r="AM949" s="85"/>
      <c r="AN949" s="85"/>
      <c r="AO949" s="85"/>
      <c r="AP949" s="85"/>
      <c r="AQ949" s="85"/>
      <c r="AR949" s="85"/>
      <c r="AS949" s="85"/>
      <c r="AT949" s="85"/>
      <c r="AU949" s="85"/>
      <c r="AV949" s="85"/>
      <c r="AW949" s="85"/>
      <c r="AX949" s="85"/>
      <c r="AY949" s="85"/>
      <c r="AZ949" s="85"/>
      <c r="BA949" s="85"/>
      <c r="BB949" s="85"/>
      <c r="BC949" s="85"/>
    </row>
    <row r="950" spans="1:55" ht="15.75" customHeight="1">
      <c r="A950" s="104"/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  <c r="AA950" s="85"/>
      <c r="AB950" s="85"/>
      <c r="AC950" s="85"/>
      <c r="AD950" s="85"/>
      <c r="AE950" s="85"/>
      <c r="AF950" s="85"/>
      <c r="AG950" s="85"/>
      <c r="AH950" s="85"/>
      <c r="AI950" s="85"/>
      <c r="AJ950" s="85"/>
      <c r="AK950" s="85"/>
      <c r="AL950" s="85"/>
      <c r="AM950" s="85"/>
      <c r="AN950" s="85"/>
      <c r="AO950" s="85"/>
      <c r="AP950" s="85"/>
      <c r="AQ950" s="85"/>
      <c r="AR950" s="85"/>
      <c r="AS950" s="85"/>
      <c r="AT950" s="85"/>
      <c r="AU950" s="85"/>
      <c r="AV950" s="85"/>
      <c r="AW950" s="85"/>
      <c r="AX950" s="85"/>
      <c r="AY950" s="85"/>
      <c r="AZ950" s="85"/>
      <c r="BA950" s="85"/>
      <c r="BB950" s="85"/>
      <c r="BC950" s="85"/>
    </row>
    <row r="951" spans="1:55" ht="15.75" customHeight="1">
      <c r="A951" s="104"/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  <c r="AA951" s="85"/>
      <c r="AB951" s="85"/>
      <c r="AC951" s="85"/>
      <c r="AD951" s="85"/>
      <c r="AE951" s="85"/>
      <c r="AF951" s="85"/>
      <c r="AG951" s="85"/>
      <c r="AH951" s="85"/>
      <c r="AI951" s="85"/>
      <c r="AJ951" s="85"/>
      <c r="AK951" s="85"/>
      <c r="AL951" s="85"/>
      <c r="AM951" s="85"/>
      <c r="AN951" s="85"/>
      <c r="AO951" s="85"/>
      <c r="AP951" s="85"/>
      <c r="AQ951" s="85"/>
      <c r="AR951" s="85"/>
      <c r="AS951" s="85"/>
      <c r="AT951" s="85"/>
      <c r="AU951" s="85"/>
      <c r="AV951" s="85"/>
      <c r="AW951" s="85"/>
      <c r="AX951" s="85"/>
      <c r="AY951" s="85"/>
      <c r="AZ951" s="85"/>
      <c r="BA951" s="85"/>
      <c r="BB951" s="85"/>
      <c r="BC951" s="85"/>
    </row>
    <row r="952" spans="1:55" ht="15.75" customHeight="1">
      <c r="A952" s="104"/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  <c r="AA952" s="85"/>
      <c r="AB952" s="85"/>
      <c r="AC952" s="85"/>
      <c r="AD952" s="85"/>
      <c r="AE952" s="85"/>
      <c r="AF952" s="85"/>
      <c r="AG952" s="85"/>
      <c r="AH952" s="85"/>
      <c r="AI952" s="85"/>
      <c r="AJ952" s="85"/>
      <c r="AK952" s="85"/>
      <c r="AL952" s="85"/>
      <c r="AM952" s="85"/>
      <c r="AN952" s="85"/>
      <c r="AO952" s="85"/>
      <c r="AP952" s="85"/>
      <c r="AQ952" s="85"/>
      <c r="AR952" s="85"/>
      <c r="AS952" s="85"/>
      <c r="AT952" s="85"/>
      <c r="AU952" s="85"/>
      <c r="AV952" s="85"/>
      <c r="AW952" s="85"/>
      <c r="AX952" s="85"/>
      <c r="AY952" s="85"/>
      <c r="AZ952" s="85"/>
      <c r="BA952" s="85"/>
      <c r="BB952" s="85"/>
      <c r="BC952" s="85"/>
    </row>
    <row r="953" spans="1:55" ht="15.75" customHeight="1">
      <c r="A953" s="104"/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  <c r="AA953" s="85"/>
      <c r="AB953" s="85"/>
      <c r="AC953" s="85"/>
      <c r="AD953" s="85"/>
      <c r="AE953" s="85"/>
      <c r="AF953" s="85"/>
      <c r="AG953" s="85"/>
      <c r="AH953" s="85"/>
      <c r="AI953" s="85"/>
      <c r="AJ953" s="85"/>
      <c r="AK953" s="85"/>
      <c r="AL953" s="85"/>
      <c r="AM953" s="85"/>
      <c r="AN953" s="85"/>
      <c r="AO953" s="85"/>
      <c r="AP953" s="85"/>
      <c r="AQ953" s="85"/>
      <c r="AR953" s="85"/>
      <c r="AS953" s="85"/>
      <c r="AT953" s="85"/>
      <c r="AU953" s="85"/>
      <c r="AV953" s="85"/>
      <c r="AW953" s="85"/>
      <c r="AX953" s="85"/>
      <c r="AY953" s="85"/>
      <c r="AZ953" s="85"/>
      <c r="BA953" s="85"/>
      <c r="BB953" s="85"/>
      <c r="BC953" s="85"/>
    </row>
    <row r="954" spans="1:55" ht="15.75" customHeight="1">
      <c r="A954" s="104"/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  <c r="AA954" s="85"/>
      <c r="AB954" s="85"/>
      <c r="AC954" s="85"/>
      <c r="AD954" s="85"/>
      <c r="AE954" s="85"/>
      <c r="AF954" s="85"/>
      <c r="AG954" s="85"/>
      <c r="AH954" s="85"/>
      <c r="AI954" s="85"/>
      <c r="AJ954" s="85"/>
      <c r="AK954" s="85"/>
      <c r="AL954" s="85"/>
      <c r="AM954" s="85"/>
      <c r="AN954" s="85"/>
      <c r="AO954" s="85"/>
      <c r="AP954" s="85"/>
      <c r="AQ954" s="85"/>
      <c r="AR954" s="85"/>
      <c r="AS954" s="85"/>
      <c r="AT954" s="85"/>
      <c r="AU954" s="85"/>
      <c r="AV954" s="85"/>
      <c r="AW954" s="85"/>
      <c r="AX954" s="85"/>
      <c r="AY954" s="85"/>
      <c r="AZ954" s="85"/>
      <c r="BA954" s="85"/>
      <c r="BB954" s="85"/>
      <c r="BC954" s="85"/>
    </row>
    <row r="955" spans="1:55" ht="15.75" customHeight="1">
      <c r="A955" s="104"/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  <c r="AA955" s="85"/>
      <c r="AB955" s="85"/>
      <c r="AC955" s="85"/>
      <c r="AD955" s="85"/>
      <c r="AE955" s="85"/>
      <c r="AF955" s="85"/>
      <c r="AG955" s="85"/>
      <c r="AH955" s="85"/>
      <c r="AI955" s="85"/>
      <c r="AJ955" s="85"/>
      <c r="AK955" s="85"/>
      <c r="AL955" s="85"/>
      <c r="AM955" s="85"/>
      <c r="AN955" s="85"/>
      <c r="AO955" s="85"/>
      <c r="AP955" s="85"/>
      <c r="AQ955" s="85"/>
      <c r="AR955" s="85"/>
      <c r="AS955" s="85"/>
      <c r="AT955" s="85"/>
      <c r="AU955" s="85"/>
      <c r="AV955" s="85"/>
      <c r="AW955" s="85"/>
      <c r="AX955" s="85"/>
      <c r="AY955" s="85"/>
      <c r="AZ955" s="85"/>
      <c r="BA955" s="85"/>
      <c r="BB955" s="85"/>
      <c r="BC955" s="85"/>
    </row>
    <row r="956" spans="1:55" ht="15.75" customHeight="1">
      <c r="A956" s="104"/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  <c r="AA956" s="85"/>
      <c r="AB956" s="85"/>
      <c r="AC956" s="85"/>
      <c r="AD956" s="85"/>
      <c r="AE956" s="85"/>
      <c r="AF956" s="85"/>
      <c r="AG956" s="85"/>
      <c r="AH956" s="85"/>
      <c r="AI956" s="85"/>
      <c r="AJ956" s="85"/>
      <c r="AK956" s="85"/>
      <c r="AL956" s="85"/>
      <c r="AM956" s="85"/>
      <c r="AN956" s="85"/>
      <c r="AO956" s="85"/>
      <c r="AP956" s="85"/>
      <c r="AQ956" s="85"/>
      <c r="AR956" s="85"/>
      <c r="AS956" s="85"/>
      <c r="AT956" s="85"/>
      <c r="AU956" s="85"/>
      <c r="AV956" s="85"/>
      <c r="AW956" s="85"/>
      <c r="AX956" s="85"/>
      <c r="AY956" s="85"/>
      <c r="AZ956" s="85"/>
      <c r="BA956" s="85"/>
      <c r="BB956" s="85"/>
      <c r="BC956" s="85"/>
    </row>
    <row r="957" spans="1:55" ht="15.75" customHeight="1">
      <c r="A957" s="104"/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  <c r="AA957" s="85"/>
      <c r="AB957" s="85"/>
      <c r="AC957" s="85"/>
      <c r="AD957" s="85"/>
      <c r="AE957" s="85"/>
      <c r="AF957" s="85"/>
      <c r="AG957" s="85"/>
      <c r="AH957" s="85"/>
      <c r="AI957" s="85"/>
      <c r="AJ957" s="85"/>
      <c r="AK957" s="85"/>
      <c r="AL957" s="85"/>
      <c r="AM957" s="85"/>
      <c r="AN957" s="85"/>
      <c r="AO957" s="85"/>
      <c r="AP957" s="85"/>
      <c r="AQ957" s="85"/>
      <c r="AR957" s="85"/>
      <c r="AS957" s="85"/>
      <c r="AT957" s="85"/>
      <c r="AU957" s="85"/>
      <c r="AV957" s="85"/>
      <c r="AW957" s="85"/>
      <c r="AX957" s="85"/>
      <c r="AY957" s="85"/>
      <c r="AZ957" s="85"/>
      <c r="BA957" s="85"/>
      <c r="BB957" s="85"/>
      <c r="BC957" s="85"/>
    </row>
    <row r="958" spans="1:55" ht="15.75" customHeight="1">
      <c r="A958" s="104"/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  <c r="AA958" s="85"/>
      <c r="AB958" s="85"/>
      <c r="AC958" s="85"/>
      <c r="AD958" s="85"/>
      <c r="AE958" s="85"/>
      <c r="AF958" s="85"/>
      <c r="AG958" s="85"/>
      <c r="AH958" s="85"/>
      <c r="AI958" s="85"/>
      <c r="AJ958" s="85"/>
      <c r="AK958" s="85"/>
      <c r="AL958" s="85"/>
      <c r="AM958" s="85"/>
      <c r="AN958" s="85"/>
      <c r="AO958" s="85"/>
      <c r="AP958" s="85"/>
      <c r="AQ958" s="85"/>
      <c r="AR958" s="85"/>
      <c r="AS958" s="85"/>
      <c r="AT958" s="85"/>
      <c r="AU958" s="85"/>
      <c r="AV958" s="85"/>
      <c r="AW958" s="85"/>
      <c r="AX958" s="85"/>
      <c r="AY958" s="85"/>
      <c r="AZ958" s="85"/>
      <c r="BA958" s="85"/>
      <c r="BB958" s="85"/>
      <c r="BC958" s="85"/>
    </row>
    <row r="959" spans="1:55" ht="15.75" customHeight="1">
      <c r="A959" s="104"/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  <c r="AA959" s="85"/>
      <c r="AB959" s="85"/>
      <c r="AC959" s="85"/>
      <c r="AD959" s="85"/>
      <c r="AE959" s="85"/>
      <c r="AF959" s="85"/>
      <c r="AG959" s="85"/>
      <c r="AH959" s="85"/>
      <c r="AI959" s="85"/>
      <c r="AJ959" s="85"/>
      <c r="AK959" s="85"/>
      <c r="AL959" s="85"/>
      <c r="AM959" s="85"/>
      <c r="AN959" s="85"/>
      <c r="AO959" s="85"/>
      <c r="AP959" s="85"/>
      <c r="AQ959" s="85"/>
      <c r="AR959" s="85"/>
      <c r="AS959" s="85"/>
      <c r="AT959" s="85"/>
      <c r="AU959" s="85"/>
      <c r="AV959" s="85"/>
      <c r="AW959" s="85"/>
      <c r="AX959" s="85"/>
      <c r="AY959" s="85"/>
      <c r="AZ959" s="85"/>
      <c r="BA959" s="85"/>
      <c r="BB959" s="85"/>
      <c r="BC959" s="85"/>
    </row>
    <row r="960" spans="1:55" ht="15.75" customHeight="1">
      <c r="A960" s="104"/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  <c r="AA960" s="85"/>
      <c r="AB960" s="85"/>
      <c r="AC960" s="85"/>
      <c r="AD960" s="85"/>
      <c r="AE960" s="85"/>
      <c r="AF960" s="85"/>
      <c r="AG960" s="85"/>
      <c r="AH960" s="85"/>
      <c r="AI960" s="85"/>
      <c r="AJ960" s="85"/>
      <c r="AK960" s="85"/>
      <c r="AL960" s="85"/>
      <c r="AM960" s="85"/>
      <c r="AN960" s="85"/>
      <c r="AO960" s="85"/>
      <c r="AP960" s="85"/>
      <c r="AQ960" s="85"/>
      <c r="AR960" s="85"/>
      <c r="AS960" s="85"/>
      <c r="AT960" s="85"/>
      <c r="AU960" s="85"/>
      <c r="AV960" s="85"/>
      <c r="AW960" s="85"/>
      <c r="AX960" s="85"/>
      <c r="AY960" s="85"/>
      <c r="AZ960" s="85"/>
      <c r="BA960" s="85"/>
      <c r="BB960" s="85"/>
      <c r="BC960" s="85"/>
    </row>
    <row r="961" spans="1:55" ht="15.75" customHeight="1">
      <c r="A961" s="104"/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  <c r="AA961" s="85"/>
      <c r="AB961" s="85"/>
      <c r="AC961" s="85"/>
      <c r="AD961" s="85"/>
      <c r="AE961" s="85"/>
      <c r="AF961" s="85"/>
      <c r="AG961" s="85"/>
      <c r="AH961" s="85"/>
      <c r="AI961" s="85"/>
      <c r="AJ961" s="85"/>
      <c r="AK961" s="85"/>
      <c r="AL961" s="85"/>
      <c r="AM961" s="85"/>
      <c r="AN961" s="85"/>
      <c r="AO961" s="85"/>
      <c r="AP961" s="85"/>
      <c r="AQ961" s="85"/>
      <c r="AR961" s="85"/>
      <c r="AS961" s="85"/>
      <c r="AT961" s="85"/>
      <c r="AU961" s="85"/>
      <c r="AV961" s="85"/>
      <c r="AW961" s="85"/>
      <c r="AX961" s="85"/>
      <c r="AY961" s="85"/>
      <c r="AZ961" s="85"/>
      <c r="BA961" s="85"/>
      <c r="BB961" s="85"/>
      <c r="BC961" s="85"/>
    </row>
    <row r="962" spans="1:55" ht="15.75" customHeight="1">
      <c r="A962" s="104"/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  <c r="AA962" s="85"/>
      <c r="AB962" s="85"/>
      <c r="AC962" s="85"/>
      <c r="AD962" s="85"/>
      <c r="AE962" s="85"/>
      <c r="AF962" s="85"/>
      <c r="AG962" s="85"/>
      <c r="AH962" s="85"/>
      <c r="AI962" s="85"/>
      <c r="AJ962" s="85"/>
      <c r="AK962" s="85"/>
      <c r="AL962" s="85"/>
      <c r="AM962" s="85"/>
      <c r="AN962" s="85"/>
      <c r="AO962" s="85"/>
      <c r="AP962" s="85"/>
      <c r="AQ962" s="85"/>
      <c r="AR962" s="85"/>
      <c r="AS962" s="85"/>
      <c r="AT962" s="85"/>
      <c r="AU962" s="85"/>
      <c r="AV962" s="85"/>
      <c r="AW962" s="85"/>
      <c r="AX962" s="85"/>
      <c r="AY962" s="85"/>
      <c r="AZ962" s="85"/>
      <c r="BA962" s="85"/>
      <c r="BB962" s="85"/>
      <c r="BC962" s="85"/>
    </row>
    <row r="963" spans="1:55" ht="15.75" customHeight="1">
      <c r="A963" s="104"/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  <c r="AA963" s="85"/>
      <c r="AB963" s="85"/>
      <c r="AC963" s="85"/>
      <c r="AD963" s="85"/>
      <c r="AE963" s="85"/>
      <c r="AF963" s="85"/>
      <c r="AG963" s="85"/>
      <c r="AH963" s="85"/>
      <c r="AI963" s="85"/>
      <c r="AJ963" s="85"/>
      <c r="AK963" s="85"/>
      <c r="AL963" s="85"/>
      <c r="AM963" s="85"/>
      <c r="AN963" s="85"/>
      <c r="AO963" s="85"/>
      <c r="AP963" s="85"/>
      <c r="AQ963" s="85"/>
      <c r="AR963" s="85"/>
      <c r="AS963" s="85"/>
      <c r="AT963" s="85"/>
      <c r="AU963" s="85"/>
      <c r="AV963" s="85"/>
      <c r="AW963" s="85"/>
      <c r="AX963" s="85"/>
      <c r="AY963" s="85"/>
      <c r="AZ963" s="85"/>
      <c r="BA963" s="85"/>
      <c r="BB963" s="85"/>
      <c r="BC963" s="85"/>
    </row>
    <row r="964" spans="1:55" ht="15.75" customHeight="1">
      <c r="A964" s="104"/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  <c r="AA964" s="85"/>
      <c r="AB964" s="85"/>
      <c r="AC964" s="85"/>
      <c r="AD964" s="85"/>
      <c r="AE964" s="85"/>
      <c r="AF964" s="85"/>
      <c r="AG964" s="85"/>
      <c r="AH964" s="85"/>
      <c r="AI964" s="85"/>
      <c r="AJ964" s="85"/>
      <c r="AK964" s="85"/>
      <c r="AL964" s="85"/>
      <c r="AM964" s="85"/>
      <c r="AN964" s="85"/>
      <c r="AO964" s="85"/>
      <c r="AP964" s="85"/>
      <c r="AQ964" s="85"/>
      <c r="AR964" s="85"/>
      <c r="AS964" s="85"/>
      <c r="AT964" s="85"/>
      <c r="AU964" s="85"/>
      <c r="AV964" s="85"/>
      <c r="AW964" s="85"/>
      <c r="AX964" s="85"/>
      <c r="AY964" s="85"/>
      <c r="AZ964" s="85"/>
      <c r="BA964" s="85"/>
      <c r="BB964" s="85"/>
      <c r="BC964" s="85"/>
    </row>
    <row r="965" spans="1:55" ht="15.75" customHeight="1">
      <c r="A965" s="104"/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  <c r="AA965" s="85"/>
      <c r="AB965" s="85"/>
      <c r="AC965" s="85"/>
      <c r="AD965" s="85"/>
      <c r="AE965" s="85"/>
      <c r="AF965" s="85"/>
      <c r="AG965" s="85"/>
      <c r="AH965" s="85"/>
      <c r="AI965" s="85"/>
      <c r="AJ965" s="85"/>
      <c r="AK965" s="85"/>
      <c r="AL965" s="85"/>
      <c r="AM965" s="85"/>
      <c r="AN965" s="85"/>
      <c r="AO965" s="85"/>
      <c r="AP965" s="85"/>
      <c r="AQ965" s="85"/>
      <c r="AR965" s="85"/>
      <c r="AS965" s="85"/>
      <c r="AT965" s="85"/>
      <c r="AU965" s="85"/>
      <c r="AV965" s="85"/>
      <c r="AW965" s="85"/>
      <c r="AX965" s="85"/>
      <c r="AY965" s="85"/>
      <c r="AZ965" s="85"/>
      <c r="BA965" s="85"/>
      <c r="BB965" s="85"/>
      <c r="BC965" s="85"/>
    </row>
    <row r="966" spans="1:55" ht="15.75" customHeight="1">
      <c r="A966" s="104"/>
      <c r="B966" s="85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  <c r="AA966" s="85"/>
      <c r="AB966" s="85"/>
      <c r="AC966" s="85"/>
      <c r="AD966" s="85"/>
      <c r="AE966" s="85"/>
      <c r="AF966" s="85"/>
      <c r="AG966" s="85"/>
      <c r="AH966" s="85"/>
      <c r="AI966" s="85"/>
      <c r="AJ966" s="85"/>
      <c r="AK966" s="85"/>
      <c r="AL966" s="85"/>
      <c r="AM966" s="85"/>
      <c r="AN966" s="85"/>
      <c r="AO966" s="85"/>
      <c r="AP966" s="85"/>
      <c r="AQ966" s="85"/>
      <c r="AR966" s="85"/>
      <c r="AS966" s="85"/>
      <c r="AT966" s="85"/>
      <c r="AU966" s="85"/>
      <c r="AV966" s="85"/>
      <c r="AW966" s="85"/>
      <c r="AX966" s="85"/>
      <c r="AY966" s="85"/>
      <c r="AZ966" s="85"/>
      <c r="BA966" s="85"/>
      <c r="BB966" s="85"/>
      <c r="BC966" s="85"/>
    </row>
    <row r="967" spans="1:55" ht="15.75" customHeight="1">
      <c r="A967" s="104"/>
      <c r="B967" s="85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  <c r="AA967" s="85"/>
      <c r="AB967" s="85"/>
      <c r="AC967" s="85"/>
      <c r="AD967" s="85"/>
      <c r="AE967" s="85"/>
      <c r="AF967" s="85"/>
      <c r="AG967" s="85"/>
      <c r="AH967" s="85"/>
      <c r="AI967" s="85"/>
      <c r="AJ967" s="85"/>
      <c r="AK967" s="85"/>
      <c r="AL967" s="85"/>
      <c r="AM967" s="85"/>
      <c r="AN967" s="85"/>
      <c r="AO967" s="85"/>
      <c r="AP967" s="85"/>
      <c r="AQ967" s="85"/>
      <c r="AR967" s="85"/>
      <c r="AS967" s="85"/>
      <c r="AT967" s="85"/>
      <c r="AU967" s="85"/>
      <c r="AV967" s="85"/>
      <c r="AW967" s="85"/>
      <c r="AX967" s="85"/>
      <c r="AY967" s="85"/>
      <c r="AZ967" s="85"/>
      <c r="BA967" s="85"/>
      <c r="BB967" s="85"/>
      <c r="BC967" s="85"/>
    </row>
    <row r="968" spans="1:55" ht="15.75" customHeight="1">
      <c r="A968" s="104"/>
      <c r="B968" s="85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  <c r="AA968" s="85"/>
      <c r="AB968" s="85"/>
      <c r="AC968" s="85"/>
      <c r="AD968" s="85"/>
      <c r="AE968" s="85"/>
      <c r="AF968" s="85"/>
      <c r="AG968" s="85"/>
      <c r="AH968" s="85"/>
      <c r="AI968" s="85"/>
      <c r="AJ968" s="85"/>
      <c r="AK968" s="85"/>
      <c r="AL968" s="85"/>
      <c r="AM968" s="85"/>
      <c r="AN968" s="85"/>
      <c r="AO968" s="85"/>
      <c r="AP968" s="85"/>
      <c r="AQ968" s="85"/>
      <c r="AR968" s="85"/>
      <c r="AS968" s="85"/>
      <c r="AT968" s="85"/>
      <c r="AU968" s="85"/>
      <c r="AV968" s="85"/>
      <c r="AW968" s="85"/>
      <c r="AX968" s="85"/>
      <c r="AY968" s="85"/>
      <c r="AZ968" s="85"/>
      <c r="BA968" s="85"/>
      <c r="BB968" s="85"/>
      <c r="BC968" s="85"/>
    </row>
    <row r="969" spans="1:55" ht="15.75" customHeight="1">
      <c r="A969" s="104"/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  <c r="AA969" s="85"/>
      <c r="AB969" s="85"/>
      <c r="AC969" s="85"/>
      <c r="AD969" s="85"/>
      <c r="AE969" s="85"/>
      <c r="AF969" s="85"/>
      <c r="AG969" s="85"/>
      <c r="AH969" s="85"/>
      <c r="AI969" s="85"/>
      <c r="AJ969" s="85"/>
      <c r="AK969" s="85"/>
      <c r="AL969" s="85"/>
      <c r="AM969" s="85"/>
      <c r="AN969" s="85"/>
      <c r="AO969" s="85"/>
      <c r="AP969" s="85"/>
      <c r="AQ969" s="85"/>
      <c r="AR969" s="85"/>
      <c r="AS969" s="85"/>
      <c r="AT969" s="85"/>
      <c r="AU969" s="85"/>
      <c r="AV969" s="85"/>
      <c r="AW969" s="85"/>
      <c r="AX969" s="85"/>
      <c r="AY969" s="85"/>
      <c r="AZ969" s="85"/>
      <c r="BA969" s="85"/>
      <c r="BB969" s="85"/>
      <c r="BC969" s="85"/>
    </row>
    <row r="970" spans="1:55" ht="15.75" customHeight="1">
      <c r="A970" s="104"/>
      <c r="B970" s="85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  <c r="AA970" s="85"/>
      <c r="AB970" s="85"/>
      <c r="AC970" s="85"/>
      <c r="AD970" s="85"/>
      <c r="AE970" s="85"/>
      <c r="AF970" s="85"/>
      <c r="AG970" s="85"/>
      <c r="AH970" s="85"/>
      <c r="AI970" s="85"/>
      <c r="AJ970" s="85"/>
      <c r="AK970" s="85"/>
      <c r="AL970" s="85"/>
      <c r="AM970" s="85"/>
      <c r="AN970" s="85"/>
      <c r="AO970" s="85"/>
      <c r="AP970" s="85"/>
      <c r="AQ970" s="85"/>
      <c r="AR970" s="85"/>
      <c r="AS970" s="85"/>
      <c r="AT970" s="85"/>
      <c r="AU970" s="85"/>
      <c r="AV970" s="85"/>
      <c r="AW970" s="85"/>
      <c r="AX970" s="85"/>
      <c r="AY970" s="85"/>
      <c r="AZ970" s="85"/>
      <c r="BA970" s="85"/>
      <c r="BB970" s="85"/>
      <c r="BC970" s="85"/>
    </row>
    <row r="971" spans="1:55" ht="15.75" customHeight="1">
      <c r="A971" s="104"/>
      <c r="B971" s="85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  <c r="AA971" s="85"/>
      <c r="AB971" s="85"/>
      <c r="AC971" s="85"/>
      <c r="AD971" s="85"/>
      <c r="AE971" s="85"/>
      <c r="AF971" s="85"/>
      <c r="AG971" s="85"/>
      <c r="AH971" s="85"/>
      <c r="AI971" s="85"/>
      <c r="AJ971" s="85"/>
      <c r="AK971" s="85"/>
      <c r="AL971" s="85"/>
      <c r="AM971" s="85"/>
      <c r="AN971" s="85"/>
      <c r="AO971" s="85"/>
      <c r="AP971" s="85"/>
      <c r="AQ971" s="85"/>
      <c r="AR971" s="85"/>
      <c r="AS971" s="85"/>
      <c r="AT971" s="85"/>
      <c r="AU971" s="85"/>
      <c r="AV971" s="85"/>
      <c r="AW971" s="85"/>
      <c r="AX971" s="85"/>
      <c r="AY971" s="85"/>
      <c r="AZ971" s="85"/>
      <c r="BA971" s="85"/>
      <c r="BB971" s="85"/>
      <c r="BC971" s="85"/>
    </row>
    <row r="972" spans="1:55" ht="15.75" customHeight="1">
      <c r="A972" s="104"/>
      <c r="B972" s="85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  <c r="AA972" s="85"/>
      <c r="AB972" s="85"/>
      <c r="AC972" s="85"/>
      <c r="AD972" s="85"/>
      <c r="AE972" s="85"/>
      <c r="AF972" s="85"/>
      <c r="AG972" s="85"/>
      <c r="AH972" s="85"/>
      <c r="AI972" s="85"/>
      <c r="AJ972" s="85"/>
      <c r="AK972" s="85"/>
      <c r="AL972" s="85"/>
      <c r="AM972" s="85"/>
      <c r="AN972" s="85"/>
      <c r="AO972" s="85"/>
      <c r="AP972" s="85"/>
      <c r="AQ972" s="85"/>
      <c r="AR972" s="85"/>
      <c r="AS972" s="85"/>
      <c r="AT972" s="85"/>
      <c r="AU972" s="85"/>
      <c r="AV972" s="85"/>
      <c r="AW972" s="85"/>
      <c r="AX972" s="85"/>
      <c r="AY972" s="85"/>
      <c r="AZ972" s="85"/>
      <c r="BA972" s="85"/>
      <c r="BB972" s="85"/>
      <c r="BC972" s="85"/>
    </row>
    <row r="973" spans="1:55" ht="15.75" customHeight="1">
      <c r="A973" s="104"/>
      <c r="B973" s="85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  <c r="AA973" s="85"/>
      <c r="AB973" s="85"/>
      <c r="AC973" s="85"/>
      <c r="AD973" s="85"/>
      <c r="AE973" s="85"/>
      <c r="AF973" s="85"/>
      <c r="AG973" s="85"/>
      <c r="AH973" s="85"/>
      <c r="AI973" s="85"/>
      <c r="AJ973" s="85"/>
      <c r="AK973" s="85"/>
      <c r="AL973" s="85"/>
      <c r="AM973" s="85"/>
      <c r="AN973" s="85"/>
      <c r="AO973" s="85"/>
      <c r="AP973" s="85"/>
      <c r="AQ973" s="85"/>
      <c r="AR973" s="85"/>
      <c r="AS973" s="85"/>
      <c r="AT973" s="85"/>
      <c r="AU973" s="85"/>
      <c r="AV973" s="85"/>
      <c r="AW973" s="85"/>
      <c r="AX973" s="85"/>
      <c r="AY973" s="85"/>
      <c r="AZ973" s="85"/>
      <c r="BA973" s="85"/>
      <c r="BB973" s="85"/>
      <c r="BC973" s="85"/>
    </row>
    <row r="974" spans="1:55" ht="15.75" customHeight="1">
      <c r="A974" s="104"/>
      <c r="B974" s="85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  <c r="AA974" s="85"/>
      <c r="AB974" s="85"/>
      <c r="AC974" s="85"/>
      <c r="AD974" s="85"/>
      <c r="AE974" s="85"/>
      <c r="AF974" s="85"/>
      <c r="AG974" s="85"/>
      <c r="AH974" s="85"/>
      <c r="AI974" s="85"/>
      <c r="AJ974" s="85"/>
      <c r="AK974" s="85"/>
      <c r="AL974" s="85"/>
      <c r="AM974" s="85"/>
      <c r="AN974" s="85"/>
      <c r="AO974" s="85"/>
      <c r="AP974" s="85"/>
      <c r="AQ974" s="85"/>
      <c r="AR974" s="85"/>
      <c r="AS974" s="85"/>
      <c r="AT974" s="85"/>
      <c r="AU974" s="85"/>
      <c r="AV974" s="85"/>
      <c r="AW974" s="85"/>
      <c r="AX974" s="85"/>
      <c r="AY974" s="85"/>
      <c r="AZ974" s="85"/>
      <c r="BA974" s="85"/>
      <c r="BB974" s="85"/>
      <c r="BC974" s="85"/>
    </row>
    <row r="975" spans="1:55" ht="15.75" customHeight="1">
      <c r="A975" s="104"/>
      <c r="B975" s="85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  <c r="AA975" s="85"/>
      <c r="AB975" s="85"/>
      <c r="AC975" s="85"/>
      <c r="AD975" s="85"/>
      <c r="AE975" s="85"/>
      <c r="AF975" s="85"/>
      <c r="AG975" s="85"/>
      <c r="AH975" s="85"/>
      <c r="AI975" s="85"/>
      <c r="AJ975" s="85"/>
      <c r="AK975" s="85"/>
      <c r="AL975" s="85"/>
      <c r="AM975" s="85"/>
      <c r="AN975" s="85"/>
      <c r="AO975" s="85"/>
      <c r="AP975" s="85"/>
      <c r="AQ975" s="85"/>
      <c r="AR975" s="85"/>
      <c r="AS975" s="85"/>
      <c r="AT975" s="85"/>
      <c r="AU975" s="85"/>
      <c r="AV975" s="85"/>
      <c r="AW975" s="85"/>
      <c r="AX975" s="85"/>
      <c r="AY975" s="85"/>
      <c r="AZ975" s="85"/>
      <c r="BA975" s="85"/>
      <c r="BB975" s="85"/>
      <c r="BC975" s="85"/>
    </row>
    <row r="976" spans="1:55" ht="15.75" customHeight="1">
      <c r="A976" s="104"/>
      <c r="B976" s="85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  <c r="AA976" s="85"/>
      <c r="AB976" s="85"/>
      <c r="AC976" s="85"/>
      <c r="AD976" s="85"/>
      <c r="AE976" s="85"/>
      <c r="AF976" s="85"/>
      <c r="AG976" s="85"/>
      <c r="AH976" s="85"/>
      <c r="AI976" s="85"/>
      <c r="AJ976" s="85"/>
      <c r="AK976" s="85"/>
      <c r="AL976" s="85"/>
      <c r="AM976" s="85"/>
      <c r="AN976" s="85"/>
      <c r="AO976" s="85"/>
      <c r="AP976" s="85"/>
      <c r="AQ976" s="85"/>
      <c r="AR976" s="85"/>
      <c r="AS976" s="85"/>
      <c r="AT976" s="85"/>
      <c r="AU976" s="85"/>
      <c r="AV976" s="85"/>
      <c r="AW976" s="85"/>
      <c r="AX976" s="85"/>
      <c r="AY976" s="85"/>
      <c r="AZ976" s="85"/>
      <c r="BA976" s="85"/>
      <c r="BB976" s="85"/>
      <c r="BC976" s="85"/>
    </row>
    <row r="977" spans="1:55" ht="15.75" customHeight="1">
      <c r="A977" s="104"/>
      <c r="B977" s="85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  <c r="AA977" s="85"/>
      <c r="AB977" s="85"/>
      <c r="AC977" s="85"/>
      <c r="AD977" s="85"/>
      <c r="AE977" s="85"/>
      <c r="AF977" s="85"/>
      <c r="AG977" s="85"/>
      <c r="AH977" s="85"/>
      <c r="AI977" s="85"/>
      <c r="AJ977" s="85"/>
      <c r="AK977" s="85"/>
      <c r="AL977" s="85"/>
      <c r="AM977" s="85"/>
      <c r="AN977" s="85"/>
      <c r="AO977" s="85"/>
      <c r="AP977" s="85"/>
      <c r="AQ977" s="85"/>
      <c r="AR977" s="85"/>
      <c r="AS977" s="85"/>
      <c r="AT977" s="85"/>
      <c r="AU977" s="85"/>
      <c r="AV977" s="85"/>
      <c r="AW977" s="85"/>
      <c r="AX977" s="85"/>
      <c r="AY977" s="85"/>
      <c r="AZ977" s="85"/>
      <c r="BA977" s="85"/>
      <c r="BB977" s="85"/>
      <c r="BC977" s="85"/>
    </row>
    <row r="978" spans="1:55" ht="15.75" customHeight="1">
      <c r="A978" s="104"/>
      <c r="B978" s="85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  <c r="AA978" s="85"/>
      <c r="AB978" s="85"/>
      <c r="AC978" s="85"/>
      <c r="AD978" s="85"/>
      <c r="AE978" s="85"/>
      <c r="AF978" s="85"/>
      <c r="AG978" s="85"/>
      <c r="AH978" s="85"/>
      <c r="AI978" s="85"/>
      <c r="AJ978" s="85"/>
      <c r="AK978" s="85"/>
      <c r="AL978" s="85"/>
      <c r="AM978" s="85"/>
      <c r="AN978" s="85"/>
      <c r="AO978" s="85"/>
      <c r="AP978" s="85"/>
      <c r="AQ978" s="85"/>
      <c r="AR978" s="85"/>
      <c r="AS978" s="85"/>
      <c r="AT978" s="85"/>
      <c r="AU978" s="85"/>
      <c r="AV978" s="85"/>
      <c r="AW978" s="85"/>
      <c r="AX978" s="85"/>
      <c r="AY978" s="85"/>
      <c r="AZ978" s="85"/>
      <c r="BA978" s="85"/>
      <c r="BB978" s="85"/>
      <c r="BC978" s="85"/>
    </row>
    <row r="979" spans="1:55" ht="15.75" customHeight="1">
      <c r="A979" s="104"/>
      <c r="B979" s="85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  <c r="AA979" s="85"/>
      <c r="AB979" s="85"/>
      <c r="AC979" s="85"/>
      <c r="AD979" s="85"/>
      <c r="AE979" s="85"/>
      <c r="AF979" s="85"/>
      <c r="AG979" s="85"/>
      <c r="AH979" s="85"/>
      <c r="AI979" s="85"/>
      <c r="AJ979" s="85"/>
      <c r="AK979" s="85"/>
      <c r="AL979" s="85"/>
      <c r="AM979" s="85"/>
      <c r="AN979" s="85"/>
      <c r="AO979" s="85"/>
      <c r="AP979" s="85"/>
      <c r="AQ979" s="85"/>
      <c r="AR979" s="85"/>
      <c r="AS979" s="85"/>
      <c r="AT979" s="85"/>
      <c r="AU979" s="85"/>
      <c r="AV979" s="85"/>
      <c r="AW979" s="85"/>
      <c r="AX979" s="85"/>
      <c r="AY979" s="85"/>
      <c r="AZ979" s="85"/>
      <c r="BA979" s="85"/>
      <c r="BB979" s="85"/>
      <c r="BC979" s="85"/>
    </row>
    <row r="980" spans="1:55" ht="15.75" customHeight="1">
      <c r="A980" s="104"/>
      <c r="B980" s="85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  <c r="AA980" s="85"/>
      <c r="AB980" s="85"/>
      <c r="AC980" s="85"/>
      <c r="AD980" s="85"/>
      <c r="AE980" s="85"/>
      <c r="AF980" s="85"/>
      <c r="AG980" s="85"/>
      <c r="AH980" s="85"/>
      <c r="AI980" s="85"/>
      <c r="AJ980" s="85"/>
      <c r="AK980" s="85"/>
      <c r="AL980" s="85"/>
      <c r="AM980" s="85"/>
      <c r="AN980" s="85"/>
      <c r="AO980" s="85"/>
      <c r="AP980" s="85"/>
      <c r="AQ980" s="85"/>
      <c r="AR980" s="85"/>
      <c r="AS980" s="85"/>
      <c r="AT980" s="85"/>
      <c r="AU980" s="85"/>
      <c r="AV980" s="85"/>
      <c r="AW980" s="85"/>
      <c r="AX980" s="85"/>
      <c r="AY980" s="85"/>
      <c r="AZ980" s="85"/>
      <c r="BA980" s="85"/>
      <c r="BB980" s="85"/>
      <c r="BC980" s="85"/>
    </row>
    <row r="981" spans="1:55" ht="15.75" customHeight="1">
      <c r="A981" s="104"/>
      <c r="B981" s="85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  <c r="AA981" s="85"/>
      <c r="AB981" s="85"/>
      <c r="AC981" s="85"/>
      <c r="AD981" s="85"/>
      <c r="AE981" s="85"/>
      <c r="AF981" s="85"/>
      <c r="AG981" s="85"/>
      <c r="AH981" s="85"/>
      <c r="AI981" s="85"/>
      <c r="AJ981" s="85"/>
      <c r="AK981" s="85"/>
      <c r="AL981" s="85"/>
      <c r="AM981" s="85"/>
      <c r="AN981" s="85"/>
      <c r="AO981" s="85"/>
      <c r="AP981" s="85"/>
      <c r="AQ981" s="85"/>
      <c r="AR981" s="85"/>
      <c r="AS981" s="85"/>
      <c r="AT981" s="85"/>
      <c r="AU981" s="85"/>
      <c r="AV981" s="85"/>
      <c r="AW981" s="85"/>
      <c r="AX981" s="85"/>
      <c r="AY981" s="85"/>
      <c r="AZ981" s="85"/>
      <c r="BA981" s="85"/>
      <c r="BB981" s="85"/>
      <c r="BC981" s="85"/>
    </row>
    <row r="982" spans="1:55" ht="15.75" customHeight="1">
      <c r="A982" s="104"/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  <c r="AA982" s="85"/>
      <c r="AB982" s="85"/>
      <c r="AC982" s="85"/>
      <c r="AD982" s="85"/>
      <c r="AE982" s="85"/>
      <c r="AF982" s="85"/>
      <c r="AG982" s="85"/>
      <c r="AH982" s="85"/>
      <c r="AI982" s="85"/>
      <c r="AJ982" s="85"/>
      <c r="AK982" s="85"/>
      <c r="AL982" s="85"/>
      <c r="AM982" s="85"/>
      <c r="AN982" s="85"/>
      <c r="AO982" s="85"/>
      <c r="AP982" s="85"/>
      <c r="AQ982" s="85"/>
      <c r="AR982" s="85"/>
      <c r="AS982" s="85"/>
      <c r="AT982" s="85"/>
      <c r="AU982" s="85"/>
      <c r="AV982" s="85"/>
      <c r="AW982" s="85"/>
      <c r="AX982" s="85"/>
      <c r="AY982" s="85"/>
      <c r="AZ982" s="85"/>
      <c r="BA982" s="85"/>
      <c r="BB982" s="85"/>
      <c r="BC982" s="85"/>
    </row>
    <row r="983" spans="1:55" ht="15.75" customHeight="1">
      <c r="A983" s="104"/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  <c r="AA983" s="85"/>
      <c r="AB983" s="85"/>
      <c r="AC983" s="85"/>
      <c r="AD983" s="85"/>
      <c r="AE983" s="85"/>
      <c r="AF983" s="85"/>
      <c r="AG983" s="85"/>
      <c r="AH983" s="85"/>
      <c r="AI983" s="85"/>
      <c r="AJ983" s="85"/>
      <c r="AK983" s="85"/>
      <c r="AL983" s="85"/>
      <c r="AM983" s="85"/>
      <c r="AN983" s="85"/>
      <c r="AO983" s="85"/>
      <c r="AP983" s="85"/>
      <c r="AQ983" s="85"/>
      <c r="AR983" s="85"/>
      <c r="AS983" s="85"/>
      <c r="AT983" s="85"/>
      <c r="AU983" s="85"/>
      <c r="AV983" s="85"/>
      <c r="AW983" s="85"/>
      <c r="AX983" s="85"/>
      <c r="AY983" s="85"/>
      <c r="AZ983" s="85"/>
      <c r="BA983" s="85"/>
      <c r="BB983" s="85"/>
      <c r="BC983" s="85"/>
    </row>
    <row r="984" spans="1:55" ht="15.75" customHeight="1">
      <c r="A984" s="104"/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  <c r="AA984" s="85"/>
      <c r="AB984" s="85"/>
      <c r="AC984" s="85"/>
      <c r="AD984" s="85"/>
      <c r="AE984" s="85"/>
      <c r="AF984" s="85"/>
      <c r="AG984" s="85"/>
      <c r="AH984" s="85"/>
      <c r="AI984" s="85"/>
      <c r="AJ984" s="85"/>
      <c r="AK984" s="85"/>
      <c r="AL984" s="85"/>
      <c r="AM984" s="85"/>
      <c r="AN984" s="85"/>
      <c r="AO984" s="85"/>
      <c r="AP984" s="85"/>
      <c r="AQ984" s="85"/>
      <c r="AR984" s="85"/>
      <c r="AS984" s="85"/>
      <c r="AT984" s="85"/>
      <c r="AU984" s="85"/>
      <c r="AV984" s="85"/>
      <c r="AW984" s="85"/>
      <c r="AX984" s="85"/>
      <c r="AY984" s="85"/>
      <c r="AZ984" s="85"/>
      <c r="BA984" s="85"/>
      <c r="BB984" s="85"/>
      <c r="BC984" s="85"/>
    </row>
    <row r="985" spans="1:55" ht="15.75" customHeight="1">
      <c r="A985" s="104"/>
      <c r="B985" s="85"/>
      <c r="C985" s="85"/>
      <c r="D985" s="85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  <c r="AA985" s="85"/>
      <c r="AB985" s="85"/>
      <c r="AC985" s="85"/>
      <c r="AD985" s="85"/>
      <c r="AE985" s="85"/>
      <c r="AF985" s="85"/>
      <c r="AG985" s="85"/>
      <c r="AH985" s="85"/>
      <c r="AI985" s="85"/>
      <c r="AJ985" s="85"/>
      <c r="AK985" s="85"/>
      <c r="AL985" s="85"/>
      <c r="AM985" s="85"/>
      <c r="AN985" s="85"/>
      <c r="AO985" s="85"/>
      <c r="AP985" s="85"/>
      <c r="AQ985" s="85"/>
      <c r="AR985" s="85"/>
      <c r="AS985" s="85"/>
      <c r="AT985" s="85"/>
      <c r="AU985" s="85"/>
      <c r="AV985" s="85"/>
      <c r="AW985" s="85"/>
      <c r="AX985" s="85"/>
      <c r="AY985" s="85"/>
      <c r="AZ985" s="85"/>
      <c r="BA985" s="85"/>
      <c r="BB985" s="85"/>
      <c r="BC985" s="85"/>
    </row>
    <row r="986" spans="1:55" ht="15.75" customHeight="1">
      <c r="A986" s="104"/>
      <c r="B986" s="85"/>
      <c r="C986" s="85"/>
      <c r="D986" s="85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  <c r="AA986" s="85"/>
      <c r="AB986" s="85"/>
      <c r="AC986" s="85"/>
      <c r="AD986" s="85"/>
      <c r="AE986" s="85"/>
      <c r="AF986" s="85"/>
      <c r="AG986" s="85"/>
      <c r="AH986" s="85"/>
      <c r="AI986" s="85"/>
      <c r="AJ986" s="85"/>
      <c r="AK986" s="85"/>
      <c r="AL986" s="85"/>
      <c r="AM986" s="85"/>
      <c r="AN986" s="85"/>
      <c r="AO986" s="85"/>
      <c r="AP986" s="85"/>
      <c r="AQ986" s="85"/>
      <c r="AR986" s="85"/>
      <c r="AS986" s="85"/>
      <c r="AT986" s="85"/>
      <c r="AU986" s="85"/>
      <c r="AV986" s="85"/>
      <c r="AW986" s="85"/>
      <c r="AX986" s="85"/>
      <c r="AY986" s="85"/>
      <c r="AZ986" s="85"/>
      <c r="BA986" s="85"/>
      <c r="BB986" s="85"/>
      <c r="BC986" s="85"/>
    </row>
    <row r="987" spans="1:55" ht="15.75" customHeight="1">
      <c r="A987" s="104"/>
      <c r="B987" s="85"/>
      <c r="C987" s="85"/>
      <c r="D987" s="85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  <c r="AA987" s="85"/>
      <c r="AB987" s="85"/>
      <c r="AC987" s="85"/>
      <c r="AD987" s="85"/>
      <c r="AE987" s="85"/>
      <c r="AF987" s="85"/>
      <c r="AG987" s="85"/>
      <c r="AH987" s="85"/>
      <c r="AI987" s="85"/>
      <c r="AJ987" s="85"/>
      <c r="AK987" s="85"/>
      <c r="AL987" s="85"/>
      <c r="AM987" s="85"/>
      <c r="AN987" s="85"/>
      <c r="AO987" s="85"/>
      <c r="AP987" s="85"/>
      <c r="AQ987" s="85"/>
      <c r="AR987" s="85"/>
      <c r="AS987" s="85"/>
      <c r="AT987" s="85"/>
      <c r="AU987" s="85"/>
      <c r="AV987" s="85"/>
      <c r="AW987" s="85"/>
      <c r="AX987" s="85"/>
      <c r="AY987" s="85"/>
      <c r="AZ987" s="85"/>
      <c r="BA987" s="85"/>
      <c r="BB987" s="85"/>
      <c r="BC987" s="85"/>
    </row>
    <row r="988" spans="1:55" ht="15.75" customHeight="1">
      <c r="A988" s="104"/>
      <c r="B988" s="85"/>
      <c r="C988" s="85"/>
      <c r="D988" s="85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  <c r="AA988" s="85"/>
      <c r="AB988" s="85"/>
      <c r="AC988" s="85"/>
      <c r="AD988" s="85"/>
      <c r="AE988" s="85"/>
      <c r="AF988" s="85"/>
      <c r="AG988" s="85"/>
      <c r="AH988" s="85"/>
      <c r="AI988" s="85"/>
      <c r="AJ988" s="85"/>
      <c r="AK988" s="85"/>
      <c r="AL988" s="85"/>
      <c r="AM988" s="85"/>
      <c r="AN988" s="85"/>
      <c r="AO988" s="85"/>
      <c r="AP988" s="85"/>
      <c r="AQ988" s="85"/>
      <c r="AR988" s="85"/>
      <c r="AS988" s="85"/>
      <c r="AT988" s="85"/>
      <c r="AU988" s="85"/>
      <c r="AV988" s="85"/>
      <c r="AW988" s="85"/>
      <c r="AX988" s="85"/>
      <c r="AY988" s="85"/>
      <c r="AZ988" s="85"/>
      <c r="BA988" s="85"/>
      <c r="BB988" s="85"/>
      <c r="BC988" s="85"/>
    </row>
    <row r="989" spans="1:55" ht="15.75" customHeight="1">
      <c r="A989" s="104"/>
      <c r="B989" s="85"/>
      <c r="C989" s="85"/>
      <c r="D989" s="85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  <c r="AA989" s="85"/>
      <c r="AB989" s="85"/>
      <c r="AC989" s="85"/>
      <c r="AD989" s="85"/>
      <c r="AE989" s="85"/>
      <c r="AF989" s="85"/>
      <c r="AG989" s="85"/>
      <c r="AH989" s="85"/>
      <c r="AI989" s="85"/>
      <c r="AJ989" s="85"/>
      <c r="AK989" s="85"/>
      <c r="AL989" s="85"/>
      <c r="AM989" s="85"/>
      <c r="AN989" s="85"/>
      <c r="AO989" s="85"/>
      <c r="AP989" s="85"/>
      <c r="AQ989" s="85"/>
      <c r="AR989" s="85"/>
      <c r="AS989" s="85"/>
      <c r="AT989" s="85"/>
      <c r="AU989" s="85"/>
      <c r="AV989" s="85"/>
      <c r="AW989" s="85"/>
      <c r="AX989" s="85"/>
      <c r="AY989" s="85"/>
      <c r="AZ989" s="85"/>
      <c r="BA989" s="85"/>
      <c r="BB989" s="85"/>
      <c r="BC989" s="85"/>
    </row>
    <row r="990" spans="1:55" ht="15.75" customHeight="1">
      <c r="A990" s="104"/>
      <c r="B990" s="85"/>
      <c r="C990" s="85"/>
      <c r="D990" s="85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  <c r="AA990" s="85"/>
      <c r="AB990" s="85"/>
      <c r="AC990" s="85"/>
      <c r="AD990" s="85"/>
      <c r="AE990" s="85"/>
      <c r="AF990" s="85"/>
      <c r="AG990" s="85"/>
      <c r="AH990" s="85"/>
      <c r="AI990" s="85"/>
      <c r="AJ990" s="85"/>
      <c r="AK990" s="85"/>
      <c r="AL990" s="85"/>
      <c r="AM990" s="85"/>
      <c r="AN990" s="85"/>
      <c r="AO990" s="85"/>
      <c r="AP990" s="85"/>
      <c r="AQ990" s="85"/>
      <c r="AR990" s="85"/>
      <c r="AS990" s="85"/>
      <c r="AT990" s="85"/>
      <c r="AU990" s="85"/>
      <c r="AV990" s="85"/>
      <c r="AW990" s="85"/>
      <c r="AX990" s="85"/>
      <c r="AY990" s="85"/>
      <c r="AZ990" s="85"/>
      <c r="BA990" s="85"/>
      <c r="BB990" s="85"/>
      <c r="BC990" s="85"/>
    </row>
    <row r="991" spans="1:55" ht="15.75" customHeight="1">
      <c r="A991" s="104"/>
      <c r="B991" s="85"/>
      <c r="C991" s="85"/>
      <c r="D991" s="85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  <c r="AA991" s="85"/>
      <c r="AB991" s="85"/>
      <c r="AC991" s="85"/>
      <c r="AD991" s="85"/>
      <c r="AE991" s="85"/>
      <c r="AF991" s="85"/>
      <c r="AG991" s="85"/>
      <c r="AH991" s="85"/>
      <c r="AI991" s="85"/>
      <c r="AJ991" s="85"/>
      <c r="AK991" s="85"/>
      <c r="AL991" s="85"/>
      <c r="AM991" s="85"/>
      <c r="AN991" s="85"/>
      <c r="AO991" s="85"/>
      <c r="AP991" s="85"/>
      <c r="AQ991" s="85"/>
      <c r="AR991" s="85"/>
      <c r="AS991" s="85"/>
      <c r="AT991" s="85"/>
      <c r="AU991" s="85"/>
      <c r="AV991" s="85"/>
      <c r="AW991" s="85"/>
      <c r="AX991" s="85"/>
      <c r="AY991" s="85"/>
      <c r="AZ991" s="85"/>
      <c r="BA991" s="85"/>
      <c r="BB991" s="85"/>
      <c r="BC991" s="85"/>
    </row>
    <row r="992" spans="1:55" ht="15.75" customHeight="1">
      <c r="A992" s="104"/>
      <c r="B992" s="85"/>
      <c r="C992" s="85"/>
      <c r="D992" s="85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  <c r="AA992" s="85"/>
      <c r="AB992" s="85"/>
      <c r="AC992" s="85"/>
      <c r="AD992" s="85"/>
      <c r="AE992" s="85"/>
      <c r="AF992" s="85"/>
      <c r="AG992" s="85"/>
      <c r="AH992" s="85"/>
      <c r="AI992" s="85"/>
      <c r="AJ992" s="85"/>
      <c r="AK992" s="85"/>
      <c r="AL992" s="85"/>
      <c r="AM992" s="85"/>
      <c r="AN992" s="85"/>
      <c r="AO992" s="85"/>
      <c r="AP992" s="85"/>
      <c r="AQ992" s="85"/>
      <c r="AR992" s="85"/>
      <c r="AS992" s="85"/>
      <c r="AT992" s="85"/>
      <c r="AU992" s="85"/>
      <c r="AV992" s="85"/>
      <c r="AW992" s="85"/>
      <c r="AX992" s="85"/>
      <c r="AY992" s="85"/>
      <c r="AZ992" s="85"/>
      <c r="BA992" s="85"/>
      <c r="BB992" s="85"/>
      <c r="BC992" s="85"/>
    </row>
    <row r="993" spans="1:55" ht="15.75" customHeight="1">
      <c r="A993" s="104"/>
      <c r="B993" s="85"/>
      <c r="C993" s="85"/>
      <c r="D993" s="85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  <c r="AA993" s="85"/>
      <c r="AB993" s="85"/>
      <c r="AC993" s="85"/>
      <c r="AD993" s="85"/>
      <c r="AE993" s="85"/>
      <c r="AF993" s="85"/>
      <c r="AG993" s="85"/>
      <c r="AH993" s="85"/>
      <c r="AI993" s="85"/>
      <c r="AJ993" s="85"/>
      <c r="AK993" s="85"/>
      <c r="AL993" s="85"/>
      <c r="AM993" s="85"/>
      <c r="AN993" s="85"/>
      <c r="AO993" s="85"/>
      <c r="AP993" s="85"/>
      <c r="AQ993" s="85"/>
      <c r="AR993" s="85"/>
      <c r="AS993" s="85"/>
      <c r="AT993" s="85"/>
      <c r="AU993" s="85"/>
      <c r="AV993" s="85"/>
      <c r="AW993" s="85"/>
      <c r="AX993" s="85"/>
      <c r="AY993" s="85"/>
      <c r="AZ993" s="85"/>
      <c r="BA993" s="85"/>
      <c r="BB993" s="85"/>
      <c r="BC993" s="85"/>
    </row>
    <row r="994" spans="1:55" ht="15.75" customHeight="1">
      <c r="A994" s="104"/>
      <c r="B994" s="85"/>
      <c r="C994" s="85"/>
      <c r="D994" s="85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  <c r="AA994" s="85"/>
      <c r="AB994" s="85"/>
      <c r="AC994" s="85"/>
      <c r="AD994" s="85"/>
      <c r="AE994" s="85"/>
      <c r="AF994" s="85"/>
      <c r="AG994" s="85"/>
      <c r="AH994" s="85"/>
      <c r="AI994" s="85"/>
      <c r="AJ994" s="85"/>
      <c r="AK994" s="85"/>
      <c r="AL994" s="85"/>
      <c r="AM994" s="85"/>
      <c r="AN994" s="85"/>
      <c r="AO994" s="85"/>
      <c r="AP994" s="85"/>
      <c r="AQ994" s="85"/>
      <c r="AR994" s="85"/>
      <c r="AS994" s="85"/>
      <c r="AT994" s="85"/>
      <c r="AU994" s="85"/>
      <c r="AV994" s="85"/>
      <c r="AW994" s="85"/>
      <c r="AX994" s="85"/>
      <c r="AY994" s="85"/>
      <c r="AZ994" s="85"/>
      <c r="BA994" s="85"/>
      <c r="BB994" s="85"/>
      <c r="BC994" s="85"/>
    </row>
    <row r="995" spans="1:55" ht="15.75" customHeight="1">
      <c r="A995" s="104"/>
      <c r="B995" s="85"/>
      <c r="C995" s="85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  <c r="AA995" s="85"/>
      <c r="AB995" s="85"/>
      <c r="AC995" s="85"/>
      <c r="AD995" s="85"/>
      <c r="AE995" s="85"/>
      <c r="AF995" s="85"/>
      <c r="AG995" s="85"/>
      <c r="AH995" s="85"/>
      <c r="AI995" s="85"/>
      <c r="AJ995" s="85"/>
      <c r="AK995" s="85"/>
      <c r="AL995" s="85"/>
      <c r="AM995" s="85"/>
      <c r="AN995" s="85"/>
      <c r="AO995" s="85"/>
      <c r="AP995" s="85"/>
      <c r="AQ995" s="85"/>
      <c r="AR995" s="85"/>
      <c r="AS995" s="85"/>
      <c r="AT995" s="85"/>
      <c r="AU995" s="85"/>
      <c r="AV995" s="85"/>
      <c r="AW995" s="85"/>
      <c r="AX995" s="85"/>
      <c r="AY995" s="85"/>
      <c r="AZ995" s="85"/>
      <c r="BA995" s="85"/>
      <c r="BB995" s="85"/>
      <c r="BC995" s="85"/>
    </row>
    <row r="996" spans="1:55" ht="15.75" customHeight="1">
      <c r="A996" s="104"/>
      <c r="B996" s="85"/>
      <c r="C996" s="85"/>
      <c r="D996" s="85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  <c r="AA996" s="85"/>
      <c r="AB996" s="85"/>
      <c r="AC996" s="85"/>
      <c r="AD996" s="85"/>
      <c r="AE996" s="85"/>
      <c r="AF996" s="85"/>
      <c r="AG996" s="85"/>
      <c r="AH996" s="85"/>
      <c r="AI996" s="85"/>
      <c r="AJ996" s="85"/>
      <c r="AK996" s="85"/>
      <c r="AL996" s="85"/>
      <c r="AM996" s="85"/>
      <c r="AN996" s="85"/>
      <c r="AO996" s="85"/>
      <c r="AP996" s="85"/>
      <c r="AQ996" s="85"/>
      <c r="AR996" s="85"/>
      <c r="AS996" s="85"/>
      <c r="AT996" s="85"/>
      <c r="AU996" s="85"/>
      <c r="AV996" s="85"/>
      <c r="AW996" s="85"/>
      <c r="AX996" s="85"/>
      <c r="AY996" s="85"/>
      <c r="AZ996" s="85"/>
      <c r="BA996" s="85"/>
      <c r="BB996" s="85"/>
      <c r="BC996" s="85"/>
    </row>
    <row r="997" spans="1:55" ht="15.75" customHeight="1">
      <c r="A997" s="104"/>
      <c r="B997" s="85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  <c r="AA997" s="85"/>
      <c r="AB997" s="85"/>
      <c r="AC997" s="85"/>
      <c r="AD997" s="85"/>
      <c r="AE997" s="85"/>
      <c r="AF997" s="85"/>
      <c r="AG997" s="85"/>
      <c r="AH997" s="85"/>
      <c r="AI997" s="85"/>
      <c r="AJ997" s="85"/>
      <c r="AK997" s="85"/>
      <c r="AL997" s="85"/>
      <c r="AM997" s="85"/>
      <c r="AN997" s="85"/>
      <c r="AO997" s="85"/>
      <c r="AP997" s="85"/>
      <c r="AQ997" s="85"/>
      <c r="AR997" s="85"/>
      <c r="AS997" s="85"/>
      <c r="AT997" s="85"/>
      <c r="AU997" s="85"/>
      <c r="AV997" s="85"/>
      <c r="AW997" s="85"/>
      <c r="AX997" s="85"/>
      <c r="AY997" s="85"/>
      <c r="AZ997" s="85"/>
      <c r="BA997" s="85"/>
      <c r="BB997" s="85"/>
      <c r="BC997" s="85"/>
    </row>
    <row r="998" spans="1:55" ht="15.75" customHeight="1">
      <c r="A998" s="104"/>
      <c r="B998" s="85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  <c r="AA998" s="85"/>
      <c r="AB998" s="85"/>
      <c r="AC998" s="85"/>
      <c r="AD998" s="85"/>
      <c r="AE998" s="85"/>
      <c r="AF998" s="85"/>
      <c r="AG998" s="85"/>
      <c r="AH998" s="85"/>
      <c r="AI998" s="85"/>
      <c r="AJ998" s="85"/>
      <c r="AK998" s="85"/>
      <c r="AL998" s="85"/>
      <c r="AM998" s="85"/>
      <c r="AN998" s="85"/>
      <c r="AO998" s="85"/>
      <c r="AP998" s="85"/>
      <c r="AQ998" s="85"/>
      <c r="AR998" s="85"/>
      <c r="AS998" s="85"/>
      <c r="AT998" s="85"/>
      <c r="AU998" s="85"/>
      <c r="AV998" s="85"/>
      <c r="AW998" s="85"/>
      <c r="AX998" s="85"/>
      <c r="AY998" s="85"/>
      <c r="AZ998" s="85"/>
      <c r="BA998" s="85"/>
      <c r="BB998" s="85"/>
      <c r="BC998" s="85"/>
    </row>
    <row r="999" spans="1:55" ht="15.75" customHeight="1">
      <c r="A999" s="104"/>
      <c r="B999" s="85"/>
      <c r="C999" s="85"/>
      <c r="D999" s="85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5"/>
      <c r="AA999" s="85"/>
      <c r="AB999" s="85"/>
      <c r="AC999" s="85"/>
      <c r="AD999" s="85"/>
      <c r="AE999" s="85"/>
      <c r="AF999" s="85"/>
      <c r="AG999" s="85"/>
      <c r="AH999" s="85"/>
      <c r="AI999" s="85"/>
      <c r="AJ999" s="85"/>
      <c r="AK999" s="85"/>
      <c r="AL999" s="85"/>
      <c r="AM999" s="85"/>
      <c r="AN999" s="85"/>
      <c r="AO999" s="85"/>
      <c r="AP999" s="85"/>
      <c r="AQ999" s="85"/>
      <c r="AR999" s="85"/>
      <c r="AS999" s="85"/>
      <c r="AT999" s="85"/>
      <c r="AU999" s="85"/>
      <c r="AV999" s="85"/>
      <c r="AW999" s="85"/>
      <c r="AX999" s="85"/>
      <c r="AY999" s="85"/>
      <c r="AZ999" s="85"/>
      <c r="BA999" s="85"/>
      <c r="BB999" s="85"/>
      <c r="BC999" s="85"/>
    </row>
    <row r="1000" spans="1:55" ht="15.75" customHeight="1">
      <c r="A1000" s="231"/>
      <c r="B1000" s="232"/>
      <c r="C1000" s="232"/>
      <c r="D1000" s="232"/>
      <c r="E1000" s="232"/>
      <c r="F1000" s="232"/>
      <c r="G1000" s="232"/>
      <c r="H1000" s="232"/>
      <c r="I1000" s="232"/>
      <c r="J1000" s="232"/>
      <c r="K1000" s="232"/>
      <c r="L1000" s="232"/>
      <c r="M1000" s="232"/>
      <c r="N1000" s="232"/>
      <c r="O1000" s="232"/>
      <c r="P1000" s="232"/>
      <c r="Q1000" s="232"/>
      <c r="R1000" s="232"/>
      <c r="S1000" s="232"/>
      <c r="T1000" s="232"/>
      <c r="U1000" s="232"/>
      <c r="V1000" s="232"/>
      <c r="W1000" s="232"/>
      <c r="X1000" s="232"/>
      <c r="Y1000" s="232"/>
      <c r="Z1000" s="232"/>
      <c r="AA1000" s="232"/>
      <c r="AB1000" s="232"/>
      <c r="AC1000" s="232"/>
      <c r="AD1000" s="232"/>
      <c r="AE1000" s="232"/>
      <c r="AF1000" s="232"/>
      <c r="AG1000" s="232"/>
      <c r="AH1000" s="232"/>
      <c r="AI1000" s="232"/>
      <c r="AJ1000" s="232"/>
      <c r="AK1000" s="232"/>
      <c r="AL1000" s="232"/>
      <c r="AM1000" s="232"/>
      <c r="AN1000" s="232"/>
      <c r="AO1000" s="232"/>
      <c r="AP1000" s="232"/>
      <c r="AQ1000" s="232"/>
      <c r="AR1000" s="232"/>
      <c r="AS1000" s="232"/>
      <c r="AT1000" s="232"/>
      <c r="AU1000" s="232"/>
      <c r="AV1000" s="232"/>
      <c r="AW1000" s="232"/>
      <c r="AX1000" s="232"/>
      <c r="AY1000" s="232"/>
      <c r="AZ1000" s="232"/>
      <c r="BA1000" s="232"/>
      <c r="BB1000" s="232"/>
      <c r="BC1000" s="232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D100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ColWidth="11.1640625" defaultRowHeight="15" customHeight="1"/>
  <cols>
    <col min="1" max="1" width="22" hidden="1" customWidth="1"/>
    <col min="2" max="2" width="44.1640625" customWidth="1"/>
    <col min="3" max="33" width="12.5" customWidth="1"/>
    <col min="34" max="34" width="15.83203125" customWidth="1"/>
    <col min="35" max="56" width="12.5" customWidth="1"/>
  </cols>
  <sheetData>
    <row r="1" spans="1:56" ht="34.5" customHeight="1">
      <c r="A1" s="3"/>
      <c r="B1" s="5"/>
      <c r="C1" s="11" t="s">
        <v>2</v>
      </c>
      <c r="D1" s="13"/>
      <c r="E1" s="15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7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</row>
    <row r="2" spans="1:56" ht="15.75" customHeight="1">
      <c r="A2" s="9"/>
      <c r="B2" s="21"/>
      <c r="C2" s="23" t="s">
        <v>61</v>
      </c>
      <c r="D2" s="25"/>
      <c r="E2" s="25"/>
      <c r="F2" s="25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pans="1:56" ht="15.75" customHeight="1">
      <c r="A3" s="9"/>
      <c r="B3" s="3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</row>
    <row r="4" spans="1:56" ht="15.75" customHeight="1">
      <c r="A4" s="35"/>
      <c r="B4" s="37"/>
      <c r="C4" s="39" t="s">
        <v>5</v>
      </c>
      <c r="D4" s="39" t="s">
        <v>6</v>
      </c>
      <c r="E4" s="39" t="s">
        <v>7</v>
      </c>
      <c r="F4" s="39" t="s">
        <v>8</v>
      </c>
      <c r="G4" s="39" t="s">
        <v>9</v>
      </c>
      <c r="H4" s="41" t="s">
        <v>10</v>
      </c>
      <c r="I4" s="39" t="s">
        <v>11</v>
      </c>
      <c r="J4" s="39" t="s">
        <v>12</v>
      </c>
      <c r="K4" s="39" t="s">
        <v>13</v>
      </c>
      <c r="L4" s="39" t="s">
        <v>14</v>
      </c>
      <c r="M4" s="41" t="s">
        <v>15</v>
      </c>
      <c r="N4" s="39" t="s">
        <v>16</v>
      </c>
      <c r="O4" s="39" t="s">
        <v>17</v>
      </c>
      <c r="P4" s="41" t="s">
        <v>18</v>
      </c>
      <c r="Q4" s="39" t="s">
        <v>19</v>
      </c>
      <c r="R4" s="43" t="s">
        <v>20</v>
      </c>
      <c r="S4" s="39" t="s">
        <v>21</v>
      </c>
      <c r="T4" s="39" t="s">
        <v>22</v>
      </c>
      <c r="U4" s="39" t="s">
        <v>23</v>
      </c>
      <c r="V4" s="39" t="s">
        <v>24</v>
      </c>
      <c r="W4" s="39" t="s">
        <v>25</v>
      </c>
      <c r="X4" s="39" t="s">
        <v>26</v>
      </c>
      <c r="Y4" s="39" t="s">
        <v>27</v>
      </c>
      <c r="Z4" s="39" t="s">
        <v>28</v>
      </c>
      <c r="AA4" s="39" t="s">
        <v>29</v>
      </c>
      <c r="AB4" s="39" t="s">
        <v>30</v>
      </c>
      <c r="AC4" s="39" t="s">
        <v>31</v>
      </c>
      <c r="AD4" s="39" t="s">
        <v>32</v>
      </c>
      <c r="AE4" s="39" t="s">
        <v>33</v>
      </c>
      <c r="AF4" s="39" t="s">
        <v>34</v>
      </c>
      <c r="AG4" s="39" t="s">
        <v>35</v>
      </c>
      <c r="AH4" s="39" t="s">
        <v>36</v>
      </c>
      <c r="AI4" s="39" t="s">
        <v>37</v>
      </c>
      <c r="AJ4" s="39" t="s">
        <v>38</v>
      </c>
      <c r="AK4" s="39" t="s">
        <v>39</v>
      </c>
      <c r="AL4" s="39" t="s">
        <v>40</v>
      </c>
      <c r="AM4" s="41" t="s">
        <v>41</v>
      </c>
      <c r="AN4" s="39" t="s">
        <v>42</v>
      </c>
      <c r="AO4" s="39" t="s">
        <v>43</v>
      </c>
      <c r="AP4" s="39" t="s">
        <v>44</v>
      </c>
      <c r="AQ4" s="39" t="s">
        <v>45</v>
      </c>
      <c r="AR4" s="43" t="s">
        <v>46</v>
      </c>
      <c r="AS4" s="41" t="s">
        <v>47</v>
      </c>
      <c r="AT4" s="39" t="s">
        <v>48</v>
      </c>
      <c r="AU4" s="41" t="s">
        <v>49</v>
      </c>
      <c r="AV4" s="39" t="s">
        <v>50</v>
      </c>
      <c r="AW4" s="39" t="s">
        <v>51</v>
      </c>
      <c r="AX4" s="39" t="s">
        <v>52</v>
      </c>
      <c r="AY4" s="39" t="s">
        <v>53</v>
      </c>
      <c r="AZ4" s="39" t="s">
        <v>54</v>
      </c>
      <c r="BA4" s="56" t="s">
        <v>55</v>
      </c>
      <c r="BB4" s="56" t="s">
        <v>56</v>
      </c>
      <c r="BC4" s="56" t="s">
        <v>57</v>
      </c>
      <c r="BD4" s="43" t="s">
        <v>58</v>
      </c>
    </row>
    <row r="5" spans="1:56" ht="48.75" customHeight="1">
      <c r="A5" s="9"/>
      <c r="B5" s="58" t="s">
        <v>94</v>
      </c>
      <c r="C5" s="60" t="s">
        <v>96</v>
      </c>
      <c r="D5" s="62" t="s">
        <v>97</v>
      </c>
      <c r="E5" s="62" t="s">
        <v>99</v>
      </c>
      <c r="F5" s="62" t="s">
        <v>100</v>
      </c>
      <c r="G5" s="62" t="s">
        <v>101</v>
      </c>
      <c r="H5" s="62" t="s">
        <v>102</v>
      </c>
      <c r="I5" s="62" t="s">
        <v>103</v>
      </c>
      <c r="J5" s="62" t="s">
        <v>104</v>
      </c>
      <c r="K5" s="64" t="s">
        <v>105</v>
      </c>
      <c r="L5" s="62" t="s">
        <v>106</v>
      </c>
      <c r="M5" s="62" t="s">
        <v>107</v>
      </c>
      <c r="N5" s="64" t="s">
        <v>108</v>
      </c>
      <c r="O5" s="64" t="s">
        <v>109</v>
      </c>
      <c r="P5" s="62" t="s">
        <v>110</v>
      </c>
      <c r="Q5" s="62" t="s">
        <v>111</v>
      </c>
      <c r="R5" s="62" t="s">
        <v>112</v>
      </c>
      <c r="S5" s="62" t="s">
        <v>103</v>
      </c>
      <c r="T5" s="62" t="s">
        <v>113</v>
      </c>
      <c r="U5" s="62" t="s">
        <v>97</v>
      </c>
      <c r="V5" s="62" t="s">
        <v>114</v>
      </c>
      <c r="W5" s="67" t="s">
        <v>115</v>
      </c>
      <c r="X5" s="62" t="s">
        <v>118</v>
      </c>
      <c r="Y5" s="62" t="s">
        <v>109</v>
      </c>
      <c r="Z5" s="62" t="s">
        <v>119</v>
      </c>
      <c r="AA5" s="62" t="s">
        <v>107</v>
      </c>
      <c r="AB5" s="62" t="s">
        <v>120</v>
      </c>
      <c r="AC5" s="62" t="s">
        <v>121</v>
      </c>
      <c r="AD5" s="62" t="s">
        <v>110</v>
      </c>
      <c r="AE5" s="67" t="s">
        <v>122</v>
      </c>
      <c r="AF5" s="67" t="s">
        <v>115</v>
      </c>
      <c r="AG5" s="62" t="s">
        <v>123</v>
      </c>
      <c r="AH5" s="62" t="s">
        <v>124</v>
      </c>
      <c r="AI5" s="62" t="s">
        <v>101</v>
      </c>
      <c r="AJ5" s="62" t="s">
        <v>101</v>
      </c>
      <c r="AK5" s="62" t="s">
        <v>125</v>
      </c>
      <c r="AL5" s="67" t="s">
        <v>126</v>
      </c>
      <c r="AM5" s="69" t="s">
        <v>127</v>
      </c>
      <c r="AN5" s="67" t="s">
        <v>130</v>
      </c>
      <c r="AO5" s="67" t="s">
        <v>131</v>
      </c>
      <c r="AP5" s="67" t="s">
        <v>132</v>
      </c>
      <c r="AQ5" s="67" t="s">
        <v>133</v>
      </c>
      <c r="AR5" s="62" t="s">
        <v>134</v>
      </c>
      <c r="AS5" s="62" t="s">
        <v>135</v>
      </c>
      <c r="AT5" s="62" t="s">
        <v>136</v>
      </c>
      <c r="AU5" s="67" t="s">
        <v>137</v>
      </c>
      <c r="AV5" s="67" t="s">
        <v>138</v>
      </c>
      <c r="AW5" s="62" t="s">
        <v>139</v>
      </c>
      <c r="AX5" s="67" t="s">
        <v>140</v>
      </c>
      <c r="AY5" s="67" t="s">
        <v>141</v>
      </c>
      <c r="AZ5" s="71" t="s">
        <v>142</v>
      </c>
      <c r="BA5" s="73" t="s">
        <v>149</v>
      </c>
      <c r="BB5" s="73" t="s">
        <v>151</v>
      </c>
      <c r="BC5" s="73" t="s">
        <v>152</v>
      </c>
      <c r="BD5" s="73" t="s">
        <v>153</v>
      </c>
    </row>
    <row r="6" spans="1:56" ht="15.75" customHeight="1">
      <c r="A6" s="9"/>
      <c r="B6" s="74" t="s">
        <v>154</v>
      </c>
      <c r="C6" s="78">
        <f>100000+(1*'Raw Data'!B44*C49)</f>
        <v>529565.21739130432</v>
      </c>
      <c r="D6" s="83">
        <v>1000000</v>
      </c>
      <c r="E6" s="50">
        <v>100000</v>
      </c>
      <c r="F6" s="50">
        <v>12500</v>
      </c>
      <c r="G6" s="50">
        <v>2000000</v>
      </c>
      <c r="H6" s="50">
        <v>1000</v>
      </c>
      <c r="I6" s="50">
        <v>6000000</v>
      </c>
      <c r="J6" s="50">
        <v>1000000</v>
      </c>
      <c r="K6" s="48">
        <v>20000000</v>
      </c>
      <c r="L6" s="50">
        <v>1520000</v>
      </c>
      <c r="M6" s="50">
        <v>10000</v>
      </c>
      <c r="N6" s="83">
        <v>7000000</v>
      </c>
      <c r="O6" s="83">
        <v>3000000</v>
      </c>
      <c r="P6" s="50">
        <v>40000</v>
      </c>
      <c r="Q6" s="50">
        <v>1800000</v>
      </c>
      <c r="R6" s="50" t="e">
        <f>100000+(6*'Raw Data'!Q20)</f>
        <v>#REF!</v>
      </c>
      <c r="S6" s="50">
        <v>6000000</v>
      </c>
      <c r="T6" s="50">
        <v>5000000</v>
      </c>
      <c r="U6" s="50">
        <v>1000000</v>
      </c>
      <c r="V6" s="50">
        <v>50000</v>
      </c>
      <c r="W6" s="50">
        <f>12000000+(50*'Raw Data'!V44*W49)</f>
        <v>41940000</v>
      </c>
      <c r="X6" s="50">
        <v>2000</v>
      </c>
      <c r="Y6" s="50">
        <v>3000000</v>
      </c>
      <c r="Z6" s="50">
        <v>30000</v>
      </c>
      <c r="AA6" s="83">
        <v>10000</v>
      </c>
      <c r="AB6" s="50">
        <v>1400000</v>
      </c>
      <c r="AC6" s="83">
        <v>323250</v>
      </c>
      <c r="AD6" s="50">
        <v>40000</v>
      </c>
      <c r="AE6" s="50">
        <f>150+(10*'Raw Data'!AD44*AE49)+(1000*'Raw Data'!AD49*AE49)</f>
        <v>80095</v>
      </c>
      <c r="AF6" s="50">
        <f>12000000+(50*'Raw Data'!AE44*AF49)</f>
        <v>41940000</v>
      </c>
      <c r="AG6" s="50">
        <f>3000+(3*'Raw Data'!AF44*AG49)</f>
        <v>5020.95</v>
      </c>
      <c r="AH6" s="50">
        <v>15000</v>
      </c>
      <c r="AI6" s="50">
        <v>2000000</v>
      </c>
      <c r="AJ6" s="50">
        <v>2000000</v>
      </c>
      <c r="AK6" s="50">
        <v>200000</v>
      </c>
      <c r="AL6" s="50">
        <f>24+(2500*'Raw Data'!AK44*AL49)+(25*'Raw Data'!AK49*AL49)</f>
        <v>89.664772727272748</v>
      </c>
      <c r="AM6" s="50">
        <f>50+(5000*'Raw Data'!AL44)+(30*'Raw Data'!AL49*AM49)</f>
        <v>949.86500000000001</v>
      </c>
      <c r="AN6" s="50">
        <f>500+(30*'Raw Data'!AM44*AN49)</f>
        <v>1651.5384615384614</v>
      </c>
      <c r="AO6" s="50">
        <f>(2000*'Raw Data'!AN49)+(20*'Raw Data'!AN44*AO49)+30</f>
        <v>38.930379310344826</v>
      </c>
      <c r="AP6" s="50">
        <f>12+(16*'Raw Data'!AO44*AP49)</f>
        <v>39.677866666666667</v>
      </c>
      <c r="AQ6" s="50">
        <f>68+(17500*'Raw Data'!AP44*AQ49)</f>
        <v>207.72</v>
      </c>
      <c r="AR6" s="50">
        <f>50+(5000*'Raw Data'!AQ44*AR49)+(23*'Raw Data'!AQ49*AR49)</f>
        <v>168.67000000000002</v>
      </c>
      <c r="AS6" s="83">
        <v>250000</v>
      </c>
      <c r="AT6" s="50">
        <f>80000+(5*'Raw Data'!AS44*AT49)</f>
        <v>575993.97590361442</v>
      </c>
      <c r="AU6" s="50">
        <v>15000</v>
      </c>
      <c r="AV6" s="50">
        <f>1000000+(20*'Raw Data'!AU44*AV49)</f>
        <v>15970000</v>
      </c>
      <c r="AW6" s="50">
        <f>35000+(1*'Raw Data'!AV44*AW49)</f>
        <v>334700</v>
      </c>
      <c r="AX6" s="50">
        <f>5000+(10*'Raw Data'!AW44*AX49)</f>
        <v>254500</v>
      </c>
      <c r="AY6" s="50">
        <v>800</v>
      </c>
      <c r="AZ6" s="50">
        <f>4000000+(200*'Raw Data'!AY44*AZ49)</f>
        <v>9988000</v>
      </c>
      <c r="BA6" s="95">
        <v>400000</v>
      </c>
      <c r="BB6" s="95">
        <v>10000000</v>
      </c>
      <c r="BC6" s="95">
        <f>500+(50*'Raw Data'!BB44*BC49)</f>
        <v>2419.2307692307695</v>
      </c>
      <c r="BD6" s="97">
        <f>75000+(8*'Raw Data'!BC44*BD49)</f>
        <v>217571.42857142858</v>
      </c>
    </row>
    <row r="7" spans="1:56" ht="15.75" customHeight="1">
      <c r="A7" s="9"/>
      <c r="B7" s="74" t="s">
        <v>201</v>
      </c>
      <c r="C7" s="99">
        <f>100000</f>
        <v>100000</v>
      </c>
      <c r="D7" s="83">
        <v>1000000</v>
      </c>
      <c r="E7" s="50">
        <v>100000</v>
      </c>
      <c r="F7" s="50">
        <v>12500</v>
      </c>
      <c r="G7" s="50">
        <v>2000000</v>
      </c>
      <c r="H7" s="50">
        <v>1000</v>
      </c>
      <c r="I7" s="50">
        <v>6000000</v>
      </c>
      <c r="J7" s="50">
        <v>1000000</v>
      </c>
      <c r="K7" s="48">
        <v>20000000</v>
      </c>
      <c r="L7" s="50">
        <v>1520000</v>
      </c>
      <c r="M7" s="50">
        <v>10000</v>
      </c>
      <c r="N7" s="83">
        <v>7000000</v>
      </c>
      <c r="O7" s="83">
        <v>3000000</v>
      </c>
      <c r="P7" s="50">
        <v>40000</v>
      </c>
      <c r="Q7" s="50">
        <v>1800000</v>
      </c>
      <c r="R7" s="50">
        <v>100000</v>
      </c>
      <c r="S7" s="50">
        <v>6000000</v>
      </c>
      <c r="T7" s="50">
        <v>5000000</v>
      </c>
      <c r="U7" s="50">
        <v>1000000</v>
      </c>
      <c r="V7" s="50">
        <v>50000</v>
      </c>
      <c r="W7" s="50">
        <f>12000000</f>
        <v>12000000</v>
      </c>
      <c r="X7" s="50">
        <v>2000</v>
      </c>
      <c r="Y7" s="50">
        <v>3000000</v>
      </c>
      <c r="Z7" s="50">
        <v>30000</v>
      </c>
      <c r="AA7" s="83">
        <v>10000</v>
      </c>
      <c r="AB7" s="50">
        <v>1400000</v>
      </c>
      <c r="AC7" s="83">
        <v>323250</v>
      </c>
      <c r="AD7" s="50">
        <v>40000</v>
      </c>
      <c r="AE7" s="50">
        <f>150</f>
        <v>150</v>
      </c>
      <c r="AF7" s="50">
        <f>12000000</f>
        <v>12000000</v>
      </c>
      <c r="AG7" s="50">
        <f>3000</f>
        <v>3000</v>
      </c>
      <c r="AH7" s="50">
        <v>15000</v>
      </c>
      <c r="AI7" s="50">
        <v>2000000</v>
      </c>
      <c r="AJ7" s="50">
        <v>2000000</v>
      </c>
      <c r="AK7" s="50">
        <v>200000</v>
      </c>
      <c r="AL7" s="50">
        <f>30</f>
        <v>30</v>
      </c>
      <c r="AM7" s="50">
        <f>50</f>
        <v>50</v>
      </c>
      <c r="AN7" s="50">
        <f>500</f>
        <v>500</v>
      </c>
      <c r="AO7" s="83">
        <v>30</v>
      </c>
      <c r="AP7" s="83">
        <v>12</v>
      </c>
      <c r="AQ7" s="50">
        <v>68</v>
      </c>
      <c r="AR7" s="83">
        <v>50</v>
      </c>
      <c r="AS7" s="83">
        <v>250000</v>
      </c>
      <c r="AT7" s="50">
        <v>80000</v>
      </c>
      <c r="AU7" s="50">
        <v>15000</v>
      </c>
      <c r="AV7" s="50">
        <v>1000000</v>
      </c>
      <c r="AW7" s="50">
        <v>35000</v>
      </c>
      <c r="AX7" s="50">
        <v>5000</v>
      </c>
      <c r="AY7" s="50">
        <v>800</v>
      </c>
      <c r="AZ7" s="50">
        <v>4000000</v>
      </c>
      <c r="BA7" s="102">
        <v>400000</v>
      </c>
      <c r="BB7" s="95">
        <v>10000000</v>
      </c>
      <c r="BC7" s="95">
        <v>500</v>
      </c>
      <c r="BD7" s="97">
        <v>75000</v>
      </c>
    </row>
    <row r="8" spans="1:56" ht="15.75" customHeight="1">
      <c r="A8" s="9"/>
      <c r="B8" s="103"/>
      <c r="C8" s="104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105"/>
      <c r="BB8" s="105"/>
      <c r="BC8" s="105"/>
      <c r="BD8" s="105"/>
    </row>
    <row r="9" spans="1:56" ht="15.75" customHeight="1">
      <c r="A9" s="9"/>
      <c r="B9" s="106" t="s">
        <v>202</v>
      </c>
      <c r="C9" s="46">
        <v>1</v>
      </c>
      <c r="D9" s="80">
        <v>1</v>
      </c>
      <c r="E9" s="80">
        <v>1</v>
      </c>
      <c r="F9" s="80">
        <v>1</v>
      </c>
      <c r="G9" s="80">
        <v>1</v>
      </c>
      <c r="H9" s="80">
        <f>24/24</f>
        <v>1</v>
      </c>
      <c r="I9" s="80">
        <v>1</v>
      </c>
      <c r="J9" s="80">
        <v>1</v>
      </c>
      <c r="K9" s="80">
        <v>1</v>
      </c>
      <c r="L9" s="80">
        <v>1</v>
      </c>
      <c r="M9" s="80">
        <v>0.3</v>
      </c>
      <c r="N9" s="80">
        <v>1</v>
      </c>
      <c r="O9" s="80">
        <v>1</v>
      </c>
      <c r="P9" s="80">
        <v>1</v>
      </c>
      <c r="Q9" s="80">
        <v>1</v>
      </c>
      <c r="R9" s="80">
        <v>1</v>
      </c>
      <c r="S9" s="80">
        <v>0.1</v>
      </c>
      <c r="T9" s="80">
        <v>12</v>
      </c>
      <c r="U9" s="80">
        <v>1</v>
      </c>
      <c r="V9" s="80">
        <v>1</v>
      </c>
      <c r="W9" s="80">
        <v>1</v>
      </c>
      <c r="X9" s="80">
        <v>1</v>
      </c>
      <c r="Y9" s="80">
        <v>1</v>
      </c>
      <c r="Z9" s="80">
        <v>1</v>
      </c>
      <c r="AA9" s="80">
        <v>1</v>
      </c>
      <c r="AB9" s="80">
        <v>1</v>
      </c>
      <c r="AC9" s="80">
        <v>1</v>
      </c>
      <c r="AD9" s="80">
        <v>1</v>
      </c>
      <c r="AE9" s="80">
        <v>1</v>
      </c>
      <c r="AF9" s="80">
        <v>1</v>
      </c>
      <c r="AG9" s="80">
        <f>24/(10*2)</f>
        <v>1.2</v>
      </c>
      <c r="AH9" s="80">
        <v>1</v>
      </c>
      <c r="AI9" s="80">
        <v>1</v>
      </c>
      <c r="AJ9" s="80">
        <f>24/24</f>
        <v>1</v>
      </c>
      <c r="AK9" s="80">
        <v>1</v>
      </c>
      <c r="AL9" s="80">
        <v>1</v>
      </c>
      <c r="AM9" s="108">
        <f>24/23</f>
        <v>1.0434782608695652</v>
      </c>
      <c r="AN9" s="110">
        <f>24/22</f>
        <v>1.0909090909090908</v>
      </c>
      <c r="AO9" s="110">
        <f>24/21</f>
        <v>1.1428571428571428</v>
      </c>
      <c r="AP9" s="80">
        <v>1</v>
      </c>
      <c r="AQ9" s="80">
        <v>1</v>
      </c>
      <c r="AR9" s="108">
        <f>24/23</f>
        <v>1.0434782608695652</v>
      </c>
      <c r="AS9" s="80">
        <f t="shared" ref="AS9:AT9" si="0">24/24</f>
        <v>1</v>
      </c>
      <c r="AT9" s="111">
        <f t="shared" si="0"/>
        <v>1</v>
      </c>
      <c r="AU9" s="80">
        <v>1</v>
      </c>
      <c r="AV9" s="80">
        <v>1</v>
      </c>
      <c r="AW9" s="80">
        <v>1</v>
      </c>
      <c r="AX9" s="80">
        <v>1</v>
      </c>
      <c r="AY9" s="80">
        <v>1</v>
      </c>
      <c r="AZ9" s="80">
        <v>1</v>
      </c>
      <c r="BA9" s="112">
        <v>1</v>
      </c>
      <c r="BB9" s="113">
        <f>24/3</f>
        <v>8</v>
      </c>
      <c r="BC9" s="113">
        <f t="shared" ref="BC9:BD9" si="1">24/24</f>
        <v>1</v>
      </c>
      <c r="BD9" s="113">
        <f t="shared" si="1"/>
        <v>1</v>
      </c>
    </row>
    <row r="10" spans="1:56" ht="15.75" customHeight="1">
      <c r="A10" s="9"/>
      <c r="B10" s="103" t="s">
        <v>219</v>
      </c>
      <c r="C10" s="46">
        <f>IFERROR(IF(C9&lt;(24/Outputs!$C$5),1,C9/24*Outputs!$C$5),"N/A")</f>
        <v>1</v>
      </c>
      <c r="D10" s="80">
        <f>IFERROR(IF(D9&lt;(24/Outputs!$C$5),1,D9/24*Outputs!$C$5),"N/A")</f>
        <v>1</v>
      </c>
      <c r="E10" s="80">
        <f>IFERROR(IF(E9&lt;(24/Outputs!$C$5),1,E9/24*Outputs!$C$5),"N/A")</f>
        <v>1</v>
      </c>
      <c r="F10" s="80">
        <f>IFERROR(IF(F9&lt;(24/Outputs!$C$5),1,F9/24*Outputs!$C$5),"N/A")</f>
        <v>1</v>
      </c>
      <c r="G10" s="80">
        <f>IFERROR(IF(G9&lt;(24/Outputs!$C$5),1,G9/24*Outputs!$C$5),"N/A")</f>
        <v>1</v>
      </c>
      <c r="H10" s="80">
        <f>IFERROR(IF(H9&lt;(24/Outputs!$C$5),1,H9/24*Outputs!$C$5),"N/A")</f>
        <v>1</v>
      </c>
      <c r="I10" s="80">
        <f>IFERROR(IF(I9&lt;(24/Outputs!$C$5),1,I9/24*Outputs!$C$5),"N/A")</f>
        <v>1</v>
      </c>
      <c r="J10" s="80">
        <f>IFERROR(IF(J9&lt;(24/Outputs!$C$5),1,J9/24*Outputs!$C$5),"N/A")</f>
        <v>1</v>
      </c>
      <c r="K10" s="80">
        <f>IFERROR(IF(K9&lt;(24/Outputs!$C$5),1,K9/24*Outputs!$C$5),"N/A")</f>
        <v>1</v>
      </c>
      <c r="L10" s="80">
        <f>IFERROR(IF(L9&lt;(24/Outputs!$C$5),1,L9/24*Outputs!$C$5),"N/A")</f>
        <v>1</v>
      </c>
      <c r="M10" s="80">
        <f>IFERROR(IF(M9&lt;(24/Outputs!$C$5),1,M9/24*Outputs!$C$5),"N/A")</f>
        <v>1</v>
      </c>
      <c r="N10" s="80">
        <f>IFERROR(IF(N9&lt;(24/Outputs!$C$5),1,N9/24*Outputs!$C$5),"N/A")</f>
        <v>1</v>
      </c>
      <c r="O10" s="80">
        <f>IFERROR(IF(O9&lt;(24/Outputs!$C$5),1,O9/24*Outputs!$C$5),"N/A")</f>
        <v>1</v>
      </c>
      <c r="P10" s="80">
        <f>IFERROR(IF(P9&lt;(24/Outputs!$C$5),1,P9/24*Outputs!$C$5),"N/A")</f>
        <v>1</v>
      </c>
      <c r="Q10" s="80">
        <f>IFERROR(IF(Q9&lt;(24/Outputs!$C$5),1,Q9/24*Outputs!$C$5),"N/A")</f>
        <v>1</v>
      </c>
      <c r="R10" s="80">
        <f>IFERROR(IF(R9&lt;(24/Outputs!$C$5),1,R9/24*Outputs!$C$5),"N/A")</f>
        <v>1</v>
      </c>
      <c r="S10" s="80">
        <f>IFERROR(IF(S9&lt;(24/Outputs!$C$5),1,S9/24*Outputs!$C$5),"N/A")</f>
        <v>1</v>
      </c>
      <c r="T10" s="80">
        <f>IFERROR(IF(T9&lt;(24/Outputs!$C$5),1,T9/24*Outputs!$C$5),"N/A")</f>
        <v>2.5</v>
      </c>
      <c r="U10" s="80">
        <f>IFERROR(IF(U9&lt;(24/Outputs!$C$5),1,U9/24*Outputs!$C$5),"N/A")</f>
        <v>1</v>
      </c>
      <c r="V10" s="80">
        <f>IFERROR(IF(V9&lt;(24/Outputs!$C$5),1,V9/24*Outputs!$C$5),"N/A")</f>
        <v>1</v>
      </c>
      <c r="W10" s="80">
        <f>IFERROR(IF(W9&lt;(24/Outputs!$C$5),1,W9/24*Outputs!$C$5),"N/A")</f>
        <v>1</v>
      </c>
      <c r="X10" s="80">
        <f>IFERROR(IF(X9&lt;(24/Outputs!$C$5),1,X9/24*Outputs!$C$5),"N/A")</f>
        <v>1</v>
      </c>
      <c r="Y10" s="80">
        <f>IFERROR(IF(Y9&lt;(24/Outputs!$C$5),1,Y9/24*Outputs!$C$5),"N/A")</f>
        <v>1</v>
      </c>
      <c r="Z10" s="80">
        <f>IFERROR(IF(Z9&lt;(24/Outputs!$C$5),1,Z9/24*Outputs!$C$5),"N/A")</f>
        <v>1</v>
      </c>
      <c r="AA10" s="80">
        <f>IFERROR(IF(AA9&lt;(24/Outputs!$C$5),1,AA9/24*Outputs!$C$5),"N/A")</f>
        <v>1</v>
      </c>
      <c r="AB10" s="80">
        <f>IFERROR(IF(AB9&lt;(24/Outputs!$C$5),1,AB9/24*Outputs!$C$5),"N/A")</f>
        <v>1</v>
      </c>
      <c r="AC10" s="80">
        <f>IFERROR(IF(AC9&lt;(24/Outputs!$C$5),1,AC9/24*Outputs!$C$5),"N/A")</f>
        <v>1</v>
      </c>
      <c r="AD10" s="80">
        <f>IFERROR(IF(AD9&lt;(24/Outputs!$C$5),1,AD9/24*Outputs!$C$5),"N/A")</f>
        <v>1</v>
      </c>
      <c r="AE10" s="80">
        <f>IFERROR(IF(AE9&lt;(24/Outputs!$C$5),1,AE9/24*Outputs!$C$5),"N/A")</f>
        <v>1</v>
      </c>
      <c r="AF10" s="80">
        <f>IFERROR(IF(AF9&lt;(24/Outputs!$C$5),1,AF9/24*Outputs!$C$5),"N/A")</f>
        <v>1</v>
      </c>
      <c r="AG10" s="80">
        <f>IFERROR(IF(AG9&lt;(24/Outputs!$C$5),1,AG9/24*Outputs!$C$5),"N/A")</f>
        <v>1</v>
      </c>
      <c r="AH10" s="80">
        <f>IFERROR(IF(AH9&lt;(24/Outputs!$C$5),1,AH9/24*Outputs!$C$5),"N/A")</f>
        <v>1</v>
      </c>
      <c r="AI10" s="80">
        <f>IFERROR(IF(AI9&lt;(24/Outputs!$C$5),1,AI9/24*Outputs!$C$5),"N/A")</f>
        <v>1</v>
      </c>
      <c r="AJ10" s="80">
        <f>IFERROR(IF(AJ9&lt;(24/Outputs!$C$5),1,AJ9/24*Outputs!$C$5),"N/A")</f>
        <v>1</v>
      </c>
      <c r="AK10" s="80">
        <f>IFERROR(IF(AK9&lt;(24/Outputs!$C$5),1,AK9/24*Outputs!$C$5),"N/A")</f>
        <v>1</v>
      </c>
      <c r="AL10" s="80">
        <f>IFERROR(IF(AL9&lt;(24/Outputs!$C$5),1,AL9/24*Outputs!$C$5),"N/A")</f>
        <v>1</v>
      </c>
      <c r="AM10" s="80">
        <f>IFERROR(IF(AM9&lt;(24/Outputs!$C$5),1,AM9/24*Outputs!$C$5),"N/A")</f>
        <v>1</v>
      </c>
      <c r="AN10" s="80">
        <f>IFERROR(IF(AN9&lt;(24/Outputs!$C$5),1,AN9/24*Outputs!$C$5),"N/A")</f>
        <v>1</v>
      </c>
      <c r="AO10" s="80">
        <f>IFERROR(IF(AO9&lt;(24/Outputs!$C$5),1,AO9/24*Outputs!$C$5),"N/A")</f>
        <v>1</v>
      </c>
      <c r="AP10" s="80">
        <f>IFERROR(IF(AP9&lt;(24/Outputs!$C$5),1,AP9/24*Outputs!$C$5),"N/A")</f>
        <v>1</v>
      </c>
      <c r="AQ10" s="80">
        <f>IFERROR(IF(AQ9&lt;(24/Outputs!$C$5),1,AQ9/24*Outputs!$C$5),"N/A")</f>
        <v>1</v>
      </c>
      <c r="AR10" s="80">
        <f>IFERROR(IF(AR9&lt;(24/Outputs!$C$5),1,AR9/24*Outputs!$C$5),"N/A")</f>
        <v>1</v>
      </c>
      <c r="AS10" s="80">
        <f>IFERROR(IF(AS9&lt;(24/Outputs!$C$5),1,AS9/24*Outputs!$C$5),"N/A")</f>
        <v>1</v>
      </c>
      <c r="AT10" s="80">
        <f>IFERROR(IF(AT9&lt;(24/Outputs!$C$5),1,AT9/24*Outputs!$C$5),"N/A")</f>
        <v>1</v>
      </c>
      <c r="AU10" s="80">
        <f>IFERROR(IF(AU9&lt;(24/Outputs!$C$5),1,AU9/24*Outputs!$C$5),"N/A")</f>
        <v>1</v>
      </c>
      <c r="AV10" s="80">
        <f>IFERROR(IF(AV9&lt;(24/Outputs!$C$5),1,AV9/24*Outputs!$C$5),"N/A")</f>
        <v>1</v>
      </c>
      <c r="AW10" s="80">
        <f>IFERROR(IF(AW9&lt;(24/Outputs!$C$5),1,AW9/24*Outputs!$C$5),"N/A")</f>
        <v>1</v>
      </c>
      <c r="AX10" s="80">
        <f>IFERROR(IF(AX9&lt;(24/Outputs!$C$5),1,AX9/24*Outputs!$C$5),"N/A")</f>
        <v>1</v>
      </c>
      <c r="AY10" s="80">
        <f>IFERROR(IF(AY9&lt;(24/Outputs!$C$5),1,AY9/24*Outputs!$C$5),"N/A")</f>
        <v>1</v>
      </c>
      <c r="AZ10" s="80">
        <f>IFERROR(IF(AZ9&lt;(24/Outputs!$C$5),1,AZ9/24*Outputs!$C$5),"N/A")</f>
        <v>1</v>
      </c>
      <c r="BA10" s="123">
        <f>IFERROR(IF(BA9&lt;(24/Outputs!$C$5),1,BA9/24*Outputs!$C$5),"N/A")</f>
        <v>1</v>
      </c>
      <c r="BB10" s="124">
        <f>IFERROR(IF(BB9&lt;(24/Outputs!$C$5),1,BB9/24*Outputs!$C$5),"N/A")</f>
        <v>1.6666666666666665</v>
      </c>
      <c r="BC10" s="124">
        <f>IFERROR(IF(BC9&lt;(24/Outputs!$C$5),1,BC9/24*Outputs!$C$5),"N/A")</f>
        <v>1</v>
      </c>
      <c r="BD10" s="124">
        <f>IFERROR(IF(BD9&lt;(24/Outputs!$C$5),1,BD9/24*Outputs!$C$5),"N/A")</f>
        <v>1</v>
      </c>
    </row>
    <row r="11" spans="1:56" ht="15.75" customHeight="1">
      <c r="A11" s="9"/>
      <c r="B11" s="103" t="s">
        <v>225</v>
      </c>
      <c r="C11" s="99">
        <f>IFERROR(AVERAGE('Raw Data'!B6:B10),0)</f>
        <v>808000</v>
      </c>
      <c r="D11" s="50">
        <f>IFERROR(AVERAGE('Raw Data'!C6:C10),0)</f>
        <v>178000</v>
      </c>
      <c r="E11" s="50">
        <f>IFERROR(AVERAGE('Raw Data'!D6:D10),0)</f>
        <v>42600</v>
      </c>
      <c r="F11" s="50">
        <f>IFERROR(AVERAGE('Raw Data'!E6:E10),0)</f>
        <v>10890</v>
      </c>
      <c r="G11" s="50">
        <f>IFERROR(AVERAGE('Raw Data'!F6:F10),0)</f>
        <v>41800</v>
      </c>
      <c r="H11" s="50">
        <f>IFERROR(AVERAGE('Raw Data'!G6:G10),0)</f>
        <v>386</v>
      </c>
      <c r="I11" s="50">
        <f>IFERROR(AVERAGE('Raw Data'!H6:H10),0)</f>
        <v>1002400</v>
      </c>
      <c r="J11" s="50">
        <f>IFERROR(AVERAGE('Raw Data'!I6:I10),0)</f>
        <v>172400</v>
      </c>
      <c r="K11" s="50">
        <f>IFERROR(AVERAGE('Raw Data'!J6:J10),0)</f>
        <v>361000</v>
      </c>
      <c r="L11" s="50">
        <f>IFERROR(AVERAGE('Raw Data'!K6:K10),0)</f>
        <v>130000</v>
      </c>
      <c r="M11" s="50">
        <f>IFERROR(AVERAGE('Raw Data'!L6:L10),0)</f>
        <v>780</v>
      </c>
      <c r="N11" s="50">
        <f>IFERROR(AVERAGE('Raw Data'!M6:M10),0)</f>
        <v>1252500</v>
      </c>
      <c r="O11" s="50">
        <f>IFERROR(AVERAGE('Raw Data'!N6:N10),0)</f>
        <v>188260</v>
      </c>
      <c r="P11" s="50">
        <f>IFERROR(AVERAGE('Raw Data'!O6:O10),0)</f>
        <v>9500</v>
      </c>
      <c r="Q11" s="50">
        <f>IFERROR(AVERAGE('Raw Data'!P6:P10),0)</f>
        <v>314000</v>
      </c>
      <c r="R11" s="50">
        <f>IFERROR(AVERAGE('Raw Data'!Q6:Q10),0)</f>
        <v>40208.6</v>
      </c>
      <c r="S11" s="50">
        <f>IFERROR(AVERAGE('Raw Data'!R6:R10),0)</f>
        <v>1200000</v>
      </c>
      <c r="T11" s="50">
        <f>IFERROR(AVERAGE('Raw Data'!S6:S10),0)</f>
        <v>640000</v>
      </c>
      <c r="U11" s="50">
        <f>IFERROR(AVERAGE('Raw Data'!T6:T10),0)</f>
        <v>390000</v>
      </c>
      <c r="V11" s="50">
        <f>IFERROR(AVERAGE('Raw Data'!U6:U10),0)</f>
        <v>0</v>
      </c>
      <c r="W11" s="50">
        <f>IFERROR(AVERAGE('Raw Data'!V6:V10),0)</f>
        <v>360000</v>
      </c>
      <c r="X11" s="50">
        <f>IFERROR(AVERAGE('Raw Data'!W6:W10),0)</f>
        <v>1500</v>
      </c>
      <c r="Y11" s="50">
        <f>IFERROR(AVERAGE('Raw Data'!X6:X10),0)</f>
        <v>1700000</v>
      </c>
      <c r="Z11" s="50">
        <f>IFERROR(AVERAGE('Raw Data'!Y6:Y10),0)</f>
        <v>30000</v>
      </c>
      <c r="AA11" s="50">
        <f>IFERROR(AVERAGE('Raw Data'!Z6:Z10),0)</f>
        <v>1220</v>
      </c>
      <c r="AB11" s="50">
        <f>IFERROR(AVERAGE('Raw Data'!AA6:AA10),0)</f>
        <v>94500</v>
      </c>
      <c r="AC11" s="50">
        <f>IFERROR(AVERAGE('Raw Data'!AB6:AB10),0)</f>
        <v>486.8</v>
      </c>
      <c r="AD11" s="50">
        <f>IFERROR(AVERAGE('Raw Data'!AC6:AC10),0)</f>
        <v>6820</v>
      </c>
      <c r="AE11" s="50">
        <f>IFERROR(AVERAGE('Raw Data'!AD6:AD10),0)</f>
        <v>1000</v>
      </c>
      <c r="AF11" s="50">
        <f>IFERROR(AVERAGE('Raw Data'!AE6:AE10),0)</f>
        <v>462000</v>
      </c>
      <c r="AG11" s="50">
        <f>IFERROR(AVERAGE('Raw Data'!AF6:AF10),0)</f>
        <v>560</v>
      </c>
      <c r="AH11" s="50">
        <f>IFERROR(AVERAGE('Raw Data'!AG6:AG10),0)</f>
        <v>3400</v>
      </c>
      <c r="AI11" s="50">
        <f>IFERROR(AVERAGE('Raw Data'!AH6:AH10),0)</f>
        <v>514000</v>
      </c>
      <c r="AJ11" s="50">
        <f>IFERROR(AVERAGE('Raw Data'!AI6:AI10),0)</f>
        <v>222000</v>
      </c>
      <c r="AK11" s="50">
        <f>IFERROR(AVERAGE('Raw Data'!AJ6:AJ10),0)</f>
        <v>30000</v>
      </c>
      <c r="AL11" s="50">
        <f>IFERROR(AVERAGE('Raw Data'!AK6:AK10),0)</f>
        <v>6.7348636363636372</v>
      </c>
      <c r="AM11" s="50">
        <f>IFERROR(AVERAGE('Raw Data'!AL6:AL10),0)</f>
        <v>53.106000000000009</v>
      </c>
      <c r="AN11" s="50">
        <f>IFERROR(AVERAGE('Raw Data'!AM6:AM10),0)</f>
        <v>226.76923076923077</v>
      </c>
      <c r="AO11" s="50">
        <f>IFERROR(AVERAGE('Raw Data'!AN6:AN10),0)</f>
        <v>20</v>
      </c>
      <c r="AP11" s="50">
        <f>IFERROR(AVERAGE('Raw Data'!AO6:AO10),0)</f>
        <v>3.8919466666666667</v>
      </c>
      <c r="AQ11" s="50">
        <f>IFERROR(AVERAGE('Raw Data'!AP6:AP10),0)</f>
        <v>14</v>
      </c>
      <c r="AR11" s="50">
        <f>IFERROR(AVERAGE('Raw Data'!AQ6:AQ10),0)</f>
        <v>16.396000000000001</v>
      </c>
      <c r="AS11" s="50">
        <f>IFERROR(AVERAGE('Raw Data'!AR6:AR10),0)</f>
        <v>34000</v>
      </c>
      <c r="AT11" s="50">
        <f>IFERROR(AVERAGE(#REF!),0)</f>
        <v>0</v>
      </c>
      <c r="AU11" s="50">
        <f>IFERROR(AVERAGE('Raw Data'!AT6:AT10),0)</f>
        <v>1000</v>
      </c>
      <c r="AV11" s="50">
        <f>IFERROR(AVERAGE('Raw Data'!AU6:AU10),0)</f>
        <v>66000</v>
      </c>
      <c r="AW11" s="50">
        <f>IFERROR(AVERAGE('Raw Data'!AV6:AV10),0)</f>
        <v>35500</v>
      </c>
      <c r="AX11" s="50">
        <f>IFERROR(AVERAGE('Raw Data'!AW6:AW10),0)</f>
        <v>5400</v>
      </c>
      <c r="AY11" s="50">
        <f>IFERROR(AVERAGE('Raw Data'!AX6:AX10),0)</f>
        <v>522</v>
      </c>
      <c r="AZ11" s="50">
        <f>IFERROR(AVERAGE('Raw Data'!AY6:AY10),0)</f>
        <v>1135157.2</v>
      </c>
      <c r="BA11" s="102">
        <f>IFERROR(AVERAGE('Raw Data'!AZ6:AZ10),0)</f>
        <v>50000</v>
      </c>
      <c r="BB11" s="102">
        <f>IFERROR(AVERAGE('Raw Data'!BA6:BA10),0)</f>
        <v>233000</v>
      </c>
      <c r="BC11" s="102">
        <f>IFERROR(AVERAGE('Raw Data'!BB6:BB10),0)</f>
        <v>20</v>
      </c>
      <c r="BD11" s="102">
        <f>IFERROR(AVERAGE('Raw Data'!BC6:BC10),0)</f>
        <v>300000</v>
      </c>
    </row>
    <row r="12" spans="1:56" ht="15.75" customHeight="1">
      <c r="A12" s="9"/>
      <c r="B12" s="103"/>
      <c r="C12" s="104"/>
      <c r="D12" s="85"/>
      <c r="E12" s="85"/>
      <c r="F12" s="85"/>
      <c r="G12" s="139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105"/>
      <c r="BB12" s="105"/>
      <c r="BC12" s="105"/>
      <c r="BD12" s="105"/>
    </row>
    <row r="13" spans="1:56" ht="15.75" customHeight="1">
      <c r="A13" s="140"/>
      <c r="B13" s="106" t="s">
        <v>250</v>
      </c>
      <c r="C13" s="141">
        <v>3</v>
      </c>
      <c r="D13" s="108">
        <v>0</v>
      </c>
      <c r="E13" s="108">
        <v>1.2</v>
      </c>
      <c r="F13" s="108">
        <v>24</v>
      </c>
      <c r="G13" s="110">
        <f>24/3</f>
        <v>8</v>
      </c>
      <c r="H13" s="80">
        <f>24/(3*5)</f>
        <v>1.6</v>
      </c>
      <c r="I13" s="80">
        <v>24</v>
      </c>
      <c r="J13" s="80">
        <v>2</v>
      </c>
      <c r="K13" s="80">
        <v>1</v>
      </c>
      <c r="L13" s="80">
        <f>24/2</f>
        <v>12</v>
      </c>
      <c r="M13" s="80">
        <v>1</v>
      </c>
      <c r="N13" s="80">
        <v>2.4</v>
      </c>
      <c r="O13" s="80">
        <v>12</v>
      </c>
      <c r="P13" s="80">
        <v>1</v>
      </c>
      <c r="Q13" s="80">
        <v>12</v>
      </c>
      <c r="R13" s="80">
        <v>1</v>
      </c>
      <c r="S13" s="80">
        <v>1</v>
      </c>
      <c r="T13" s="80">
        <v>0</v>
      </c>
      <c r="U13" s="80">
        <v>2.2000000000000002</v>
      </c>
      <c r="V13" s="80">
        <v>1</v>
      </c>
      <c r="W13" s="80">
        <v>24</v>
      </c>
      <c r="X13" s="80">
        <v>24</v>
      </c>
      <c r="Y13" s="80">
        <v>2.4</v>
      </c>
      <c r="Z13" s="80">
        <f>24/2</f>
        <v>12</v>
      </c>
      <c r="AA13" s="80">
        <v>6</v>
      </c>
      <c r="AB13" s="80">
        <v>8</v>
      </c>
      <c r="AC13" s="80">
        <f t="shared" ref="AC13:AD13" si="2">24/4</f>
        <v>6</v>
      </c>
      <c r="AD13" s="80">
        <f t="shared" si="2"/>
        <v>6</v>
      </c>
      <c r="AE13" s="80">
        <v>1</v>
      </c>
      <c r="AF13" s="80">
        <v>24</v>
      </c>
      <c r="AG13" s="80">
        <f>24/2</f>
        <v>12</v>
      </c>
      <c r="AH13" s="80">
        <v>24</v>
      </c>
      <c r="AI13" s="80">
        <f>24/2</f>
        <v>12</v>
      </c>
      <c r="AJ13" s="80">
        <f>24/3</f>
        <v>8</v>
      </c>
      <c r="AK13" s="80">
        <v>1</v>
      </c>
      <c r="AL13" s="80">
        <v>1.2</v>
      </c>
      <c r="AM13" s="108">
        <f>24/23</f>
        <v>1.0434782608695652</v>
      </c>
      <c r="AN13" s="110">
        <v>0</v>
      </c>
      <c r="AO13" s="110">
        <v>1.1399999999999999</v>
      </c>
      <c r="AP13" s="80">
        <v>1</v>
      </c>
      <c r="AQ13" s="80">
        <v>0</v>
      </c>
      <c r="AR13" s="108">
        <f>24/24</f>
        <v>1</v>
      </c>
      <c r="AS13" s="80">
        <f>24/(5*4)</f>
        <v>1.2</v>
      </c>
      <c r="AT13" s="111">
        <f>24/6</f>
        <v>4</v>
      </c>
      <c r="AU13" s="80">
        <f>24/20</f>
        <v>1.2</v>
      </c>
      <c r="AV13" s="108">
        <v>1</v>
      </c>
      <c r="AW13" s="108">
        <v>1</v>
      </c>
      <c r="AX13" s="108">
        <v>0</v>
      </c>
      <c r="AY13" s="108">
        <v>0</v>
      </c>
      <c r="AZ13" s="108">
        <v>0</v>
      </c>
      <c r="BA13" s="112">
        <f>24/2</f>
        <v>12</v>
      </c>
      <c r="BB13" s="113">
        <v>0</v>
      </c>
      <c r="BC13" s="113">
        <f>24/22</f>
        <v>1.0909090909090908</v>
      </c>
      <c r="BD13" s="113">
        <f>24/1</f>
        <v>24</v>
      </c>
    </row>
    <row r="14" spans="1:56" ht="15.75" customHeight="1">
      <c r="A14" s="9"/>
      <c r="B14" s="103" t="s">
        <v>219</v>
      </c>
      <c r="C14" s="144">
        <f>IFERROR(IF(C13&lt;(24/Outputs!$C$5),1,C13/24*Outputs!$C$5),"N/A")</f>
        <v>1</v>
      </c>
      <c r="D14" s="110">
        <f>IFERROR(IF(D13&lt;(24/Outputs!$C$5),1,D13/24*Outputs!$C$5),"N/A")</f>
        <v>1</v>
      </c>
      <c r="E14" s="110">
        <f>IFERROR(IF(E13&lt;(24/Outputs!$C$5),1,E13/24*Outputs!$C$5),"N/A")</f>
        <v>1</v>
      </c>
      <c r="F14" s="110">
        <f>IFERROR(IF(F13&lt;(24/Outputs!$C$5),1,F13/24*Outputs!$C$5),"N/A")</f>
        <v>5</v>
      </c>
      <c r="G14" s="110">
        <f>IFERROR(IF(G13&lt;(24/Outputs!$C$5),1,G13/24*Outputs!$C$5),"N/A")</f>
        <v>1.6666666666666665</v>
      </c>
      <c r="H14" s="110">
        <f>IFERROR(IF(H13&lt;(24/Outputs!$C$5),1,H13/24*Outputs!$C$5),"N/A")</f>
        <v>1</v>
      </c>
      <c r="I14" s="110">
        <f>IFERROR(IF(I13&lt;(24/Outputs!$C$5),1,I13/24*Outputs!$C$5),"N/A")</f>
        <v>5</v>
      </c>
      <c r="J14" s="110">
        <f>IFERROR(IF(J13&lt;(24/Outputs!$C$5),1,J13/24*Outputs!$C$5),"N/A")</f>
        <v>1</v>
      </c>
      <c r="K14" s="110">
        <f>IFERROR(IF(K13&lt;(24/Outputs!$C$5),1,K13/24*Outputs!$C$5),"N/A")</f>
        <v>1</v>
      </c>
      <c r="L14" s="110">
        <f>IFERROR(IF(L13&lt;(24/Outputs!$C$5),1,L13/24*Outputs!$C$5),"N/A")</f>
        <v>2.5</v>
      </c>
      <c r="M14" s="110">
        <f>IFERROR(IF(M13&lt;(24/Outputs!$C$5),1,M13/24*Outputs!$C$5),"N/A")</f>
        <v>1</v>
      </c>
      <c r="N14" s="110">
        <f>IFERROR(IF(N13&lt;(24/Outputs!$C$5),1,N13/24*Outputs!$C$5),"N/A")</f>
        <v>1</v>
      </c>
      <c r="O14" s="110">
        <f>IFERROR(IF(O13&lt;(24/Outputs!$C$5),1,O13/24*Outputs!$C$5),"N/A")</f>
        <v>2.5</v>
      </c>
      <c r="P14" s="110">
        <f>IFERROR(IF(P13&lt;(24/Outputs!$C$5),1,P13/24*Outputs!$C$5),"N/A")</f>
        <v>1</v>
      </c>
      <c r="Q14" s="110">
        <f>IFERROR(IF(Q13&lt;(24/Outputs!$C$5),1,Q13/24*Outputs!$C$5),"N/A")</f>
        <v>2.5</v>
      </c>
      <c r="R14" s="110">
        <f>IFERROR(IF(R13&lt;(24/Outputs!$C$5),1,R13/24*Outputs!$C$5),"N/A")</f>
        <v>1</v>
      </c>
      <c r="S14" s="110">
        <f>IFERROR(IF(S13&lt;(24/Outputs!$C$5),1,S13/24*Outputs!$C$5),"N/A")</f>
        <v>1</v>
      </c>
      <c r="T14" s="110">
        <f>IFERROR(IF(T13&lt;(24/Outputs!$C$5),1,T13/24*Outputs!$C$5),"N/A")</f>
        <v>1</v>
      </c>
      <c r="U14" s="110">
        <f>IFERROR(IF(U13&lt;(24/Outputs!$C$5),1,U13/24*Outputs!$C$5),"N/A")</f>
        <v>1</v>
      </c>
      <c r="V14" s="110">
        <f>IFERROR(IF(V13&lt;(24/Outputs!$C$5),1,V13/24*Outputs!$C$5),"N/A")</f>
        <v>1</v>
      </c>
      <c r="W14" s="110">
        <f>IFERROR(IF(W13&lt;(24/Outputs!$C$5),1,W13/24*Outputs!$C$5),"N/A")</f>
        <v>5</v>
      </c>
      <c r="X14" s="110">
        <f>IFERROR(IF(X13&lt;(24/Outputs!$C$5),1,X13/24*Outputs!$C$5),"N/A")</f>
        <v>5</v>
      </c>
      <c r="Y14" s="110">
        <f>IFERROR(IF(Y13&lt;(24/Outputs!$C$5),1,Y13/24*Outputs!$C$5),"N/A")</f>
        <v>1</v>
      </c>
      <c r="Z14" s="110">
        <f>IFERROR(IF(Z13&lt;(24/Outputs!$C$5),1,Z13/24*Outputs!$C$5),"N/A")</f>
        <v>2.5</v>
      </c>
      <c r="AA14" s="110">
        <f>IFERROR(IF(AA13&lt;(24/Outputs!$C$5),1,AA13/24*Outputs!$C$5),"N/A")</f>
        <v>1.25</v>
      </c>
      <c r="AB14" s="110">
        <f>IFERROR(IF(AB13&lt;(24/Outputs!$C$5),1,AB13/24*Outputs!$C$5),"N/A")</f>
        <v>1.6666666666666665</v>
      </c>
      <c r="AC14" s="110">
        <f>IFERROR(IF(AC13&lt;(24/Outputs!$C$5),1,AC13/24*Outputs!$C$5),"N/A")</f>
        <v>1.25</v>
      </c>
      <c r="AD14" s="110">
        <f>IFERROR(IF(AD13&lt;(24/Outputs!$C$5),1,AD13/24*Outputs!$C$5),"N/A")</f>
        <v>1.25</v>
      </c>
      <c r="AE14" s="110">
        <f>IFERROR(IF(AE13&lt;(24/Outputs!$C$5),1,AE13/24*Outputs!$C$5),"N/A")</f>
        <v>1</v>
      </c>
      <c r="AF14" s="110">
        <f>IFERROR(IF(AF13&lt;(24/Outputs!$C$5),1,AF13/24*Outputs!$C$5),"N/A")</f>
        <v>5</v>
      </c>
      <c r="AG14" s="110">
        <f>IFERROR(IF(AG13&lt;(24/Outputs!$C$5),1,AG13/24*Outputs!$C$5),"N/A")</f>
        <v>2.5</v>
      </c>
      <c r="AH14" s="110">
        <f>IFERROR(IF(AH13&lt;(24/Outputs!$C$5),1,AH13/24*Outputs!$C$5),"N/A")</f>
        <v>5</v>
      </c>
      <c r="AI14" s="110">
        <f>IFERROR(IF(AI13&lt;(24/Outputs!$C$5),1,AI13/24*Outputs!$C$5),"N/A")</f>
        <v>2.5</v>
      </c>
      <c r="AJ14" s="110">
        <f>IFERROR(IF(AJ13&lt;(24/Outputs!$C$5),1,AJ13/24*Outputs!$C$5),"N/A")</f>
        <v>1.6666666666666665</v>
      </c>
      <c r="AK14" s="110">
        <f>IFERROR(IF(AK13&lt;(24/Outputs!$C$5),1,AK13/24*Outputs!$C$5),"N/A")</f>
        <v>1</v>
      </c>
      <c r="AL14" s="110">
        <f>IFERROR(IF(AL13&lt;(24/Outputs!$C$5),1,AL13/24*Outputs!$C$5),"N/A")</f>
        <v>1</v>
      </c>
      <c r="AM14" s="110">
        <f>IFERROR(IF(AM13&lt;(24/Outputs!$C$5),1,AM13/24*Outputs!$C$5),"N/A")</f>
        <v>1</v>
      </c>
      <c r="AN14" s="110">
        <f>IFERROR(IF(AN13&lt;(24/Outputs!$C$5),1,AN13/24*Outputs!$C$5),"N/A")</f>
        <v>1</v>
      </c>
      <c r="AO14" s="110">
        <f>IFERROR(IF(AO13&lt;(24/Outputs!$C$5),1,AO13/24*Outputs!$C$5),"N/A")</f>
        <v>1</v>
      </c>
      <c r="AP14" s="110">
        <f>IFERROR(IF(AP13&lt;(24/Outputs!$C$5),1,AP13/24*Outputs!$C$5),"N/A")</f>
        <v>1</v>
      </c>
      <c r="AQ14" s="110">
        <f>IFERROR(IF(AQ13&lt;(24/Outputs!$C$5),1,AQ13/24*Outputs!$C$5),"N/A")</f>
        <v>1</v>
      </c>
      <c r="AR14" s="110">
        <f>IFERROR(IF(AR13&lt;(24/Outputs!$C$5),1,AR13/24*Outputs!$C$5),"N/A")</f>
        <v>1</v>
      </c>
      <c r="AS14" s="110">
        <f>IFERROR(IF(AS13&lt;(24/Outputs!$C$5),1,AS13/24*Outputs!$C$5),"N/A")</f>
        <v>1</v>
      </c>
      <c r="AT14" s="110">
        <f>IFERROR(IF(AT13&lt;(24/Outputs!$C$5),1,AT13/24*Outputs!$C$5),"N/A")</f>
        <v>1</v>
      </c>
      <c r="AU14" s="110">
        <f>IFERROR(IF(AU13&lt;(24/Outputs!$C$5),1,AU13/24*Outputs!$C$5),"N/A")</f>
        <v>1</v>
      </c>
      <c r="AV14" s="110">
        <f>IFERROR(IF(AV13&lt;(24/Outputs!$C$5),1,AV13/24*Outputs!$C$5),"N/A")</f>
        <v>1</v>
      </c>
      <c r="AW14" s="110">
        <f>IFERROR(IF(AW13&lt;(24/Outputs!$C$5),1,AW13/24*Outputs!$C$5),"N/A")</f>
        <v>1</v>
      </c>
      <c r="AX14" s="110">
        <f>IFERROR(IF(AX13&lt;(24/Outputs!$C$5),1,AX13/24*Outputs!$C$5),"N/A")</f>
        <v>1</v>
      </c>
      <c r="AY14" s="110">
        <f>IFERROR(IF(AY13&lt;(24/Outputs!$C$5),1,AY13/24*Outputs!$C$5),"N/A")</f>
        <v>1</v>
      </c>
      <c r="AZ14" s="110">
        <f>IFERROR(IF(AZ13&lt;(24/Outputs!$C$5),1,AZ13/24*Outputs!$C$5),"N/A")</f>
        <v>1</v>
      </c>
      <c r="BA14" s="124">
        <f>IFERROR(IF(BA13&lt;(24/Outputs!$C$5),1,BA13/24*Outputs!$C$5),"N/A")</f>
        <v>2.5</v>
      </c>
      <c r="BB14" s="124">
        <f>IFERROR(IF(BB13&lt;(24/Outputs!$C$5),1,BB13/24*Outputs!$C$5),"N/A")</f>
        <v>1</v>
      </c>
      <c r="BC14" s="124">
        <f>IFERROR(IF(BC13&lt;(24/Outputs!$C$5),1,BC13/24*Outputs!$C$5),"N/A")</f>
        <v>1</v>
      </c>
      <c r="BD14" s="124">
        <f>IFERROR(IF(BD13&lt;(24/Outputs!$C$5),1,BD13/24*Outputs!$C$5),"N/A")</f>
        <v>5</v>
      </c>
    </row>
    <row r="15" spans="1:56" ht="15.75" customHeight="1">
      <c r="A15" s="9"/>
      <c r="B15" s="103" t="s">
        <v>279</v>
      </c>
      <c r="C15" s="99">
        <f>IFERROR(AVERAGE('Raw Data'!B13:B17),0)</f>
        <v>100000</v>
      </c>
      <c r="D15" s="50">
        <f>IFERROR(AVERAGE('Raw Data'!C13:C17),0)</f>
        <v>0</v>
      </c>
      <c r="E15" s="50">
        <f>IFERROR(AVERAGE('Raw Data'!D13:D17),0)</f>
        <v>7350</v>
      </c>
      <c r="F15" s="50">
        <f>IFERROR(AVERAGE('Raw Data'!E13:E17),0)</f>
        <v>5820</v>
      </c>
      <c r="G15" s="50">
        <f>IFERROR(AVERAGE('Raw Data'!F13:F17),0)</f>
        <v>30000</v>
      </c>
      <c r="H15" s="50">
        <f>IFERROR(AVERAGE('Raw Data'!G13:G17),0)</f>
        <v>392</v>
      </c>
      <c r="I15" s="50">
        <f>IFERROR(AVERAGE('Raw Data'!H13:H17),0)</f>
        <v>50000</v>
      </c>
      <c r="J15" s="50">
        <f>IFERROR(AVERAGE('Raw Data'!I13:I17),0)</f>
        <v>82000</v>
      </c>
      <c r="K15" s="50">
        <f>IFERROR(AVERAGE('Raw Data'!J13:J17),0)</f>
        <v>600000</v>
      </c>
      <c r="L15" s="50">
        <f>IFERROR(AVERAGE('Raw Data'!K13:K17),0)</f>
        <v>486000</v>
      </c>
      <c r="M15" s="50">
        <f>IFERROR(AVERAGE('Raw Data'!L13:L17),0)</f>
        <v>1000</v>
      </c>
      <c r="N15" s="50">
        <f>IFERROR(AVERAGE('Raw Data'!M13:M17),0)</f>
        <v>550000</v>
      </c>
      <c r="O15" s="50">
        <f>IFERROR(AVERAGE('Raw Data'!N13:N17),0)</f>
        <v>68000</v>
      </c>
      <c r="P15" s="50">
        <f>IFERROR(AVERAGE('Raw Data'!O13:O17),0)</f>
        <v>20445</v>
      </c>
      <c r="Q15" s="50">
        <f>IFERROR(AVERAGE('Raw Data'!P13:P17),0)</f>
        <v>1676000</v>
      </c>
      <c r="R15" s="50">
        <f>IFERROR(AVERAGE('Raw Data'!Q13:Q17),0)</f>
        <v>8000</v>
      </c>
      <c r="S15" s="50">
        <f>IFERROR(AVERAGE('Raw Data'!R13:R17),0)</f>
        <v>300000</v>
      </c>
      <c r="T15" s="50">
        <f>IFERROR(AVERAGE('Raw Data'!S13:S17),0)</f>
        <v>0</v>
      </c>
      <c r="U15" s="50">
        <f>IFERROR(AVERAGE('Raw Data'!T13:T17),0)</f>
        <v>193750</v>
      </c>
      <c r="V15" s="50">
        <f>IFERROR(AVERAGE('Raw Data'!U13:U17),0)</f>
        <v>2000</v>
      </c>
      <c r="W15" s="50">
        <f>IFERROR(AVERAGE('Raw Data'!V13:V17),0)</f>
        <v>982400</v>
      </c>
      <c r="X15" s="50">
        <f>IFERROR(AVERAGE('Raw Data'!W13:W17),0)</f>
        <v>500</v>
      </c>
      <c r="Y15" s="50">
        <f>IFERROR(AVERAGE('Raw Data'!X13:X17),0)</f>
        <v>1618750</v>
      </c>
      <c r="Z15" s="50">
        <f>IFERROR(AVERAGE('Raw Data'!Y13:Y17),0)</f>
        <v>7500</v>
      </c>
      <c r="AA15" s="50">
        <f>IFERROR(AVERAGE('Raw Data'!Z13:Z17),0)</f>
        <v>60</v>
      </c>
      <c r="AB15" s="50">
        <f>IFERROR(AVERAGE('Raw Data'!AA13:AA17),0)</f>
        <v>120000</v>
      </c>
      <c r="AC15" s="50">
        <f>IFERROR(AVERAGE('Raw Data'!AB13:AB17),0)</f>
        <v>200</v>
      </c>
      <c r="AD15" s="50">
        <f>IFERROR(AVERAGE('Raw Data'!AC13:AC17),0)</f>
        <v>4140</v>
      </c>
      <c r="AE15" s="50">
        <f>IFERROR(AVERAGE('Raw Data'!AD13:AD17),0)</f>
        <v>2000</v>
      </c>
      <c r="AF15" s="50">
        <f>IFERROR(AVERAGE('Raw Data'!AE13:AE17),0)</f>
        <v>1415000</v>
      </c>
      <c r="AG15" s="50">
        <f>IFERROR(AVERAGE('Raw Data'!AF13:AF17),0)</f>
        <v>500</v>
      </c>
      <c r="AH15" s="50">
        <f>IFERROR(AVERAGE('Raw Data'!AG13:AG17),0)</f>
        <v>100</v>
      </c>
      <c r="AI15" s="50">
        <f>IFERROR(AVERAGE('Raw Data'!AH13:AH17),0)</f>
        <v>150000</v>
      </c>
      <c r="AJ15" s="50">
        <f>IFERROR(AVERAGE('Raw Data'!AI13:AI17),0)</f>
        <v>38000</v>
      </c>
      <c r="AK15" s="50">
        <f>IFERROR(AVERAGE('Raw Data'!AJ13:AJ17),0)</f>
        <v>268000</v>
      </c>
      <c r="AL15" s="50">
        <f>IFERROR(AVERAGE('Raw Data'!AK13:AK17),0)</f>
        <v>16</v>
      </c>
      <c r="AM15" s="50">
        <f>IFERROR(AVERAGE('Raw Data'!AL13:AL17),0)</f>
        <v>22.994</v>
      </c>
      <c r="AN15" s="50">
        <f>IFERROR(AVERAGE('Raw Data'!AM13:AM17),0)</f>
        <v>0</v>
      </c>
      <c r="AO15" s="50">
        <f>IFERROR(AVERAGE('Raw Data'!AN13:AN17),0)</f>
        <v>1.37225</v>
      </c>
      <c r="AP15" s="50">
        <f>IFERROR(AVERAGE('Raw Data'!AO13:AO17),0)</f>
        <v>7</v>
      </c>
      <c r="AQ15" s="50">
        <f>IFERROR(AVERAGE('Raw Data'!AP13:AP17),0)</f>
        <v>0</v>
      </c>
      <c r="AR15" s="50">
        <f>IFERROR(AVERAGE('Raw Data'!AQ13:AQ17),0)</f>
        <v>22.990000000000002</v>
      </c>
      <c r="AS15" s="50">
        <f>IFERROR(AVERAGE('Raw Data'!AR13:AR17),0)</f>
        <v>325000</v>
      </c>
      <c r="AT15" s="50">
        <f>IFERROR(AVERAGE('Raw Data'!AS6:AS10),0)</f>
        <v>366045</v>
      </c>
      <c r="AU15" s="50">
        <f>IFERROR(AVERAGE('Raw Data'!AT13:AT17),0)</f>
        <v>7440</v>
      </c>
      <c r="AV15" s="50">
        <f>IFERROR(AVERAGE('Raw Data'!AU13:AU17),0)</f>
        <v>4090000</v>
      </c>
      <c r="AW15" s="50">
        <f>IFERROR(AVERAGE('Raw Data'!AV13:AV17),0)</f>
        <v>22400</v>
      </c>
      <c r="AX15" s="50">
        <f>IFERROR(AVERAGE('Raw Data'!AW13:AW17),0)</f>
        <v>0</v>
      </c>
      <c r="AY15" s="50">
        <f>IFERROR(AVERAGE('Raw Data'!AX13:AX17),0)</f>
        <v>0</v>
      </c>
      <c r="AZ15" s="50">
        <f>IFERROR(AVERAGE('Raw Data'!AY13:AY17),0)</f>
        <v>330000</v>
      </c>
      <c r="BA15" s="102">
        <f>IFERROR(AVERAGE('Raw Data'!AZ13:AZ17),0)</f>
        <v>25000</v>
      </c>
      <c r="BB15" s="102">
        <f>IFERROR(AVERAGE('Raw Data'!BA13:BA17),0)</f>
        <v>0</v>
      </c>
      <c r="BC15" s="102">
        <f>IFERROR(AVERAGE('Raw Data'!BB13:BB17),0)</f>
        <v>160</v>
      </c>
      <c r="BD15" s="102">
        <f>IFERROR(AVERAGE('Raw Data'!BC13:BC17),0)</f>
        <v>89107.142857142855</v>
      </c>
    </row>
    <row r="16" spans="1:56" ht="15.75" customHeight="1">
      <c r="A16" s="9"/>
      <c r="B16" s="103"/>
      <c r="C16" s="104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105"/>
      <c r="BB16" s="105"/>
      <c r="BC16" s="105"/>
      <c r="BD16" s="105"/>
    </row>
    <row r="17" spans="1:56" ht="15.75" customHeight="1">
      <c r="A17" s="140"/>
      <c r="B17" s="106" t="s">
        <v>340</v>
      </c>
      <c r="C17" s="141">
        <v>4</v>
      </c>
      <c r="D17" s="108">
        <v>0</v>
      </c>
      <c r="E17" s="108">
        <v>6</v>
      </c>
      <c r="F17" s="108">
        <v>0</v>
      </c>
      <c r="G17" s="108">
        <v>0</v>
      </c>
      <c r="H17" s="80">
        <f>24/3</f>
        <v>8</v>
      </c>
      <c r="I17" s="80">
        <v>0</v>
      </c>
      <c r="J17" s="80">
        <v>2</v>
      </c>
      <c r="K17" s="80">
        <v>24</v>
      </c>
      <c r="L17" s="80">
        <v>0</v>
      </c>
      <c r="M17" s="80">
        <f>24/(3*5)</f>
        <v>1.6</v>
      </c>
      <c r="N17" s="80">
        <v>12</v>
      </c>
      <c r="O17" s="80">
        <v>0</v>
      </c>
      <c r="P17" s="80">
        <f>24/(5*3)</f>
        <v>1.6</v>
      </c>
      <c r="Q17" s="80">
        <v>0</v>
      </c>
      <c r="R17" s="80">
        <f>24/4</f>
        <v>6</v>
      </c>
      <c r="S17" s="80">
        <v>2</v>
      </c>
      <c r="T17" s="80">
        <v>0</v>
      </c>
      <c r="U17" s="80">
        <v>6</v>
      </c>
      <c r="V17" s="80">
        <f>24/4</f>
        <v>6</v>
      </c>
      <c r="W17" s="80">
        <v>0</v>
      </c>
      <c r="X17" s="80">
        <v>0</v>
      </c>
      <c r="Y17" s="80">
        <f>24/2</f>
        <v>12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f>24/(2*5)</f>
        <v>2.4</v>
      </c>
      <c r="AF17" s="80">
        <v>0</v>
      </c>
      <c r="AG17" s="80">
        <v>0</v>
      </c>
      <c r="AH17" s="80">
        <v>0</v>
      </c>
      <c r="AI17" s="80">
        <v>0</v>
      </c>
      <c r="AJ17" s="80">
        <f>(24*60)/15</f>
        <v>96</v>
      </c>
      <c r="AK17" s="80">
        <v>24</v>
      </c>
      <c r="AL17" s="80">
        <v>0</v>
      </c>
      <c r="AM17" s="80">
        <v>0</v>
      </c>
      <c r="AN17" s="110">
        <v>0</v>
      </c>
      <c r="AO17" s="110">
        <v>0</v>
      </c>
      <c r="AP17" s="80">
        <v>24</v>
      </c>
      <c r="AQ17" s="80">
        <v>0</v>
      </c>
      <c r="AR17" s="108">
        <v>0</v>
      </c>
      <c r="AS17" s="80">
        <f>24/4</f>
        <v>6</v>
      </c>
      <c r="AT17" s="111">
        <v>0</v>
      </c>
      <c r="AU17" s="80">
        <f>24/4</f>
        <v>6</v>
      </c>
      <c r="AV17" s="108">
        <v>24</v>
      </c>
      <c r="AW17" s="108">
        <v>24</v>
      </c>
      <c r="AX17" s="108">
        <v>0</v>
      </c>
      <c r="AY17" s="108">
        <v>0</v>
      </c>
      <c r="AZ17" s="108">
        <v>0</v>
      </c>
      <c r="BA17" s="112">
        <v>0</v>
      </c>
      <c r="BB17" s="112">
        <v>0</v>
      </c>
      <c r="BC17" s="112">
        <f>24/4</f>
        <v>6</v>
      </c>
      <c r="BD17" s="113">
        <v>0</v>
      </c>
    </row>
    <row r="18" spans="1:56" ht="15.75" customHeight="1">
      <c r="A18" s="9"/>
      <c r="B18" s="103" t="s">
        <v>219</v>
      </c>
      <c r="C18" s="144">
        <f>IFERROR(IF(C17&lt;(24/Outputs!$C$5),1,C17/24*Outputs!$C$5),"N/A")</f>
        <v>1</v>
      </c>
      <c r="D18" s="110">
        <f>IFERROR(IF(D17&lt;(24/Outputs!$C$5),1,D17/24*Outputs!$C$5),"N/A")</f>
        <v>1</v>
      </c>
      <c r="E18" s="110">
        <f>IFERROR(IF(E17&lt;(24/Outputs!$C$5),1,E17/24*Outputs!$C$5),"N/A")</f>
        <v>1.25</v>
      </c>
      <c r="F18" s="110">
        <f>IFERROR(IF(F17&lt;(24/Outputs!$C$5),1,F17/24*Outputs!$C$5),"N/A")</f>
        <v>1</v>
      </c>
      <c r="G18" s="110">
        <f>IFERROR(IF(G17&lt;(24/Outputs!$C$5),1,G17/24*Outputs!$C$5),"N/A")</f>
        <v>1</v>
      </c>
      <c r="H18" s="110">
        <f>IFERROR(IF(H17&lt;(24/Outputs!$C$5),1,H17/24*Outputs!$C$5),"N/A")</f>
        <v>1.6666666666666665</v>
      </c>
      <c r="I18" s="110">
        <f>IFERROR(IF(I17&lt;(24/Outputs!$C$5),1,I17/24*Outputs!$C$5),"N/A")</f>
        <v>1</v>
      </c>
      <c r="J18" s="110">
        <f>IFERROR(IF(J17&lt;(24/Outputs!$C$5),1,J17/24*Outputs!$C$5),"N/A")</f>
        <v>1</v>
      </c>
      <c r="K18" s="110">
        <f>IFERROR(IF(K17&lt;(24/Outputs!$C$5),1,K17/24*Outputs!$C$5),"N/A")</f>
        <v>5</v>
      </c>
      <c r="L18" s="110">
        <f>IFERROR(IF(L17&lt;(24/Outputs!$C$5),1,L17/24*Outputs!$C$5),"N/A")</f>
        <v>1</v>
      </c>
      <c r="M18" s="110">
        <f>IFERROR(IF(M17&lt;(24/Outputs!$C$5),1,M17/24*Outputs!$C$5),"N/A")</f>
        <v>1</v>
      </c>
      <c r="N18" s="110">
        <f>IFERROR(IF(N17&lt;(24/Outputs!$C$5),1,N17/24*Outputs!$C$5),"N/A")</f>
        <v>2.5</v>
      </c>
      <c r="O18" s="110">
        <f>IFERROR(IF(O17&lt;(24/Outputs!$C$5),1,O17/24*Outputs!$C$5),"N/A")</f>
        <v>1</v>
      </c>
      <c r="P18" s="110">
        <f>IFERROR(IF(P17&lt;(24/Outputs!$C$5),1,P17/24*Outputs!$C$5),"N/A")</f>
        <v>1</v>
      </c>
      <c r="Q18" s="110">
        <f>IFERROR(IF(Q17&lt;(24/Outputs!$C$5),1,Q17/24*Outputs!$C$5),"N/A")</f>
        <v>1</v>
      </c>
      <c r="R18" s="110">
        <f>IFERROR(IF(R17&lt;(24/Outputs!$C$5),1,R17/24*Outputs!$C$5),"N/A")</f>
        <v>1.25</v>
      </c>
      <c r="S18" s="110">
        <f>IFERROR(IF(S17&lt;(24/Outputs!$C$5),1,S17/24*Outputs!$C$5),"N/A")</f>
        <v>1</v>
      </c>
      <c r="T18" s="110">
        <f>IFERROR(IF(T17&lt;(24/Outputs!$C$5),1,T17/24*Outputs!$C$5),"N/A")</f>
        <v>1</v>
      </c>
      <c r="U18" s="110">
        <f>IFERROR(IF(U17&lt;(24/Outputs!$C$5),1,U17/24*Outputs!$C$5),"N/A")</f>
        <v>1.25</v>
      </c>
      <c r="V18" s="110">
        <f>IFERROR(IF(V17&lt;(24/Outputs!$C$5),1,V17/24*Outputs!$C$5),"N/A")</f>
        <v>1.25</v>
      </c>
      <c r="W18" s="110">
        <f>IFERROR(IF(W17&lt;(24/Outputs!$C$5),1,W17/24*Outputs!$C$5),"N/A")</f>
        <v>1</v>
      </c>
      <c r="X18" s="110">
        <f>IFERROR(IF(X17&lt;(24/Outputs!$C$5),1,X17/24*Outputs!$C$5),"N/A")</f>
        <v>1</v>
      </c>
      <c r="Y18" s="110">
        <f>IFERROR(IF(Y17&lt;(24/Outputs!$C$5),1,Y17/24*Outputs!$C$5),"N/A")</f>
        <v>2.5</v>
      </c>
      <c r="Z18" s="110">
        <f>IFERROR(IF(Z17&lt;(24/Outputs!$C$5),1,Z17/24*Outputs!$C$5),"N/A")</f>
        <v>1</v>
      </c>
      <c r="AA18" s="110">
        <f>IFERROR(IF(AA17&lt;(24/Outputs!$C$5),1,AA17/24*Outputs!$C$5),"N/A")</f>
        <v>1</v>
      </c>
      <c r="AB18" s="110">
        <f>IFERROR(IF(AB17&lt;(24/Outputs!$C$5),1,AB17/24*Outputs!$C$5),"N/A")</f>
        <v>1</v>
      </c>
      <c r="AC18" s="110">
        <f>IFERROR(IF(AC17&lt;(24/Outputs!$C$5),1,AC17/24*Outputs!$C$5),"N/A")</f>
        <v>1</v>
      </c>
      <c r="AD18" s="110">
        <f>IFERROR(IF(AD17&lt;(24/Outputs!$C$5),1,AD17/24*Outputs!$C$5),"N/A")</f>
        <v>1</v>
      </c>
      <c r="AE18" s="110">
        <f>IFERROR(IF(AE17&lt;(24/Outputs!$C$5),1,AE17/24*Outputs!$C$5),"N/A")</f>
        <v>1</v>
      </c>
      <c r="AF18" s="110">
        <f>IFERROR(IF(AF17&lt;(24/Outputs!$C$5),1,AF17/24*Outputs!$C$5),"N/A")</f>
        <v>1</v>
      </c>
      <c r="AG18" s="110">
        <f>IFERROR(IF(AG17&lt;(24/Outputs!$C$5),1,AG17/24*Outputs!$C$5),"N/A")</f>
        <v>1</v>
      </c>
      <c r="AH18" s="110">
        <f>IFERROR(IF(AH17&lt;(24/Outputs!$C$5),1,AH17/24*Outputs!$C$5),"N/A")</f>
        <v>1</v>
      </c>
      <c r="AI18" s="110">
        <f>IFERROR(IF(AI17&lt;(24/Outputs!$C$5),1,AI17/24*Outputs!$C$5),"N/A")</f>
        <v>1</v>
      </c>
      <c r="AJ18" s="110">
        <f>IFERROR(IF(AJ17&lt;(24/Outputs!$C$5),1,AJ17/24*Outputs!$C$5),"N/A")</f>
        <v>20</v>
      </c>
      <c r="AK18" s="110">
        <f>IFERROR(IF(AK17&lt;(24/Outputs!$C$5),1,AK17/24*Outputs!$C$5),"N/A")</f>
        <v>5</v>
      </c>
      <c r="AL18" s="110">
        <f>IFERROR(IF(AL17&lt;(24/Outputs!$C$5),1,AL17/24*Outputs!$C$5),"N/A")</f>
        <v>1</v>
      </c>
      <c r="AM18" s="110">
        <f>IFERROR(IF(AM17&lt;(24/Outputs!$C$5),1,AM17/24*Outputs!$C$5),"N/A")</f>
        <v>1</v>
      </c>
      <c r="AN18" s="110">
        <f>IFERROR(IF(AN17&lt;(24/Outputs!$C$5),1,AN17/24*Outputs!$C$5),"N/A")</f>
        <v>1</v>
      </c>
      <c r="AO18" s="110">
        <f>IFERROR(IF(AO17&lt;(24/Outputs!$C$5),1,AO17/24*Outputs!$C$5),"N/A")</f>
        <v>1</v>
      </c>
      <c r="AP18" s="110">
        <f>IFERROR(IF(AP17&lt;(24/Outputs!$C$5),1,AP17/24*Outputs!$C$5),"N/A")</f>
        <v>5</v>
      </c>
      <c r="AQ18" s="110">
        <f>IFERROR(IF(AQ17&lt;(24/Outputs!$C$5),1,AQ17/24*Outputs!$C$5),"N/A")</f>
        <v>1</v>
      </c>
      <c r="AR18" s="110">
        <f>IFERROR(IF(AR17&lt;(24/Outputs!$C$5),1,AR17/24*Outputs!$C$5),"N/A")</f>
        <v>1</v>
      </c>
      <c r="AS18" s="110">
        <f>IFERROR(IF(AS17&lt;(24/Outputs!$C$5),1,AS17/24*Outputs!$C$5),"N/A")</f>
        <v>1.25</v>
      </c>
      <c r="AT18" s="110">
        <f>IFERROR(IF(AT17&lt;(24/Outputs!$C$5),1,AT17/24*Outputs!$C$5),"N/A")</f>
        <v>1</v>
      </c>
      <c r="AU18" s="110">
        <f>IFERROR(IF(AU17&lt;(24/Outputs!$C$5),1,AU17/24*Outputs!$C$5),"N/A")</f>
        <v>1.25</v>
      </c>
      <c r="AV18" s="110">
        <f>IFERROR(IF(AV17&lt;(24/Outputs!$C$5),1,AV17/24*Outputs!$C$5),"N/A")</f>
        <v>5</v>
      </c>
      <c r="AW18" s="110">
        <f>IFERROR(IF(AW17&lt;(24/Outputs!$C$5),1,AW17/24*Outputs!$C$5),"N/A")</f>
        <v>5</v>
      </c>
      <c r="AX18" s="110">
        <f>IFERROR(IF(AX17&lt;(24/Outputs!$C$5),1,AX17/24*Outputs!$C$5),"N/A")</f>
        <v>1</v>
      </c>
      <c r="AY18" s="110">
        <f>IFERROR(IF(AY17&lt;(24/Outputs!$C$5),1,AY17/24*Outputs!$C$5),"N/A")</f>
        <v>1</v>
      </c>
      <c r="AZ18" s="110">
        <f>IFERROR(IF(AZ17&lt;(24/Outputs!$C$5),1,AZ17/24*Outputs!$C$5),"N/A")</f>
        <v>1</v>
      </c>
      <c r="BA18" s="124">
        <f>IFERROR(IF(BA17&lt;(24/Outputs!$C$5),1,BA17/24*Outputs!$C$5),"N/A")</f>
        <v>1</v>
      </c>
      <c r="BB18" s="124">
        <f>IFERROR(IF(BB17&lt;(24/Outputs!$C$5),1,BB17/24*Outputs!$C$5),"N/A")</f>
        <v>1</v>
      </c>
      <c r="BC18" s="124">
        <f>IFERROR(IF(BC17&lt;(24/Outputs!$C$5),1,BC17/24*Outputs!$C$5),"N/A")</f>
        <v>1.25</v>
      </c>
      <c r="BD18" s="124">
        <f>IFERROR(IF(BD17&lt;(24/Outputs!$C$5),1,BD17/24*Outputs!$C$5),"N/A")</f>
        <v>1</v>
      </c>
    </row>
    <row r="19" spans="1:56" ht="15.75" customHeight="1">
      <c r="A19" s="9"/>
      <c r="B19" s="103" t="s">
        <v>341</v>
      </c>
      <c r="C19" s="99">
        <f>IFERROR(AVERAGE('Raw Data'!B20:B24),0)</f>
        <v>429565.21739130432</v>
      </c>
      <c r="D19" s="50">
        <f>IFERROR(AVERAGE('Raw Data'!C20:C24),0)</f>
        <v>0</v>
      </c>
      <c r="E19" s="50">
        <f>IFERROR(AVERAGE('Raw Data'!D20:D24),0)</f>
        <v>2500</v>
      </c>
      <c r="F19" s="50">
        <f>IFERROR(AVERAGE('Raw Data'!E20:E24),0)</f>
        <v>0</v>
      </c>
      <c r="G19" s="50">
        <f>IFERROR(AVERAGE('Raw Data'!F20:F24),0)</f>
        <v>0</v>
      </c>
      <c r="H19" s="50">
        <f>IFERROR(AVERAGE('Raw Data'!G20:G24),0)</f>
        <v>140</v>
      </c>
      <c r="I19" s="50">
        <f>IFERROR(AVERAGE('Raw Data'!H20:H24),0)</f>
        <v>0</v>
      </c>
      <c r="J19" s="50">
        <f>IFERROR(AVERAGE('Raw Data'!I20:I24),0)</f>
        <v>484000</v>
      </c>
      <c r="K19" s="50">
        <f>IFERROR(AVERAGE('Raw Data'!J20:J24),0)</f>
        <v>1200000</v>
      </c>
      <c r="L19" s="50">
        <f>IFERROR(AVERAGE('Raw Data'!K20:K24),0)</f>
        <v>0</v>
      </c>
      <c r="M19" s="50">
        <f>IFERROR(AVERAGE('Raw Data'!L20:L24),0)</f>
        <v>616</v>
      </c>
      <c r="N19" s="50">
        <f>IFERROR(AVERAGE('Raw Data'!M20:M24),0)</f>
        <v>250000</v>
      </c>
      <c r="O19" s="50">
        <f>IFERROR(AVERAGE('Raw Data'!N20:N24),0)</f>
        <v>0</v>
      </c>
      <c r="P19" s="50">
        <f>IFERROR(AVERAGE('Raw Data'!O20:O24),0)</f>
        <v>6720</v>
      </c>
      <c r="Q19" s="50">
        <f>IFERROR(AVERAGE('Raw Data'!P20:P24),0)</f>
        <v>2500000</v>
      </c>
      <c r="R19" s="50">
        <f>IFERROR(AVERAGE('Raw Data'!Q20:Q24),0)</f>
        <v>0</v>
      </c>
      <c r="S19" s="50">
        <f>IFERROR(AVERAGE('Raw Data'!R20:R24),0)</f>
        <v>712857</v>
      </c>
      <c r="T19" s="50">
        <f>IFERROR(AVERAGE('Raw Data'!S20:S24),0)</f>
        <v>0</v>
      </c>
      <c r="U19" s="50">
        <f>IFERROR(AVERAGE('Raw Data'!T20:T24),0)</f>
        <v>87750</v>
      </c>
      <c r="V19" s="50">
        <f>IFERROR(AVERAGE('Raw Data'!U20:U24),0)</f>
        <v>33000</v>
      </c>
      <c r="W19" s="50">
        <f>IFERROR(AVERAGE('Raw Data'!V20:V24),0)</f>
        <v>0</v>
      </c>
      <c r="X19" s="50">
        <f>IFERROR(AVERAGE('Raw Data'!W20:W24),0)</f>
        <v>0</v>
      </c>
      <c r="Y19" s="50">
        <f>IFERROR(AVERAGE('Raw Data'!X20:X24),0)</f>
        <v>400000</v>
      </c>
      <c r="Z19" s="50">
        <f>IFERROR(AVERAGE('Raw Data'!Y20:Y24),0)</f>
        <v>0</v>
      </c>
      <c r="AA19" s="50">
        <f>IFERROR(AVERAGE('Raw Data'!Z20:Z24),0)</f>
        <v>0</v>
      </c>
      <c r="AB19" s="50">
        <f>IFERROR(AVERAGE('Raw Data'!AA20:AA24),0)</f>
        <v>0</v>
      </c>
      <c r="AC19" s="50">
        <f>IFERROR(AVERAGE('Raw Data'!AB20:AB24),0)</f>
        <v>0</v>
      </c>
      <c r="AD19" s="50">
        <f>IFERROR(AVERAGE('Raw Data'!AC20:AC24),0)</f>
        <v>0</v>
      </c>
      <c r="AE19" s="50">
        <f>IFERROR(AVERAGE('Raw Data'!AD20:AD24),0)</f>
        <v>3480</v>
      </c>
      <c r="AF19" s="50">
        <f>IFERROR(AVERAGE('Raw Data'!AE20:AE24),0)</f>
        <v>0</v>
      </c>
      <c r="AG19" s="50">
        <f>IFERROR(AVERAGE('Raw Data'!AF20:AF24),0)</f>
        <v>0</v>
      </c>
      <c r="AH19" s="50">
        <f>IFERROR(AVERAGE('Raw Data'!AG20:AG24),0)</f>
        <v>0</v>
      </c>
      <c r="AI19" s="50">
        <f>IFERROR(AVERAGE('Raw Data'!AH20:AH24),0)</f>
        <v>0</v>
      </c>
      <c r="AJ19" s="50">
        <f>IFERROR(AVERAGE('Raw Data'!AI20:AI24),0)</f>
        <v>38400</v>
      </c>
      <c r="AK19" s="50">
        <f>IFERROR(AVERAGE('Raw Data'!AJ20:AJ24),0)</f>
        <v>20000</v>
      </c>
      <c r="AL19" s="50">
        <f>IFERROR(AVERAGE('Raw Data'!AK20:AK24),0)</f>
        <v>0</v>
      </c>
      <c r="AM19" s="50">
        <f>IFERROR(AVERAGE('Raw Data'!AL20:AL24),0)</f>
        <v>0</v>
      </c>
      <c r="AN19" s="50">
        <f>IFERROR(AVERAGE('Raw Data'!AM20:AM24),0)</f>
        <v>0</v>
      </c>
      <c r="AO19" s="50">
        <f>IFERROR(AVERAGE('Raw Data'!AN20:AN24),0)</f>
        <v>0</v>
      </c>
      <c r="AP19" s="50">
        <f>IFERROR(AVERAGE('Raw Data'!AO20:AO24),0)</f>
        <v>4</v>
      </c>
      <c r="AQ19" s="50">
        <f>IFERROR(AVERAGE('Raw Data'!AP20:AP24),0)</f>
        <v>0</v>
      </c>
      <c r="AR19" s="50">
        <f>IFERROR(AVERAGE('Raw Data'!AQ20:AQ24),0)</f>
        <v>0</v>
      </c>
      <c r="AS19" s="50">
        <f>IFERROR(AVERAGE('Raw Data'!AR20:AR24),0)</f>
        <v>50000</v>
      </c>
      <c r="AT19" s="50">
        <f>IFERROR(AVERAGE('Raw Data'!AS20:AS24),0)</f>
        <v>0</v>
      </c>
      <c r="AU19" s="50">
        <f>IFERROR(AVERAGE('Raw Data'!AT20:AT24),0)</f>
        <v>3300</v>
      </c>
      <c r="AV19" s="50">
        <f>IFERROR(AVERAGE('Raw Data'!AU20:AU24),0)</f>
        <v>92200</v>
      </c>
      <c r="AW19" s="50">
        <f>IFERROR(AVERAGE('Raw Data'!AV20:AV24),0)</f>
        <v>5000</v>
      </c>
      <c r="AX19" s="50">
        <f>IFERROR(AVERAGE('Raw Data'!AW20:AW24),0)</f>
        <v>0</v>
      </c>
      <c r="AY19" s="50">
        <f>IFERROR(AVERAGE('Raw Data'!AX20:AX24),0)</f>
        <v>0</v>
      </c>
      <c r="AZ19" s="50">
        <f>IFERROR(AVERAGE('Raw Data'!AY20:AY24),0)</f>
        <v>0</v>
      </c>
      <c r="BA19" s="102">
        <f>IFERROR(AVERAGE('Raw Data'!AZ20:AZ24),0)</f>
        <v>0</v>
      </c>
      <c r="BB19" s="102">
        <f>IFERROR(AVERAGE('Raw Data'!BA20:BA24),0)</f>
        <v>0</v>
      </c>
      <c r="BC19" s="102">
        <f>IFERROR(AVERAGE('Raw Data'!BB20:BB24),0)</f>
        <v>124.75</v>
      </c>
      <c r="BD19" s="102">
        <f>IFERROR(AVERAGE('Raw Data'!BC20:BC24),0)</f>
        <v>0</v>
      </c>
    </row>
    <row r="20" spans="1:56" ht="15.75" customHeight="1">
      <c r="A20" s="9"/>
      <c r="B20" s="103"/>
      <c r="C20" s="10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105"/>
      <c r="BB20" s="105"/>
      <c r="BC20" s="105"/>
      <c r="BD20" s="105"/>
    </row>
    <row r="21" spans="1:56" ht="15.75" customHeight="1">
      <c r="A21" s="140"/>
      <c r="B21" s="106" t="s">
        <v>342</v>
      </c>
      <c r="C21" s="141">
        <v>96</v>
      </c>
      <c r="D21" s="108">
        <v>0</v>
      </c>
      <c r="E21" s="108">
        <v>48</v>
      </c>
      <c r="F21" s="108">
        <v>0</v>
      </c>
      <c r="G21" s="108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f>24/3</f>
        <v>8</v>
      </c>
      <c r="N21" s="80">
        <v>0</v>
      </c>
      <c r="O21" s="80">
        <v>0</v>
      </c>
      <c r="P21" s="80">
        <f>24/3</f>
        <v>8</v>
      </c>
      <c r="Q21" s="80">
        <v>0</v>
      </c>
      <c r="R21" s="80">
        <v>0</v>
      </c>
      <c r="S21" s="80">
        <v>12</v>
      </c>
      <c r="T21" s="80">
        <v>0</v>
      </c>
      <c r="U21" s="80">
        <v>48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12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110">
        <v>0</v>
      </c>
      <c r="AO21" s="110">
        <v>0</v>
      </c>
      <c r="AP21" s="80">
        <v>0</v>
      </c>
      <c r="AQ21" s="80">
        <v>0</v>
      </c>
      <c r="AR21" s="108">
        <v>0</v>
      </c>
      <c r="AS21" s="80">
        <v>0</v>
      </c>
      <c r="AT21" s="111">
        <v>0</v>
      </c>
      <c r="AU21" s="80">
        <v>0</v>
      </c>
      <c r="AV21" s="108">
        <v>0</v>
      </c>
      <c r="AW21" s="108">
        <v>0</v>
      </c>
      <c r="AX21" s="108">
        <v>0</v>
      </c>
      <c r="AY21" s="108">
        <v>0</v>
      </c>
      <c r="AZ21" s="108">
        <v>0</v>
      </c>
      <c r="BA21" s="112">
        <v>0</v>
      </c>
      <c r="BB21" s="112">
        <v>0</v>
      </c>
      <c r="BC21" s="112">
        <v>0</v>
      </c>
      <c r="BD21" s="112">
        <v>0</v>
      </c>
    </row>
    <row r="22" spans="1:56" ht="15.75" customHeight="1">
      <c r="A22" s="9"/>
      <c r="B22" s="103" t="s">
        <v>219</v>
      </c>
      <c r="C22" s="144">
        <f>IFERROR(IF(C21&lt;(24/Outputs!$C$5),1,C21/24*Outputs!$C$5),"N/A")</f>
        <v>20</v>
      </c>
      <c r="D22" s="110">
        <f>IFERROR(IF(D21&lt;(24/Outputs!$C$5),1,D21/24*Outputs!$C$5),"N/A")</f>
        <v>1</v>
      </c>
      <c r="E22" s="110">
        <f>IFERROR(IF(E21&lt;(24/Outputs!$C$5),1,E21/24*Outputs!$C$5),"N/A")</f>
        <v>10</v>
      </c>
      <c r="F22" s="110">
        <f>IFERROR(IF(F21&lt;(24/Outputs!$C$5),1,F21/24*Outputs!$C$5),"N/A")</f>
        <v>1</v>
      </c>
      <c r="G22" s="110">
        <f>IFERROR(IF(G21&lt;(24/Outputs!$C$5),1,G21/24*Outputs!$C$5),"N/A")</f>
        <v>1</v>
      </c>
      <c r="H22" s="110">
        <f>IFERROR(IF(H21&lt;(24/Outputs!$C$5),1,H21/24*Outputs!$C$5),"N/A")</f>
        <v>1</v>
      </c>
      <c r="I22" s="110">
        <f>IFERROR(IF(I21&lt;(24/Outputs!$C$5),1,I21/24*Outputs!$C$5),"N/A")</f>
        <v>1</v>
      </c>
      <c r="J22" s="110">
        <f>IFERROR(IF(J21&lt;(24/Outputs!$C$5),1,J21/24*Outputs!$C$5),"N/A")</f>
        <v>1</v>
      </c>
      <c r="K22" s="110">
        <f>IFERROR(IF(K21&lt;(24/Outputs!$C$5),1,K21/24*Outputs!$C$5),"N/A")</f>
        <v>1</v>
      </c>
      <c r="L22" s="110">
        <f>IFERROR(IF(L21&lt;(24/Outputs!$C$5),1,L21/24*Outputs!$C$5),"N/A")</f>
        <v>1</v>
      </c>
      <c r="M22" s="110">
        <f>IFERROR(IF(M21&lt;(24/Outputs!$C$5),1,M21/24*Outputs!$C$5),"N/A")</f>
        <v>1.6666666666666665</v>
      </c>
      <c r="N22" s="110">
        <f>IFERROR(IF(N21&lt;(24/Outputs!$C$5),1,N21/24*Outputs!$C$5),"N/A")</f>
        <v>1</v>
      </c>
      <c r="O22" s="110">
        <f>IFERROR(IF(O21&lt;(24/Outputs!$C$5),1,O21/24*Outputs!$C$5),"N/A")</f>
        <v>1</v>
      </c>
      <c r="P22" s="110">
        <f>IFERROR(IF(P21&lt;(24/Outputs!$C$5),1,P21/24*Outputs!$C$5),"N/A")</f>
        <v>1.6666666666666665</v>
      </c>
      <c r="Q22" s="110">
        <f>IFERROR(IF(Q21&lt;(24/Outputs!$C$5),1,Q21/24*Outputs!$C$5),"N/A")</f>
        <v>1</v>
      </c>
      <c r="R22" s="110">
        <f>IFERROR(IF(R21&lt;(24/Outputs!$C$5),1,R21/24*Outputs!$C$5),"N/A")</f>
        <v>1</v>
      </c>
      <c r="S22" s="110">
        <f>IFERROR(IF(S21&lt;(24/Outputs!$C$5),1,S21/24*Outputs!$C$5),"N/A")</f>
        <v>2.5</v>
      </c>
      <c r="T22" s="110">
        <f>IFERROR(IF(T21&lt;(24/Outputs!$C$5),1,T21/24*Outputs!$C$5),"N/A")</f>
        <v>1</v>
      </c>
      <c r="U22" s="110">
        <f>IFERROR(IF(U21&lt;(24/Outputs!$C$5),1,U21/24*Outputs!$C$5),"N/A")</f>
        <v>10</v>
      </c>
      <c r="V22" s="110">
        <f>IFERROR(IF(V21&lt;(24/Outputs!$C$5),1,V21/24*Outputs!$C$5),"N/A")</f>
        <v>1</v>
      </c>
      <c r="W22" s="110">
        <f>IFERROR(IF(W21&lt;(24/Outputs!$C$5),1,W21/24*Outputs!$C$5),"N/A")</f>
        <v>1</v>
      </c>
      <c r="X22" s="110">
        <f>IFERROR(IF(X21&lt;(24/Outputs!$C$5),1,X21/24*Outputs!$C$5),"N/A")</f>
        <v>1</v>
      </c>
      <c r="Y22" s="110">
        <f>IFERROR(IF(Y21&lt;(24/Outputs!$C$5),1,Y21/24*Outputs!$C$5),"N/A")</f>
        <v>1</v>
      </c>
      <c r="Z22" s="110">
        <f>IFERROR(IF(Z21&lt;(24/Outputs!$C$5),1,Z21/24*Outputs!$C$5),"N/A")</f>
        <v>1</v>
      </c>
      <c r="AA22" s="110">
        <f>IFERROR(IF(AA21&lt;(24/Outputs!$C$5),1,AA21/24*Outputs!$C$5),"N/A")</f>
        <v>1</v>
      </c>
      <c r="AB22" s="110">
        <f>IFERROR(IF(AB21&lt;(24/Outputs!$C$5),1,AB21/24*Outputs!$C$5),"N/A")</f>
        <v>1</v>
      </c>
      <c r="AC22" s="110">
        <f>IFERROR(IF(AC21&lt;(24/Outputs!$C$5),1,AC21/24*Outputs!$C$5),"N/A")</f>
        <v>1</v>
      </c>
      <c r="AD22" s="110">
        <f>IFERROR(IF(AD21&lt;(24/Outputs!$C$5),1,AD21/24*Outputs!$C$5),"N/A")</f>
        <v>1</v>
      </c>
      <c r="AE22" s="110">
        <f>IFERROR(IF(AE21&lt;(24/Outputs!$C$5),1,AE21/24*Outputs!$C$5),"N/A")</f>
        <v>2.5</v>
      </c>
      <c r="AF22" s="110">
        <f>IFERROR(IF(AF21&lt;(24/Outputs!$C$5),1,AF21/24*Outputs!$C$5),"N/A")</f>
        <v>1</v>
      </c>
      <c r="AG22" s="110">
        <f>IFERROR(IF(AG21&lt;(24/Outputs!$C$5),1,AG21/24*Outputs!$C$5),"N/A")</f>
        <v>1</v>
      </c>
      <c r="AH22" s="110">
        <f>IFERROR(IF(AH21&lt;(24/Outputs!$C$5),1,AH21/24*Outputs!$C$5),"N/A")</f>
        <v>1</v>
      </c>
      <c r="AI22" s="110">
        <f>IFERROR(IF(AI21&lt;(24/Outputs!$C$5),1,AI21/24*Outputs!$C$5),"N/A")</f>
        <v>1</v>
      </c>
      <c r="AJ22" s="110">
        <f>IFERROR(IF(AJ21&lt;(24/Outputs!$C$5),1,AJ21/24*Outputs!$C$5),"N/A")</f>
        <v>1</v>
      </c>
      <c r="AK22" s="110">
        <f>IFERROR(IF(AK21&lt;(24/Outputs!$C$5),1,AK21/24*Outputs!$C$5),"N/A")</f>
        <v>1</v>
      </c>
      <c r="AL22" s="110">
        <f>IFERROR(IF(AL21&lt;(24/Outputs!$C$5),1,AL21/24*Outputs!$C$5),"N/A")</f>
        <v>1</v>
      </c>
      <c r="AM22" s="110">
        <f>IFERROR(IF(AM21&lt;(24/Outputs!$C$5),1,AM21/24*Outputs!$C$5),"N/A")</f>
        <v>1</v>
      </c>
      <c r="AN22" s="110">
        <f>IFERROR(IF(AN21&lt;(24/Outputs!$C$5),1,AN21/24*Outputs!$C$5),"N/A")</f>
        <v>1</v>
      </c>
      <c r="AO22" s="110">
        <f>IFERROR(IF(AO21&lt;(24/Outputs!$C$5),1,AO21/24*Outputs!$C$5),"N/A")</f>
        <v>1</v>
      </c>
      <c r="AP22" s="110">
        <f>IFERROR(IF(AP21&lt;(24/Outputs!$C$5),1,AP21/24*Outputs!$C$5),"N/A")</f>
        <v>1</v>
      </c>
      <c r="AQ22" s="110">
        <f>IFERROR(IF(AQ21&lt;(24/Outputs!$C$5),1,AQ21/24*Outputs!$C$5),"N/A")</f>
        <v>1</v>
      </c>
      <c r="AR22" s="110">
        <f>IFERROR(IF(AR21&lt;(24/Outputs!$C$5),1,AR21/24*Outputs!$C$5),"N/A")</f>
        <v>1</v>
      </c>
      <c r="AS22" s="110">
        <f>IFERROR(IF(AS21&lt;(24/Outputs!$C$5),1,AS21/24*Outputs!$C$5),"N/A")</f>
        <v>1</v>
      </c>
      <c r="AT22" s="110">
        <f>IFERROR(IF(AT21&lt;(24/Outputs!$C$5),1,AT21/24*Outputs!$C$5),"N/A")</f>
        <v>1</v>
      </c>
      <c r="AU22" s="110">
        <f>IFERROR(IF(AU21&lt;(24/Outputs!$C$5),1,AU21/24*Outputs!$C$5),"N/A")</f>
        <v>1</v>
      </c>
      <c r="AV22" s="110">
        <f>IFERROR(IF(AV21&lt;(24/Outputs!$C$5),1,AV21/24*Outputs!$C$5),"N/A")</f>
        <v>1</v>
      </c>
      <c r="AW22" s="110">
        <f>IFERROR(IF(AW21&lt;(24/Outputs!$C$5),1,AW21/24*Outputs!$C$5),"N/A")</f>
        <v>1</v>
      </c>
      <c r="AX22" s="110">
        <f>IFERROR(IF(AX21&lt;(24/Outputs!$C$5),1,AX21/24*Outputs!$C$5),"N/A")</f>
        <v>1</v>
      </c>
      <c r="AY22" s="110">
        <f>IFERROR(IF(AY21&lt;(24/Outputs!$C$5),1,AY21/24*Outputs!$C$5),"N/A")</f>
        <v>1</v>
      </c>
      <c r="AZ22" s="110">
        <f>IFERROR(IF(AZ21&lt;(24/Outputs!$C$5),1,AZ21/24*Outputs!$C$5),"N/A")</f>
        <v>1</v>
      </c>
      <c r="BA22" s="124">
        <f>IFERROR(IF(BA21&lt;(24/Outputs!$C$5),1,BA21/24*Outputs!$C$5),"N/A")</f>
        <v>1</v>
      </c>
      <c r="BB22" s="124">
        <f>IFERROR(IF(BB21&lt;(24/Outputs!$C$5),1,BB21/24*Outputs!$C$5),"N/A")</f>
        <v>1</v>
      </c>
      <c r="BC22" s="124">
        <f>IFERROR(IF(BC21&lt;(24/Outputs!$C$5),1,BC21/24*Outputs!$C$5),"N/A")</f>
        <v>1</v>
      </c>
      <c r="BD22" s="124">
        <f>IFERROR(IF(BD21&lt;(24/Outputs!$C$5),1,BD21/24*Outputs!$C$5),"N/A")</f>
        <v>1</v>
      </c>
    </row>
    <row r="23" spans="1:56" ht="15.75" customHeight="1">
      <c r="A23" s="162"/>
      <c r="B23" s="163" t="s">
        <v>344</v>
      </c>
      <c r="C23" s="99">
        <f>IFERROR(AVERAGE('Raw Data'!B27:B31),0)</f>
        <v>100000</v>
      </c>
      <c r="D23" s="50">
        <f>IFERROR(AVERAGE('Raw Data'!C27:C31),0)</f>
        <v>0</v>
      </c>
      <c r="E23" s="50">
        <f>IFERROR(AVERAGE('Raw Data'!D27:D31),0)</f>
        <v>2070</v>
      </c>
      <c r="F23" s="50">
        <f>IFERROR(AVERAGE('Raw Data'!E27:E31),0)</f>
        <v>0</v>
      </c>
      <c r="G23" s="50">
        <f>IFERROR(AVERAGE('Raw Data'!F27:F31),0)</f>
        <v>0</v>
      </c>
      <c r="H23" s="50">
        <f>IFERROR(AVERAGE('Raw Data'!G27:G31),0)</f>
        <v>0</v>
      </c>
      <c r="I23" s="50">
        <f>IFERROR(AVERAGE('Raw Data'!H27:H31),0)</f>
        <v>0</v>
      </c>
      <c r="J23" s="50">
        <f>IFERROR(AVERAGE('Raw Data'!I27:I31),0)</f>
        <v>0</v>
      </c>
      <c r="K23" s="50">
        <f>IFERROR(AVERAGE('Raw Data'!J27:J31),0)</f>
        <v>0</v>
      </c>
      <c r="L23" s="50">
        <f>IFERROR(AVERAGE('Raw Data'!K27:K31),0)</f>
        <v>0</v>
      </c>
      <c r="M23" s="50">
        <f>IFERROR(AVERAGE('Raw Data'!L27:L31),0)</f>
        <v>100</v>
      </c>
      <c r="N23" s="50">
        <f>IFERROR(AVERAGE('Raw Data'!M27:M31),0)</f>
        <v>0</v>
      </c>
      <c r="O23" s="50">
        <f>IFERROR(AVERAGE('Raw Data'!N27:N31),0)</f>
        <v>0</v>
      </c>
      <c r="P23" s="50">
        <f>IFERROR(AVERAGE('Raw Data'!O27:O31),0)</f>
        <v>1000</v>
      </c>
      <c r="Q23" s="50">
        <f>IFERROR(AVERAGE('Raw Data'!P27:P31),0)</f>
        <v>0</v>
      </c>
      <c r="R23" s="50">
        <f>IFERROR(AVERAGE('Raw Data'!Q27:Q31),0)</f>
        <v>0</v>
      </c>
      <c r="S23" s="50">
        <f>IFERROR(AVERAGE('Raw Data'!R27:R31),0)</f>
        <v>600000</v>
      </c>
      <c r="T23" s="50">
        <f>IFERROR(AVERAGE('Raw Data'!S27:S31),0)</f>
        <v>0</v>
      </c>
      <c r="U23" s="50">
        <f>IFERROR(AVERAGE('Raw Data'!T27:T31),0)</f>
        <v>49500</v>
      </c>
      <c r="V23" s="50">
        <f>IFERROR(AVERAGE('Raw Data'!U27:U31),0)</f>
        <v>0</v>
      </c>
      <c r="W23" s="50">
        <f>IFERROR(AVERAGE('Raw Data'!V27:V31),0)</f>
        <v>0</v>
      </c>
      <c r="X23" s="50">
        <f>IFERROR(AVERAGE('Raw Data'!W27:W31),0)</f>
        <v>0</v>
      </c>
      <c r="Y23" s="50">
        <f>IFERROR(AVERAGE('Raw Data'!X27:X31),0)</f>
        <v>0</v>
      </c>
      <c r="Z23" s="50">
        <f>IFERROR(AVERAGE('Raw Data'!Y27:Y31),0)</f>
        <v>0</v>
      </c>
      <c r="AA23" s="50">
        <f>IFERROR(AVERAGE('Raw Data'!Z27:Z31),0)</f>
        <v>0</v>
      </c>
      <c r="AB23" s="50">
        <f>IFERROR(AVERAGE('Raw Data'!AA27:AA31),0)</f>
        <v>0</v>
      </c>
      <c r="AC23" s="50">
        <f>IFERROR(AVERAGE('Raw Data'!AB27:AB31),0)</f>
        <v>0</v>
      </c>
      <c r="AD23" s="50">
        <f>IFERROR(AVERAGE('Raw Data'!AC27:AC31),0)</f>
        <v>0</v>
      </c>
      <c r="AE23" s="50">
        <f>IFERROR(AVERAGE('Raw Data'!AD27:AD31),0)</f>
        <v>500</v>
      </c>
      <c r="AF23" s="50">
        <f>IFERROR(AVERAGE('Raw Data'!AE27:AE31),0)</f>
        <v>0</v>
      </c>
      <c r="AG23" s="50">
        <f>IFERROR(AVERAGE('Raw Data'!AF27:AF31),0)</f>
        <v>0</v>
      </c>
      <c r="AH23" s="50">
        <f>IFERROR(AVERAGE('Raw Data'!AG27:AG31),0)</f>
        <v>0</v>
      </c>
      <c r="AI23" s="50">
        <f>IFERROR(AVERAGE('Raw Data'!AH27:AH31),0)</f>
        <v>0</v>
      </c>
      <c r="AJ23" s="50">
        <f>IFERROR(AVERAGE('Raw Data'!AI27:AI31),0)</f>
        <v>0</v>
      </c>
      <c r="AK23" s="50">
        <f>IFERROR(AVERAGE('Raw Data'!AJ27:AJ31),0)</f>
        <v>0</v>
      </c>
      <c r="AL23" s="50">
        <f>IFERROR(AVERAGE('Raw Data'!AK27:AK31),0)</f>
        <v>0</v>
      </c>
      <c r="AM23" s="50">
        <f>IFERROR(AVERAGE('Raw Data'!AL27:AL31),0)</f>
        <v>0</v>
      </c>
      <c r="AN23" s="50">
        <f>IFERROR(AVERAGE('Raw Data'!AM27:AM31),0)</f>
        <v>0</v>
      </c>
      <c r="AO23" s="50">
        <f>IFERROR(AVERAGE('Raw Data'!AN27:AN31),0)</f>
        <v>0</v>
      </c>
      <c r="AP23" s="50">
        <f>IFERROR(AVERAGE('Raw Data'!AO27:AO31),0)</f>
        <v>0</v>
      </c>
      <c r="AQ23" s="50">
        <f>IFERROR(AVERAGE('Raw Data'!AP27:AP31),0)</f>
        <v>0</v>
      </c>
      <c r="AR23" s="50">
        <f>IFERROR(AVERAGE('Raw Data'!AQ27:AQ31),0)</f>
        <v>0</v>
      </c>
      <c r="AS23" s="50">
        <f>IFERROR(AVERAGE('Raw Data'!AR27:AR31),0)</f>
        <v>0</v>
      </c>
      <c r="AT23" s="50">
        <f>IFERROR(AVERAGE('Raw Data'!AS27:AS31),0)</f>
        <v>0</v>
      </c>
      <c r="AU23" s="50">
        <f>IFERROR(AVERAGE('Raw Data'!AT27:AT31),0)</f>
        <v>0</v>
      </c>
      <c r="AV23" s="50">
        <f>IFERROR(AVERAGE('Raw Data'!AU27:AU31),0)</f>
        <v>0</v>
      </c>
      <c r="AW23" s="50">
        <f>IFERROR(AVERAGE('Raw Data'!AV27:AV31),0)</f>
        <v>0</v>
      </c>
      <c r="AX23" s="50">
        <f>IFERROR(AVERAGE('Raw Data'!AW27:AW31),0)</f>
        <v>0</v>
      </c>
      <c r="AY23" s="50">
        <f>IFERROR(AVERAGE('Raw Data'!AX27:AX31),0)</f>
        <v>0</v>
      </c>
      <c r="AZ23" s="50">
        <f>IFERROR(AVERAGE('Raw Data'!AY27:AY31),0)</f>
        <v>0</v>
      </c>
      <c r="BA23" s="102">
        <f>IFERROR(AVERAGE('Raw Data'!AZ27:AZ31),0)</f>
        <v>0</v>
      </c>
      <c r="BB23" s="102">
        <f>IFERROR(AVERAGE('Raw Data'!BA27:BA31),0)</f>
        <v>0</v>
      </c>
      <c r="BC23" s="102">
        <f>IFERROR(AVERAGE('Raw Data'!BB27:BB31),0)</f>
        <v>0</v>
      </c>
      <c r="BD23" s="102">
        <f>IFERROR(AVERAGE('Raw Data'!BC27:BC31),0)</f>
        <v>0</v>
      </c>
    </row>
    <row r="24" spans="1:56" ht="15.75" customHeight="1">
      <c r="A24" s="9"/>
      <c r="B24" s="103"/>
      <c r="C24" s="10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105"/>
      <c r="BB24" s="105"/>
      <c r="BC24" s="105"/>
      <c r="BD24" s="105"/>
    </row>
    <row r="25" spans="1:56" ht="15.75" customHeight="1">
      <c r="A25" s="9"/>
      <c r="B25" s="164" t="s">
        <v>345</v>
      </c>
      <c r="C25" s="165">
        <v>98800000</v>
      </c>
      <c r="D25" s="50">
        <v>1000000</v>
      </c>
      <c r="E25" s="50">
        <v>55000</v>
      </c>
      <c r="F25" s="83">
        <v>114000</v>
      </c>
      <c r="G25" s="50">
        <v>900000</v>
      </c>
      <c r="H25" s="50">
        <v>20000</v>
      </c>
      <c r="I25" s="50">
        <v>10000000</v>
      </c>
      <c r="J25" s="50">
        <v>1500000</v>
      </c>
      <c r="K25" s="83">
        <v>275000000</v>
      </c>
      <c r="L25" s="50">
        <v>475000</v>
      </c>
      <c r="M25" s="83">
        <v>10000</v>
      </c>
      <c r="N25" s="83">
        <v>15000000</v>
      </c>
      <c r="O25" s="83">
        <v>8000000</v>
      </c>
      <c r="P25" s="83">
        <v>310000</v>
      </c>
      <c r="Q25" s="50">
        <v>6000000</v>
      </c>
      <c r="R25" s="50">
        <v>1200000</v>
      </c>
      <c r="S25" s="50">
        <v>5000000</v>
      </c>
      <c r="T25" s="83">
        <v>10532000</v>
      </c>
      <c r="U25" s="50">
        <v>1000000</v>
      </c>
      <c r="V25" s="50">
        <v>262500</v>
      </c>
      <c r="W25" s="50">
        <v>12000000</v>
      </c>
      <c r="X25" s="50">
        <v>7500</v>
      </c>
      <c r="Y25" s="50">
        <v>9000000</v>
      </c>
      <c r="Z25" s="50">
        <v>450000</v>
      </c>
      <c r="AA25" s="83">
        <v>144000</v>
      </c>
      <c r="AB25" s="50">
        <v>1600000</v>
      </c>
      <c r="AC25" s="83">
        <v>180000</v>
      </c>
      <c r="AD25" s="50">
        <v>41400</v>
      </c>
      <c r="AE25" s="50">
        <v>25000</v>
      </c>
      <c r="AF25" s="50">
        <v>12000000</v>
      </c>
      <c r="AG25" s="83">
        <v>16200</v>
      </c>
      <c r="AH25" s="50">
        <v>10000</v>
      </c>
      <c r="AI25" s="50">
        <v>7875000</v>
      </c>
      <c r="AJ25" s="50">
        <v>2000000</v>
      </c>
      <c r="AK25" s="50">
        <v>2500000</v>
      </c>
      <c r="AL25" s="50">
        <v>75</v>
      </c>
      <c r="AM25" s="83">
        <v>150</v>
      </c>
      <c r="AN25" s="50">
        <v>500</v>
      </c>
      <c r="AO25" s="50">
        <v>33</v>
      </c>
      <c r="AP25" s="50">
        <v>52</v>
      </c>
      <c r="AQ25" s="50">
        <v>40</v>
      </c>
      <c r="AR25" s="83">
        <v>50</v>
      </c>
      <c r="AS25" s="83">
        <v>7500000</v>
      </c>
      <c r="AT25" s="50">
        <v>8250000</v>
      </c>
      <c r="AU25" s="50">
        <v>100000</v>
      </c>
      <c r="AV25" s="50">
        <v>15000000</v>
      </c>
      <c r="AW25" s="50">
        <v>15000000</v>
      </c>
      <c r="AX25" s="50">
        <v>10000000</v>
      </c>
      <c r="AY25" s="50">
        <v>200000</v>
      </c>
      <c r="AZ25" s="50">
        <v>7500000</v>
      </c>
      <c r="BA25" s="102">
        <v>900000</v>
      </c>
      <c r="BB25" s="95">
        <v>1000000</v>
      </c>
      <c r="BC25" s="95">
        <v>500</v>
      </c>
      <c r="BD25" s="95">
        <v>1250000</v>
      </c>
    </row>
    <row r="26" spans="1:56" ht="15.75" customHeight="1">
      <c r="A26" s="9"/>
      <c r="B26" s="164" t="s">
        <v>346</v>
      </c>
      <c r="C26" s="166">
        <v>5</v>
      </c>
      <c r="D26" s="167">
        <v>8</v>
      </c>
      <c r="E26" s="167">
        <v>5</v>
      </c>
      <c r="F26" s="167">
        <v>10</v>
      </c>
      <c r="G26" s="167">
        <v>9</v>
      </c>
      <c r="H26" s="167">
        <v>5</v>
      </c>
      <c r="I26" s="167">
        <v>5</v>
      </c>
      <c r="J26" s="167">
        <v>5</v>
      </c>
      <c r="K26" s="167">
        <v>5</v>
      </c>
      <c r="L26" s="167">
        <v>5</v>
      </c>
      <c r="M26" s="167">
        <v>5</v>
      </c>
      <c r="N26" s="167">
        <v>5</v>
      </c>
      <c r="O26" s="167">
        <v>5</v>
      </c>
      <c r="P26" s="167">
        <v>5</v>
      </c>
      <c r="Q26" s="167">
        <v>5</v>
      </c>
      <c r="R26" s="167">
        <v>5</v>
      </c>
      <c r="S26" s="167">
        <v>5</v>
      </c>
      <c r="T26" s="167">
        <v>5</v>
      </c>
      <c r="U26" s="167">
        <v>5</v>
      </c>
      <c r="V26" s="167">
        <v>5</v>
      </c>
      <c r="W26" s="167">
        <v>5</v>
      </c>
      <c r="X26" s="167">
        <v>5</v>
      </c>
      <c r="Y26" s="167">
        <v>5</v>
      </c>
      <c r="Z26" s="167">
        <v>5</v>
      </c>
      <c r="AA26" s="167">
        <v>5</v>
      </c>
      <c r="AB26" s="167">
        <v>5</v>
      </c>
      <c r="AC26" s="168">
        <v>5</v>
      </c>
      <c r="AD26" s="167">
        <v>5</v>
      </c>
      <c r="AE26" s="167">
        <v>5</v>
      </c>
      <c r="AF26" s="167">
        <v>5</v>
      </c>
      <c r="AG26" s="167">
        <v>5</v>
      </c>
      <c r="AH26" s="167">
        <v>5</v>
      </c>
      <c r="AI26" s="167">
        <v>5</v>
      </c>
      <c r="AJ26" s="167">
        <v>5</v>
      </c>
      <c r="AK26" s="167">
        <v>5</v>
      </c>
      <c r="AL26" s="167">
        <v>5</v>
      </c>
      <c r="AM26" s="168">
        <v>5</v>
      </c>
      <c r="AN26" s="167">
        <v>5</v>
      </c>
      <c r="AO26" s="167">
        <v>5</v>
      </c>
      <c r="AP26" s="167">
        <v>5</v>
      </c>
      <c r="AQ26" s="167">
        <v>5</v>
      </c>
      <c r="AR26" s="168">
        <v>5</v>
      </c>
      <c r="AS26" s="167">
        <v>6</v>
      </c>
      <c r="AT26" s="167">
        <v>5</v>
      </c>
      <c r="AU26" s="167">
        <v>5</v>
      </c>
      <c r="AV26" s="167">
        <v>5</v>
      </c>
      <c r="AW26" s="167">
        <v>5</v>
      </c>
      <c r="AX26" s="167">
        <v>10</v>
      </c>
      <c r="AY26" s="167">
        <v>5</v>
      </c>
      <c r="AZ26" s="167">
        <v>5</v>
      </c>
      <c r="BA26" s="169">
        <v>5</v>
      </c>
      <c r="BB26" s="170">
        <v>5</v>
      </c>
      <c r="BC26" s="170">
        <v>5</v>
      </c>
      <c r="BD26" s="170">
        <v>5</v>
      </c>
    </row>
    <row r="27" spans="1:56" ht="15.75" customHeight="1">
      <c r="A27" s="9"/>
      <c r="B27" s="103"/>
      <c r="C27" s="10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50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105"/>
      <c r="BB27" s="105"/>
      <c r="BC27" s="105"/>
      <c r="BD27" s="105"/>
    </row>
    <row r="28" spans="1:56" ht="15.75" customHeight="1">
      <c r="A28" s="9"/>
      <c r="B28" s="171" t="s">
        <v>347</v>
      </c>
      <c r="C28" s="99">
        <v>100000</v>
      </c>
      <c r="D28" s="83">
        <v>10000</v>
      </c>
      <c r="E28" s="50">
        <v>625</v>
      </c>
      <c r="F28" s="83">
        <v>400</v>
      </c>
      <c r="G28" s="50" t="s">
        <v>348</v>
      </c>
      <c r="H28" s="80">
        <v>9</v>
      </c>
      <c r="I28" s="80">
        <v>144000</v>
      </c>
      <c r="J28" s="80" t="s">
        <v>348</v>
      </c>
      <c r="K28" s="80">
        <v>50000</v>
      </c>
      <c r="L28" s="80">
        <v>34200</v>
      </c>
      <c r="M28" s="111">
        <v>50</v>
      </c>
      <c r="N28" s="80">
        <v>26250</v>
      </c>
      <c r="O28" s="80">
        <v>24000</v>
      </c>
      <c r="P28" s="111">
        <v>5</v>
      </c>
      <c r="Q28" s="80">
        <v>36000</v>
      </c>
      <c r="R28" s="80">
        <v>6000</v>
      </c>
      <c r="S28" s="80">
        <v>21000</v>
      </c>
      <c r="T28" s="80">
        <v>16000</v>
      </c>
      <c r="U28" s="80">
        <v>2500</v>
      </c>
      <c r="V28" s="80">
        <v>1500</v>
      </c>
      <c r="W28" s="80">
        <v>40000</v>
      </c>
      <c r="X28" s="80">
        <v>50</v>
      </c>
      <c r="Y28" s="80">
        <v>60000</v>
      </c>
      <c r="Z28" s="80">
        <v>600</v>
      </c>
      <c r="AA28" s="80">
        <v>100</v>
      </c>
      <c r="AB28" s="80">
        <v>40000</v>
      </c>
      <c r="AC28" s="80">
        <v>10000</v>
      </c>
      <c r="AD28" s="80">
        <v>2</v>
      </c>
      <c r="AE28" s="80">
        <v>25</v>
      </c>
      <c r="AF28" s="80">
        <v>40000</v>
      </c>
      <c r="AG28" s="80">
        <v>30</v>
      </c>
      <c r="AH28" s="80">
        <v>50</v>
      </c>
      <c r="AI28" s="80">
        <v>45030</v>
      </c>
      <c r="AJ28" s="80" t="s">
        <v>348</v>
      </c>
      <c r="AK28" s="80">
        <v>300</v>
      </c>
      <c r="AL28" s="80" t="s">
        <v>348</v>
      </c>
      <c r="AM28" s="80" t="s">
        <v>348</v>
      </c>
      <c r="AN28" s="110" t="s">
        <v>348</v>
      </c>
      <c r="AO28" s="110" t="s">
        <v>348</v>
      </c>
      <c r="AP28" s="80" t="s">
        <v>348</v>
      </c>
      <c r="AQ28" s="80" t="s">
        <v>348</v>
      </c>
      <c r="AR28" s="108" t="s">
        <v>348</v>
      </c>
      <c r="AS28" s="108">
        <v>50000</v>
      </c>
      <c r="AT28" s="108">
        <v>500</v>
      </c>
      <c r="AU28" s="108">
        <v>200</v>
      </c>
      <c r="AV28" s="108">
        <v>500000</v>
      </c>
      <c r="AW28" s="108">
        <v>6000</v>
      </c>
      <c r="AX28" s="108">
        <v>40000</v>
      </c>
      <c r="AY28" s="108">
        <v>20</v>
      </c>
      <c r="AZ28" s="50">
        <v>60000</v>
      </c>
      <c r="BA28" s="102">
        <v>10000</v>
      </c>
      <c r="BB28" s="95">
        <v>20000</v>
      </c>
      <c r="BC28" s="95" t="s">
        <v>348</v>
      </c>
      <c r="BD28" s="95" t="s">
        <v>349</v>
      </c>
    </row>
    <row r="29" spans="1:56" ht="15.75" customHeight="1">
      <c r="A29" s="9"/>
      <c r="B29" s="171" t="s">
        <v>350</v>
      </c>
      <c r="C29" s="99">
        <v>1000</v>
      </c>
      <c r="D29" s="83">
        <v>10000</v>
      </c>
      <c r="E29" s="50">
        <v>625</v>
      </c>
      <c r="F29" s="50">
        <v>40</v>
      </c>
      <c r="G29" s="83">
        <v>5000</v>
      </c>
      <c r="H29" s="80">
        <v>9</v>
      </c>
      <c r="I29" s="80">
        <v>48000</v>
      </c>
      <c r="J29" s="80">
        <v>6000</v>
      </c>
      <c r="K29" s="80">
        <v>10000</v>
      </c>
      <c r="L29" s="80">
        <v>34200</v>
      </c>
      <c r="M29" s="111">
        <v>50</v>
      </c>
      <c r="N29" s="80">
        <v>14000</v>
      </c>
      <c r="O29" s="80">
        <v>8100</v>
      </c>
      <c r="P29" s="111">
        <v>5</v>
      </c>
      <c r="Q29" s="80">
        <v>12000</v>
      </c>
      <c r="R29" s="80">
        <v>6000</v>
      </c>
      <c r="S29" s="80">
        <v>21000</v>
      </c>
      <c r="T29" s="80">
        <v>16000</v>
      </c>
      <c r="U29" s="80">
        <v>2500</v>
      </c>
      <c r="V29" s="80">
        <v>1500</v>
      </c>
      <c r="W29" s="80">
        <v>40000</v>
      </c>
      <c r="X29" s="80">
        <v>50</v>
      </c>
      <c r="Y29" s="80">
        <v>60000</v>
      </c>
      <c r="Z29" s="80">
        <v>600</v>
      </c>
      <c r="AA29" s="80">
        <v>40</v>
      </c>
      <c r="AB29" s="80">
        <v>4000</v>
      </c>
      <c r="AC29" s="80">
        <v>2.5</v>
      </c>
      <c r="AD29" s="80">
        <v>1</v>
      </c>
      <c r="AE29" s="80">
        <v>25</v>
      </c>
      <c r="AF29" s="80">
        <v>40000</v>
      </c>
      <c r="AG29" s="80">
        <v>30</v>
      </c>
      <c r="AH29" s="80">
        <v>50</v>
      </c>
      <c r="AI29" s="80">
        <v>15010</v>
      </c>
      <c r="AJ29" s="80">
        <v>10000</v>
      </c>
      <c r="AK29" s="80">
        <v>30</v>
      </c>
      <c r="AL29" s="80">
        <v>1</v>
      </c>
      <c r="AM29" s="80">
        <v>1</v>
      </c>
      <c r="AN29" s="110">
        <v>10</v>
      </c>
      <c r="AO29" s="110">
        <v>1</v>
      </c>
      <c r="AP29" s="80">
        <v>1</v>
      </c>
      <c r="AQ29" s="80">
        <v>1</v>
      </c>
      <c r="AR29" s="108">
        <v>1</v>
      </c>
      <c r="AS29" s="108">
        <v>5000</v>
      </c>
      <c r="AT29" s="108">
        <v>25</v>
      </c>
      <c r="AU29" s="108">
        <v>100</v>
      </c>
      <c r="AV29" s="108">
        <v>25000</v>
      </c>
      <c r="AW29" s="108">
        <v>300</v>
      </c>
      <c r="AX29" s="108">
        <v>2000</v>
      </c>
      <c r="AY29" s="108">
        <v>1</v>
      </c>
      <c r="AZ29" s="50">
        <v>60000</v>
      </c>
      <c r="BA29" s="102">
        <v>1000</v>
      </c>
      <c r="BB29" s="95">
        <v>10000</v>
      </c>
      <c r="BC29" s="95">
        <v>10</v>
      </c>
      <c r="BD29" s="95" t="s">
        <v>349</v>
      </c>
    </row>
    <row r="30" spans="1:56" ht="15.75" customHeight="1">
      <c r="A30" s="9"/>
      <c r="B30" s="103"/>
      <c r="C30" s="10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105"/>
      <c r="BB30" s="105"/>
      <c r="BC30" s="105"/>
      <c r="BD30" s="105"/>
    </row>
    <row r="31" spans="1:56" ht="15.75" customHeight="1">
      <c r="A31" s="172">
        <v>1</v>
      </c>
      <c r="B31" s="173" t="s">
        <v>351</v>
      </c>
      <c r="C31" s="174" t="str">
        <f t="shared" ref="C31:AY31" si="3">C4</f>
        <v>Huuuge Casino</v>
      </c>
      <c r="D31" s="41" t="str">
        <f t="shared" si="3"/>
        <v>DoubleDown</v>
      </c>
      <c r="E31" s="41" t="str">
        <f t="shared" si="3"/>
        <v>Big Fish Casino</v>
      </c>
      <c r="F31" s="41" t="str">
        <f t="shared" si="3"/>
        <v>GSN Casino</v>
      </c>
      <c r="G31" s="41" t="str">
        <f t="shared" si="3"/>
        <v>Heart of Vegas</v>
      </c>
      <c r="H31" s="41" t="str">
        <f t="shared" si="3"/>
        <v>House of Fun</v>
      </c>
      <c r="I31" s="41" t="str">
        <f t="shared" si="3"/>
        <v>Jackpot Party</v>
      </c>
      <c r="J31" s="41" t="str">
        <f t="shared" si="3"/>
        <v>DoubleU Casino</v>
      </c>
      <c r="K31" s="41" t="str">
        <f t="shared" si="3"/>
        <v>Wizard of Oz</v>
      </c>
      <c r="L31" s="41" t="str">
        <f t="shared" si="3"/>
        <v>Hit It Rich</v>
      </c>
      <c r="M31" s="41" t="str">
        <f t="shared" si="3"/>
        <v>Slotomania</v>
      </c>
      <c r="N31" s="41" t="str">
        <f t="shared" si="3"/>
        <v>Gold Fish HD</v>
      </c>
      <c r="O31" s="41" t="str">
        <f t="shared" si="3"/>
        <v>Quick Hit Slots</v>
      </c>
      <c r="P31" s="41" t="str">
        <f t="shared" si="3"/>
        <v>Caesars Slots</v>
      </c>
      <c r="Q31" s="41" t="str">
        <f t="shared" si="3"/>
        <v>Wonka Slots</v>
      </c>
      <c r="R31" s="41" t="str">
        <f t="shared" si="3"/>
        <v>my KONAMI</v>
      </c>
      <c r="S31" s="41" t="str">
        <f t="shared" si="3"/>
        <v>Black Diamond Slots</v>
      </c>
      <c r="T31" s="41" t="str">
        <f t="shared" si="3"/>
        <v>Ellen’s Road to Riches</v>
      </c>
      <c r="U31" s="41" t="str">
        <f t="shared" si="3"/>
        <v>Jackpot Magic Slots</v>
      </c>
      <c r="V31" s="41" t="str">
        <f t="shared" si="3"/>
        <v>myVEGAS</v>
      </c>
      <c r="W31" s="41" t="str">
        <f t="shared" si="3"/>
        <v>Scatter Slots</v>
      </c>
      <c r="X31" s="41" t="str">
        <f t="shared" si="3"/>
        <v>Viva Slots Las Vegas</v>
      </c>
      <c r="Y31" s="41" t="str">
        <f t="shared" si="3"/>
        <v>Infinity Slots</v>
      </c>
      <c r="Z31" s="41" t="str">
        <f t="shared" si="3"/>
        <v>POP! Slots</v>
      </c>
      <c r="AA31" s="41" t="str">
        <f t="shared" si="3"/>
        <v>High 5 Casino</v>
      </c>
      <c r="AB31" s="41" t="str">
        <f t="shared" si="3"/>
        <v>Hot Shot Casino</v>
      </c>
      <c r="AC31" s="41" t="str">
        <f t="shared" si="3"/>
        <v>Jackpotjoy Slots</v>
      </c>
      <c r="AD31" s="41" t="str">
        <f t="shared" si="3"/>
        <v>Pharaoh's Way</v>
      </c>
      <c r="AE31" s="41" t="str">
        <f t="shared" si="3"/>
        <v>Slot Bonanza HD</v>
      </c>
      <c r="AF31" s="41" t="str">
        <f t="shared" si="3"/>
        <v>Slots Era</v>
      </c>
      <c r="AG31" s="41" t="str">
        <f t="shared" si="3"/>
        <v>Xtreme Slots</v>
      </c>
      <c r="AH31" s="41" t="str">
        <f t="shared" si="3"/>
        <v>Old Vegas</v>
      </c>
      <c r="AI31" s="41" t="str">
        <f t="shared" si="3"/>
        <v>88 Fortune Slots</v>
      </c>
      <c r="AJ31" s="41" t="str">
        <f t="shared" si="3"/>
        <v>Cashman Casino</v>
      </c>
      <c r="AK31" s="41" t="str">
        <f t="shared" si="3"/>
        <v>Spin to Win Slots</v>
      </c>
      <c r="AL31" s="41" t="str">
        <f t="shared" si="3"/>
        <v>Bingo Bash</v>
      </c>
      <c r="AM31" s="41" t="str">
        <f t="shared" si="3"/>
        <v>Bingo Blitz</v>
      </c>
      <c r="AN31" s="41" t="str">
        <f t="shared" si="3"/>
        <v>Bingo Party</v>
      </c>
      <c r="AO31" s="41" t="str">
        <f t="shared" si="3"/>
        <v>Monopoly Bingo</v>
      </c>
      <c r="AP31" s="41" t="str">
        <f t="shared" si="3"/>
        <v>Bingo Showdown</v>
      </c>
      <c r="AQ31" s="41" t="str">
        <f t="shared" si="3"/>
        <v>Bingo Pop</v>
      </c>
      <c r="AR31" s="41" t="str">
        <f t="shared" si="3"/>
        <v>Bingo Drive</v>
      </c>
      <c r="AS31" s="41" t="str">
        <f t="shared" si="3"/>
        <v>WSOP</v>
      </c>
      <c r="AT31" s="41" t="str">
        <f t="shared" si="3"/>
        <v>Zynga - Texas Holdem</v>
      </c>
      <c r="AU31" s="41" t="str">
        <f t="shared" si="3"/>
        <v>Poker Heat</v>
      </c>
      <c r="AV31" s="41" t="str">
        <f t="shared" si="3"/>
        <v>Scatter HoldEm Poker</v>
      </c>
      <c r="AW31" s="41" t="str">
        <f t="shared" si="3"/>
        <v>Fresh Deck</v>
      </c>
      <c r="AX31" s="41" t="str">
        <f t="shared" si="3"/>
        <v>Pokerist</v>
      </c>
      <c r="AY31" s="41" t="str">
        <f t="shared" si="3"/>
        <v>Texas Holdem</v>
      </c>
      <c r="AZ31" s="41" t="s">
        <v>54</v>
      </c>
      <c r="BA31" s="175" t="str">
        <f t="shared" ref="BA31:BD31" si="4">BA4</f>
        <v>Monopoly Slots</v>
      </c>
      <c r="BB31" s="175" t="str">
        <f t="shared" si="4"/>
        <v>Lightning Link Casino</v>
      </c>
      <c r="BC31" s="175" t="str">
        <f t="shared" si="4"/>
        <v>Bingoscapes</v>
      </c>
      <c r="BD31" s="175" t="str">
        <f t="shared" si="4"/>
        <v>Coin Master</v>
      </c>
    </row>
    <row r="32" spans="1:56" ht="15.75" customHeight="1">
      <c r="A32" s="176">
        <v>2</v>
      </c>
      <c r="B32" s="177" t="s">
        <v>352</v>
      </c>
      <c r="C32" s="178">
        <f t="shared" ref="C32:BD32" si="5">C6/C49</f>
        <v>2.6799859179721879E-2</v>
      </c>
      <c r="D32" s="167">
        <f t="shared" si="5"/>
        <v>8</v>
      </c>
      <c r="E32" s="167">
        <f t="shared" si="5"/>
        <v>9.0909090909090917</v>
      </c>
      <c r="F32" s="167">
        <f t="shared" si="5"/>
        <v>1.0964912280701755</v>
      </c>
      <c r="G32" s="167">
        <f t="shared" si="5"/>
        <v>20</v>
      </c>
      <c r="H32" s="167">
        <f t="shared" si="5"/>
        <v>0.25</v>
      </c>
      <c r="I32" s="167">
        <f t="shared" si="5"/>
        <v>3</v>
      </c>
      <c r="J32" s="167">
        <f t="shared" si="5"/>
        <v>3.3333333333333335</v>
      </c>
      <c r="K32" s="167">
        <f t="shared" si="5"/>
        <v>0.36363636363636365</v>
      </c>
      <c r="L32" s="167">
        <f t="shared" si="5"/>
        <v>16</v>
      </c>
      <c r="M32" s="167">
        <f t="shared" si="5"/>
        <v>5</v>
      </c>
      <c r="N32" s="167">
        <f t="shared" si="5"/>
        <v>2.3333333333333335</v>
      </c>
      <c r="O32" s="167">
        <f t="shared" si="5"/>
        <v>1.875</v>
      </c>
      <c r="P32" s="167">
        <f t="shared" si="5"/>
        <v>0.64516129032258063</v>
      </c>
      <c r="Q32" s="167">
        <f t="shared" si="5"/>
        <v>1.5</v>
      </c>
      <c r="R32" s="167" t="e">
        <f t="shared" si="5"/>
        <v>#REF!</v>
      </c>
      <c r="S32" s="167">
        <f t="shared" si="5"/>
        <v>6</v>
      </c>
      <c r="T32" s="167">
        <f t="shared" si="5"/>
        <v>2.3737181921762249</v>
      </c>
      <c r="U32" s="167">
        <f t="shared" si="5"/>
        <v>5</v>
      </c>
      <c r="V32" s="167">
        <f t="shared" si="5"/>
        <v>0.95238095238095233</v>
      </c>
      <c r="W32" s="167">
        <f t="shared" si="5"/>
        <v>17.475000000000001</v>
      </c>
      <c r="X32" s="167">
        <f t="shared" si="5"/>
        <v>1.3333333333333333</v>
      </c>
      <c r="Y32" s="167">
        <f t="shared" si="5"/>
        <v>1.6666666666666667</v>
      </c>
      <c r="Z32" s="167">
        <f t="shared" si="5"/>
        <v>0.33333333333333331</v>
      </c>
      <c r="AA32" s="167">
        <f t="shared" si="5"/>
        <v>0.34722222222222221</v>
      </c>
      <c r="AB32" s="167">
        <f t="shared" si="5"/>
        <v>4.375</v>
      </c>
      <c r="AC32" s="167">
        <f t="shared" si="5"/>
        <v>8.9791666666666661</v>
      </c>
      <c r="AD32" s="167">
        <f t="shared" si="5"/>
        <v>4.8309178743961354</v>
      </c>
      <c r="AE32" s="167">
        <f t="shared" si="5"/>
        <v>16.018999999999998</v>
      </c>
      <c r="AF32" s="167">
        <f t="shared" si="5"/>
        <v>17.475000000000001</v>
      </c>
      <c r="AG32" s="167">
        <f t="shared" si="5"/>
        <v>1.5496759259259258</v>
      </c>
      <c r="AH32" s="167">
        <f t="shared" si="5"/>
        <v>7.5</v>
      </c>
      <c r="AI32" s="167">
        <f t="shared" si="5"/>
        <v>1.2698412698412698</v>
      </c>
      <c r="AJ32" s="167">
        <f t="shared" si="5"/>
        <v>5</v>
      </c>
      <c r="AK32" s="167">
        <f t="shared" si="5"/>
        <v>0.4</v>
      </c>
      <c r="AL32" s="167">
        <f t="shared" si="5"/>
        <v>5.9776515151515168</v>
      </c>
      <c r="AM32" s="167">
        <f t="shared" si="5"/>
        <v>31.662166666666668</v>
      </c>
      <c r="AN32" s="167">
        <f t="shared" si="5"/>
        <v>16.515384615384615</v>
      </c>
      <c r="AO32" s="167">
        <f t="shared" si="5"/>
        <v>5.8985423197492164</v>
      </c>
      <c r="AP32" s="167">
        <f t="shared" si="5"/>
        <v>3.8151794871794871</v>
      </c>
      <c r="AQ32" s="167">
        <f t="shared" si="5"/>
        <v>25.965</v>
      </c>
      <c r="AR32" s="167">
        <f t="shared" si="5"/>
        <v>16.867000000000001</v>
      </c>
      <c r="AS32" s="167">
        <f t="shared" si="5"/>
        <v>0.2</v>
      </c>
      <c r="AT32" s="167">
        <f t="shared" si="5"/>
        <v>0.34908725812340269</v>
      </c>
      <c r="AU32" s="167">
        <f t="shared" si="5"/>
        <v>0.75</v>
      </c>
      <c r="AV32" s="167">
        <f t="shared" si="5"/>
        <v>5.3233333333333333</v>
      </c>
      <c r="AW32" s="167">
        <f t="shared" si="5"/>
        <v>0.11156666666666666</v>
      </c>
      <c r="AX32" s="167">
        <f t="shared" si="5"/>
        <v>0.2545</v>
      </c>
      <c r="AY32" s="167">
        <f t="shared" si="5"/>
        <v>0.02</v>
      </c>
      <c r="AZ32" s="167">
        <f t="shared" si="5"/>
        <v>6.658666666666667</v>
      </c>
      <c r="BA32" s="169">
        <f t="shared" si="5"/>
        <v>2.2222222222222223</v>
      </c>
      <c r="BB32" s="169">
        <f t="shared" si="5"/>
        <v>50</v>
      </c>
      <c r="BC32" s="169">
        <f t="shared" si="5"/>
        <v>24.192307692307693</v>
      </c>
      <c r="BD32" s="169">
        <f t="shared" si="5"/>
        <v>0.87028571428571433</v>
      </c>
    </row>
    <row r="33" spans="1:56" ht="15.75" customHeight="1">
      <c r="A33" s="176">
        <v>3</v>
      </c>
      <c r="B33" s="177"/>
      <c r="C33" s="10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105"/>
      <c r="BB33" s="105"/>
      <c r="BC33" s="105"/>
      <c r="BD33" s="105"/>
    </row>
    <row r="34" spans="1:56" ht="15.75" customHeight="1">
      <c r="A34" s="176">
        <v>4</v>
      </c>
      <c r="B34" s="177" t="s">
        <v>353</v>
      </c>
      <c r="C34" s="99">
        <f t="shared" ref="C34:BD34" si="6">C10*C11</f>
        <v>808000</v>
      </c>
      <c r="D34" s="50">
        <f t="shared" si="6"/>
        <v>178000</v>
      </c>
      <c r="E34" s="50">
        <f t="shared" si="6"/>
        <v>42600</v>
      </c>
      <c r="F34" s="50">
        <f t="shared" si="6"/>
        <v>10890</v>
      </c>
      <c r="G34" s="50">
        <f t="shared" si="6"/>
        <v>41800</v>
      </c>
      <c r="H34" s="50">
        <f t="shared" si="6"/>
        <v>386</v>
      </c>
      <c r="I34" s="50">
        <f t="shared" si="6"/>
        <v>1002400</v>
      </c>
      <c r="J34" s="50">
        <f t="shared" si="6"/>
        <v>172400</v>
      </c>
      <c r="K34" s="50">
        <f t="shared" si="6"/>
        <v>361000</v>
      </c>
      <c r="L34" s="50">
        <f t="shared" si="6"/>
        <v>130000</v>
      </c>
      <c r="M34" s="50">
        <f t="shared" si="6"/>
        <v>780</v>
      </c>
      <c r="N34" s="50">
        <f t="shared" si="6"/>
        <v>1252500</v>
      </c>
      <c r="O34" s="50">
        <f t="shared" si="6"/>
        <v>188260</v>
      </c>
      <c r="P34" s="50">
        <f t="shared" si="6"/>
        <v>9500</v>
      </c>
      <c r="Q34" s="50">
        <f t="shared" si="6"/>
        <v>314000</v>
      </c>
      <c r="R34" s="50">
        <f t="shared" si="6"/>
        <v>40208.6</v>
      </c>
      <c r="S34" s="50">
        <f t="shared" si="6"/>
        <v>1200000</v>
      </c>
      <c r="T34" s="50">
        <f t="shared" si="6"/>
        <v>1600000</v>
      </c>
      <c r="U34" s="50">
        <f t="shared" si="6"/>
        <v>390000</v>
      </c>
      <c r="V34" s="50">
        <f t="shared" si="6"/>
        <v>0</v>
      </c>
      <c r="W34" s="50">
        <f t="shared" si="6"/>
        <v>360000</v>
      </c>
      <c r="X34" s="50">
        <f t="shared" si="6"/>
        <v>1500</v>
      </c>
      <c r="Y34" s="50">
        <f t="shared" si="6"/>
        <v>1700000</v>
      </c>
      <c r="Z34" s="50">
        <f t="shared" si="6"/>
        <v>30000</v>
      </c>
      <c r="AA34" s="50">
        <f t="shared" si="6"/>
        <v>1220</v>
      </c>
      <c r="AB34" s="50">
        <f t="shared" si="6"/>
        <v>94500</v>
      </c>
      <c r="AC34" s="50">
        <f t="shared" si="6"/>
        <v>486.8</v>
      </c>
      <c r="AD34" s="50">
        <f t="shared" si="6"/>
        <v>6820</v>
      </c>
      <c r="AE34" s="50">
        <f t="shared" si="6"/>
        <v>1000</v>
      </c>
      <c r="AF34" s="50">
        <f t="shared" si="6"/>
        <v>462000</v>
      </c>
      <c r="AG34" s="50">
        <f t="shared" si="6"/>
        <v>560</v>
      </c>
      <c r="AH34" s="50">
        <f t="shared" si="6"/>
        <v>3400</v>
      </c>
      <c r="AI34" s="50">
        <f t="shared" si="6"/>
        <v>514000</v>
      </c>
      <c r="AJ34" s="50">
        <f t="shared" si="6"/>
        <v>222000</v>
      </c>
      <c r="AK34" s="50">
        <f t="shared" si="6"/>
        <v>30000</v>
      </c>
      <c r="AL34" s="50">
        <f t="shared" si="6"/>
        <v>6.7348636363636372</v>
      </c>
      <c r="AM34" s="50">
        <f t="shared" si="6"/>
        <v>53.106000000000009</v>
      </c>
      <c r="AN34" s="50">
        <f t="shared" si="6"/>
        <v>226.76923076923077</v>
      </c>
      <c r="AO34" s="50">
        <f t="shared" si="6"/>
        <v>20</v>
      </c>
      <c r="AP34" s="50">
        <f t="shared" si="6"/>
        <v>3.8919466666666667</v>
      </c>
      <c r="AQ34" s="50">
        <f t="shared" si="6"/>
        <v>14</v>
      </c>
      <c r="AR34" s="50">
        <f t="shared" si="6"/>
        <v>16.396000000000001</v>
      </c>
      <c r="AS34" s="50">
        <f t="shared" si="6"/>
        <v>34000</v>
      </c>
      <c r="AT34" s="50">
        <f t="shared" si="6"/>
        <v>0</v>
      </c>
      <c r="AU34" s="50">
        <f t="shared" si="6"/>
        <v>1000</v>
      </c>
      <c r="AV34" s="50">
        <f t="shared" si="6"/>
        <v>66000</v>
      </c>
      <c r="AW34" s="50">
        <f t="shared" si="6"/>
        <v>35500</v>
      </c>
      <c r="AX34" s="50">
        <f t="shared" si="6"/>
        <v>5400</v>
      </c>
      <c r="AY34" s="50">
        <f t="shared" si="6"/>
        <v>522</v>
      </c>
      <c r="AZ34" s="50">
        <f t="shared" si="6"/>
        <v>1135157.2</v>
      </c>
      <c r="BA34" s="102">
        <f t="shared" si="6"/>
        <v>50000</v>
      </c>
      <c r="BB34" s="102">
        <f t="shared" si="6"/>
        <v>388333.33333333331</v>
      </c>
      <c r="BC34" s="102">
        <f t="shared" si="6"/>
        <v>20</v>
      </c>
      <c r="BD34" s="102">
        <f t="shared" si="6"/>
        <v>300000</v>
      </c>
    </row>
    <row r="35" spans="1:56" ht="15.75" customHeight="1">
      <c r="A35" s="176">
        <v>5</v>
      </c>
      <c r="B35" s="177" t="s">
        <v>354</v>
      </c>
      <c r="C35" s="178">
        <f t="shared" ref="C35:BD35" si="7">C34/C$49</f>
        <v>4.0890688259109312E-2</v>
      </c>
      <c r="D35" s="167">
        <f t="shared" si="7"/>
        <v>1.4239999999999999</v>
      </c>
      <c r="E35" s="167">
        <f t="shared" si="7"/>
        <v>3.8727272727272726</v>
      </c>
      <c r="F35" s="167">
        <f t="shared" si="7"/>
        <v>0.95526315789473681</v>
      </c>
      <c r="G35" s="167">
        <f t="shared" si="7"/>
        <v>0.41799999999999998</v>
      </c>
      <c r="H35" s="167">
        <f t="shared" si="7"/>
        <v>9.6500000000000002E-2</v>
      </c>
      <c r="I35" s="167">
        <f t="shared" si="7"/>
        <v>0.50119999999999998</v>
      </c>
      <c r="J35" s="167">
        <f t="shared" si="7"/>
        <v>0.57466666666666666</v>
      </c>
      <c r="K35" s="167">
        <f t="shared" si="7"/>
        <v>6.5636363636363635E-3</v>
      </c>
      <c r="L35" s="167">
        <f t="shared" si="7"/>
        <v>1.368421052631579</v>
      </c>
      <c r="M35" s="167">
        <f t="shared" si="7"/>
        <v>0.39</v>
      </c>
      <c r="N35" s="167">
        <f t="shared" si="7"/>
        <v>0.41749999999999998</v>
      </c>
      <c r="O35" s="167">
        <f t="shared" si="7"/>
        <v>0.1176625</v>
      </c>
      <c r="P35" s="167">
        <f t="shared" si="7"/>
        <v>0.15322580645161291</v>
      </c>
      <c r="Q35" s="167">
        <f t="shared" si="7"/>
        <v>0.26166666666666666</v>
      </c>
      <c r="R35" s="167">
        <f t="shared" si="7"/>
        <v>0.16753583333333333</v>
      </c>
      <c r="S35" s="167">
        <f t="shared" si="7"/>
        <v>1.2</v>
      </c>
      <c r="T35" s="167">
        <f t="shared" si="7"/>
        <v>0.75958982149639198</v>
      </c>
      <c r="U35" s="167">
        <f t="shared" si="7"/>
        <v>1.95</v>
      </c>
      <c r="V35" s="167">
        <f t="shared" si="7"/>
        <v>0</v>
      </c>
      <c r="W35" s="167">
        <f t="shared" si="7"/>
        <v>0.15</v>
      </c>
      <c r="X35" s="167">
        <f t="shared" si="7"/>
        <v>1</v>
      </c>
      <c r="Y35" s="167">
        <f t="shared" si="7"/>
        <v>0.94444444444444442</v>
      </c>
      <c r="Z35" s="167">
        <f t="shared" si="7"/>
        <v>0.33333333333333331</v>
      </c>
      <c r="AA35" s="167">
        <f t="shared" si="7"/>
        <v>4.2361111111111113E-2</v>
      </c>
      <c r="AB35" s="167">
        <f t="shared" si="7"/>
        <v>0.29531249999999998</v>
      </c>
      <c r="AC35" s="167">
        <f t="shared" si="7"/>
        <v>1.3522222222222222E-2</v>
      </c>
      <c r="AD35" s="167">
        <f t="shared" si="7"/>
        <v>0.82367149758454106</v>
      </c>
      <c r="AE35" s="167">
        <f t="shared" si="7"/>
        <v>0.2</v>
      </c>
      <c r="AF35" s="167">
        <f t="shared" si="7"/>
        <v>0.1925</v>
      </c>
      <c r="AG35" s="167">
        <f t="shared" si="7"/>
        <v>0.1728395061728395</v>
      </c>
      <c r="AH35" s="167">
        <f t="shared" si="7"/>
        <v>1.7</v>
      </c>
      <c r="AI35" s="167">
        <f t="shared" si="7"/>
        <v>0.32634920634920633</v>
      </c>
      <c r="AJ35" s="167">
        <f t="shared" si="7"/>
        <v>0.55500000000000005</v>
      </c>
      <c r="AK35" s="167">
        <f t="shared" si="7"/>
        <v>0.06</v>
      </c>
      <c r="AL35" s="167">
        <f t="shared" si="7"/>
        <v>0.44899090909090916</v>
      </c>
      <c r="AM35" s="167">
        <f t="shared" si="7"/>
        <v>1.7702000000000002</v>
      </c>
      <c r="AN35" s="167">
        <f t="shared" si="7"/>
        <v>2.2676923076923079</v>
      </c>
      <c r="AO35" s="167">
        <f t="shared" si="7"/>
        <v>3.0303030303030303</v>
      </c>
      <c r="AP35" s="167">
        <f t="shared" si="7"/>
        <v>0.37422564102564099</v>
      </c>
      <c r="AQ35" s="167">
        <f t="shared" si="7"/>
        <v>1.75</v>
      </c>
      <c r="AR35" s="167">
        <f t="shared" si="7"/>
        <v>1.6396000000000002</v>
      </c>
      <c r="AS35" s="167">
        <f t="shared" si="7"/>
        <v>2.7199999999999998E-2</v>
      </c>
      <c r="AT35" s="167">
        <f t="shared" si="7"/>
        <v>0</v>
      </c>
      <c r="AU35" s="167">
        <f t="shared" si="7"/>
        <v>0.05</v>
      </c>
      <c r="AV35" s="167">
        <f t="shared" si="7"/>
        <v>2.1999999999999999E-2</v>
      </c>
      <c r="AW35" s="167">
        <f t="shared" si="7"/>
        <v>1.1833333333333333E-2</v>
      </c>
      <c r="AX35" s="167">
        <f t="shared" si="7"/>
        <v>5.4000000000000003E-3</v>
      </c>
      <c r="AY35" s="167">
        <f t="shared" si="7"/>
        <v>1.3050000000000001E-2</v>
      </c>
      <c r="AZ35" s="167">
        <f t="shared" si="7"/>
        <v>0.75677146666666661</v>
      </c>
      <c r="BA35" s="169">
        <f t="shared" si="7"/>
        <v>0.27777777777777779</v>
      </c>
      <c r="BB35" s="169">
        <f t="shared" si="7"/>
        <v>1.9416666666666667</v>
      </c>
      <c r="BC35" s="169">
        <f t="shared" si="7"/>
        <v>0.2</v>
      </c>
      <c r="BD35" s="169">
        <f t="shared" si="7"/>
        <v>1.2</v>
      </c>
    </row>
    <row r="36" spans="1:56" ht="15.75" customHeight="1">
      <c r="A36" s="176">
        <v>6</v>
      </c>
      <c r="B36" s="177"/>
      <c r="C36" s="178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9"/>
      <c r="BB36" s="169"/>
      <c r="BC36" s="169"/>
      <c r="BD36" s="169"/>
    </row>
    <row r="37" spans="1:56" ht="15.75" customHeight="1">
      <c r="A37" s="176">
        <v>7</v>
      </c>
      <c r="B37" s="177" t="s">
        <v>355</v>
      </c>
      <c r="C37" s="99">
        <f t="shared" ref="C37:BD37" si="8">C14*C15</f>
        <v>100000</v>
      </c>
      <c r="D37" s="50">
        <f t="shared" si="8"/>
        <v>0</v>
      </c>
      <c r="E37" s="50">
        <f t="shared" si="8"/>
        <v>7350</v>
      </c>
      <c r="F37" s="50">
        <f t="shared" si="8"/>
        <v>29100</v>
      </c>
      <c r="G37" s="50">
        <f t="shared" si="8"/>
        <v>49999.999999999993</v>
      </c>
      <c r="H37" s="50">
        <f t="shared" si="8"/>
        <v>392</v>
      </c>
      <c r="I37" s="50">
        <f t="shared" si="8"/>
        <v>250000</v>
      </c>
      <c r="J37" s="50">
        <f t="shared" si="8"/>
        <v>82000</v>
      </c>
      <c r="K37" s="50">
        <f t="shared" si="8"/>
        <v>600000</v>
      </c>
      <c r="L37" s="50">
        <f t="shared" si="8"/>
        <v>1215000</v>
      </c>
      <c r="M37" s="50">
        <f t="shared" si="8"/>
        <v>1000</v>
      </c>
      <c r="N37" s="50">
        <f t="shared" si="8"/>
        <v>550000</v>
      </c>
      <c r="O37" s="50">
        <f t="shared" si="8"/>
        <v>170000</v>
      </c>
      <c r="P37" s="50">
        <f t="shared" si="8"/>
        <v>20445</v>
      </c>
      <c r="Q37" s="50">
        <f t="shared" si="8"/>
        <v>4190000</v>
      </c>
      <c r="R37" s="50">
        <f t="shared" si="8"/>
        <v>8000</v>
      </c>
      <c r="S37" s="50">
        <f t="shared" si="8"/>
        <v>300000</v>
      </c>
      <c r="T37" s="50">
        <f t="shared" si="8"/>
        <v>0</v>
      </c>
      <c r="U37" s="50">
        <f t="shared" si="8"/>
        <v>193750</v>
      </c>
      <c r="V37" s="50">
        <f t="shared" si="8"/>
        <v>2000</v>
      </c>
      <c r="W37" s="50">
        <f t="shared" si="8"/>
        <v>4912000</v>
      </c>
      <c r="X37" s="50">
        <f t="shared" si="8"/>
        <v>2500</v>
      </c>
      <c r="Y37" s="50">
        <f t="shared" si="8"/>
        <v>1618750</v>
      </c>
      <c r="Z37" s="50">
        <f t="shared" si="8"/>
        <v>18750</v>
      </c>
      <c r="AA37" s="50">
        <f t="shared" si="8"/>
        <v>75</v>
      </c>
      <c r="AB37" s="50">
        <f t="shared" si="8"/>
        <v>199999.99999999997</v>
      </c>
      <c r="AC37" s="50">
        <f t="shared" si="8"/>
        <v>250</v>
      </c>
      <c r="AD37" s="50">
        <f t="shared" si="8"/>
        <v>5175</v>
      </c>
      <c r="AE37" s="50">
        <f t="shared" si="8"/>
        <v>2000</v>
      </c>
      <c r="AF37" s="50">
        <f t="shared" si="8"/>
        <v>7075000</v>
      </c>
      <c r="AG37" s="50">
        <f t="shared" si="8"/>
        <v>1250</v>
      </c>
      <c r="AH37" s="50">
        <f t="shared" si="8"/>
        <v>500</v>
      </c>
      <c r="AI37" s="50">
        <f t="shared" si="8"/>
        <v>375000</v>
      </c>
      <c r="AJ37" s="50">
        <f t="shared" si="8"/>
        <v>63333.333333333328</v>
      </c>
      <c r="AK37" s="50">
        <f t="shared" si="8"/>
        <v>268000</v>
      </c>
      <c r="AL37" s="50">
        <f t="shared" si="8"/>
        <v>16</v>
      </c>
      <c r="AM37" s="50">
        <f t="shared" si="8"/>
        <v>22.994</v>
      </c>
      <c r="AN37" s="50">
        <f t="shared" si="8"/>
        <v>0</v>
      </c>
      <c r="AO37" s="50">
        <f t="shared" si="8"/>
        <v>1.37225</v>
      </c>
      <c r="AP37" s="50">
        <f t="shared" si="8"/>
        <v>7</v>
      </c>
      <c r="AQ37" s="50">
        <f t="shared" si="8"/>
        <v>0</v>
      </c>
      <c r="AR37" s="50">
        <f t="shared" si="8"/>
        <v>22.990000000000002</v>
      </c>
      <c r="AS37" s="50">
        <f t="shared" si="8"/>
        <v>325000</v>
      </c>
      <c r="AT37" s="50">
        <f t="shared" si="8"/>
        <v>366045</v>
      </c>
      <c r="AU37" s="50">
        <f t="shared" si="8"/>
        <v>7440</v>
      </c>
      <c r="AV37" s="50">
        <f t="shared" si="8"/>
        <v>4090000</v>
      </c>
      <c r="AW37" s="50">
        <f t="shared" si="8"/>
        <v>22400</v>
      </c>
      <c r="AX37" s="50">
        <f t="shared" si="8"/>
        <v>0</v>
      </c>
      <c r="AY37" s="50">
        <f t="shared" si="8"/>
        <v>0</v>
      </c>
      <c r="AZ37" s="50">
        <f t="shared" si="8"/>
        <v>330000</v>
      </c>
      <c r="BA37" s="102">
        <f t="shared" si="8"/>
        <v>62500</v>
      </c>
      <c r="BB37" s="102">
        <f t="shared" si="8"/>
        <v>0</v>
      </c>
      <c r="BC37" s="102">
        <f t="shared" si="8"/>
        <v>160</v>
      </c>
      <c r="BD37" s="102">
        <f t="shared" si="8"/>
        <v>445535.71428571426</v>
      </c>
    </row>
    <row r="38" spans="1:56" ht="15.75" customHeight="1">
      <c r="A38" s="176">
        <v>8</v>
      </c>
      <c r="B38" s="177" t="s">
        <v>356</v>
      </c>
      <c r="C38" s="178">
        <f t="shared" ref="C38:BD38" si="9">C37/C$49</f>
        <v>5.0607287449392713E-3</v>
      </c>
      <c r="D38" s="167">
        <f t="shared" si="9"/>
        <v>0</v>
      </c>
      <c r="E38" s="167">
        <f t="shared" si="9"/>
        <v>0.66818181818181821</v>
      </c>
      <c r="F38" s="167">
        <f t="shared" si="9"/>
        <v>2.5526315789473686</v>
      </c>
      <c r="G38" s="167">
        <f t="shared" si="9"/>
        <v>0.49999999999999994</v>
      </c>
      <c r="H38" s="167">
        <f t="shared" si="9"/>
        <v>9.8000000000000004E-2</v>
      </c>
      <c r="I38" s="167">
        <f t="shared" si="9"/>
        <v>0.125</v>
      </c>
      <c r="J38" s="167">
        <f t="shared" si="9"/>
        <v>0.27333333333333332</v>
      </c>
      <c r="K38" s="167">
        <f t="shared" si="9"/>
        <v>1.090909090909091E-2</v>
      </c>
      <c r="L38" s="167">
        <f t="shared" si="9"/>
        <v>12.789473684210526</v>
      </c>
      <c r="M38" s="167">
        <f t="shared" si="9"/>
        <v>0.5</v>
      </c>
      <c r="N38" s="167">
        <f t="shared" si="9"/>
        <v>0.18333333333333332</v>
      </c>
      <c r="O38" s="167">
        <f t="shared" si="9"/>
        <v>0.10625</v>
      </c>
      <c r="P38" s="167">
        <f t="shared" si="9"/>
        <v>0.32975806451612905</v>
      </c>
      <c r="Q38" s="167">
        <f t="shared" si="9"/>
        <v>3.4916666666666667</v>
      </c>
      <c r="R38" s="167">
        <f t="shared" si="9"/>
        <v>3.3333333333333333E-2</v>
      </c>
      <c r="S38" s="167">
        <f t="shared" si="9"/>
        <v>0.3</v>
      </c>
      <c r="T38" s="167">
        <f t="shared" si="9"/>
        <v>0</v>
      </c>
      <c r="U38" s="167">
        <f t="shared" si="9"/>
        <v>0.96875</v>
      </c>
      <c r="V38" s="167">
        <f t="shared" si="9"/>
        <v>3.8095238095238099E-2</v>
      </c>
      <c r="W38" s="167">
        <f t="shared" si="9"/>
        <v>2.0466666666666669</v>
      </c>
      <c r="X38" s="167">
        <f t="shared" si="9"/>
        <v>1.6666666666666667</v>
      </c>
      <c r="Y38" s="167">
        <f t="shared" si="9"/>
        <v>0.89930555555555558</v>
      </c>
      <c r="Z38" s="167">
        <f t="shared" si="9"/>
        <v>0.20833333333333334</v>
      </c>
      <c r="AA38" s="167">
        <f t="shared" si="9"/>
        <v>2.6041666666666665E-3</v>
      </c>
      <c r="AB38" s="167">
        <f t="shared" si="9"/>
        <v>0.62499999999999989</v>
      </c>
      <c r="AC38" s="167">
        <f t="shared" si="9"/>
        <v>6.9444444444444441E-3</v>
      </c>
      <c r="AD38" s="167">
        <f t="shared" si="9"/>
        <v>0.625</v>
      </c>
      <c r="AE38" s="167">
        <f t="shared" si="9"/>
        <v>0.4</v>
      </c>
      <c r="AF38" s="167">
        <f t="shared" si="9"/>
        <v>2.9479166666666665</v>
      </c>
      <c r="AG38" s="167">
        <f t="shared" si="9"/>
        <v>0.38580246913580246</v>
      </c>
      <c r="AH38" s="167">
        <f t="shared" si="9"/>
        <v>0.25</v>
      </c>
      <c r="AI38" s="167">
        <f t="shared" si="9"/>
        <v>0.23809523809523808</v>
      </c>
      <c r="AJ38" s="167">
        <f t="shared" si="9"/>
        <v>0.15833333333333333</v>
      </c>
      <c r="AK38" s="167">
        <f t="shared" si="9"/>
        <v>0.53600000000000003</v>
      </c>
      <c r="AL38" s="167">
        <f t="shared" si="9"/>
        <v>1.0666666666666667</v>
      </c>
      <c r="AM38" s="167">
        <f t="shared" si="9"/>
        <v>0.76646666666666663</v>
      </c>
      <c r="AN38" s="167">
        <f t="shared" si="9"/>
        <v>0</v>
      </c>
      <c r="AO38" s="167">
        <f t="shared" si="9"/>
        <v>0.20791666666666667</v>
      </c>
      <c r="AP38" s="167">
        <f t="shared" si="9"/>
        <v>0.67307692307692302</v>
      </c>
      <c r="AQ38" s="167">
        <f t="shared" si="9"/>
        <v>0</v>
      </c>
      <c r="AR38" s="167">
        <f t="shared" si="9"/>
        <v>2.2990000000000004</v>
      </c>
      <c r="AS38" s="167">
        <f t="shared" si="9"/>
        <v>0.26</v>
      </c>
      <c r="AT38" s="167">
        <f t="shared" si="9"/>
        <v>0.22184545454545454</v>
      </c>
      <c r="AU38" s="167">
        <f t="shared" si="9"/>
        <v>0.372</v>
      </c>
      <c r="AV38" s="167">
        <f t="shared" si="9"/>
        <v>1.3633333333333333</v>
      </c>
      <c r="AW38" s="167">
        <f t="shared" si="9"/>
        <v>7.4666666666666666E-3</v>
      </c>
      <c r="AX38" s="167">
        <f t="shared" si="9"/>
        <v>0</v>
      </c>
      <c r="AY38" s="167">
        <f t="shared" si="9"/>
        <v>0</v>
      </c>
      <c r="AZ38" s="167">
        <f t="shared" si="9"/>
        <v>0.22</v>
      </c>
      <c r="BA38" s="169">
        <f t="shared" si="9"/>
        <v>0.34722222222222221</v>
      </c>
      <c r="BB38" s="169">
        <f t="shared" si="9"/>
        <v>0</v>
      </c>
      <c r="BC38" s="169">
        <f t="shared" si="9"/>
        <v>1.6</v>
      </c>
      <c r="BD38" s="169">
        <f t="shared" si="9"/>
        <v>1.782142857142857</v>
      </c>
    </row>
    <row r="39" spans="1:56" ht="15.75" customHeight="1">
      <c r="A39" s="176">
        <v>9</v>
      </c>
      <c r="B39" s="177"/>
      <c r="C39" s="104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105"/>
      <c r="BB39" s="105"/>
      <c r="BC39" s="105"/>
      <c r="BD39" s="105"/>
    </row>
    <row r="40" spans="1:56" ht="15.75" customHeight="1">
      <c r="A40" s="176">
        <v>10</v>
      </c>
      <c r="B40" s="177" t="s">
        <v>357</v>
      </c>
      <c r="C40" s="99">
        <f t="shared" ref="C40:BD40" si="10">C18*C19</f>
        <v>429565.21739130432</v>
      </c>
      <c r="D40" s="50">
        <f t="shared" si="10"/>
        <v>0</v>
      </c>
      <c r="E40" s="50">
        <f t="shared" si="10"/>
        <v>3125</v>
      </c>
      <c r="F40" s="50">
        <f t="shared" si="10"/>
        <v>0</v>
      </c>
      <c r="G40" s="50">
        <f t="shared" si="10"/>
        <v>0</v>
      </c>
      <c r="H40" s="50">
        <f t="shared" si="10"/>
        <v>233.33333333333331</v>
      </c>
      <c r="I40" s="50">
        <f t="shared" si="10"/>
        <v>0</v>
      </c>
      <c r="J40" s="50">
        <f t="shared" si="10"/>
        <v>484000</v>
      </c>
      <c r="K40" s="50">
        <f t="shared" si="10"/>
        <v>6000000</v>
      </c>
      <c r="L40" s="50">
        <f t="shared" si="10"/>
        <v>0</v>
      </c>
      <c r="M40" s="50">
        <f t="shared" si="10"/>
        <v>616</v>
      </c>
      <c r="N40" s="50">
        <f t="shared" si="10"/>
        <v>625000</v>
      </c>
      <c r="O40" s="50">
        <f t="shared" si="10"/>
        <v>0</v>
      </c>
      <c r="P40" s="50">
        <f t="shared" si="10"/>
        <v>6720</v>
      </c>
      <c r="Q40" s="50">
        <f t="shared" si="10"/>
        <v>2500000</v>
      </c>
      <c r="R40" s="50">
        <f t="shared" si="10"/>
        <v>0</v>
      </c>
      <c r="S40" s="50">
        <f t="shared" si="10"/>
        <v>712857</v>
      </c>
      <c r="T40" s="50">
        <f t="shared" si="10"/>
        <v>0</v>
      </c>
      <c r="U40" s="50">
        <f t="shared" si="10"/>
        <v>109687.5</v>
      </c>
      <c r="V40" s="50">
        <f t="shared" si="10"/>
        <v>41250</v>
      </c>
      <c r="W40" s="50">
        <f t="shared" si="10"/>
        <v>0</v>
      </c>
      <c r="X40" s="50">
        <f t="shared" si="10"/>
        <v>0</v>
      </c>
      <c r="Y40" s="50">
        <f t="shared" si="10"/>
        <v>1000000</v>
      </c>
      <c r="Z40" s="50">
        <f t="shared" si="10"/>
        <v>0</v>
      </c>
      <c r="AA40" s="50">
        <f t="shared" si="10"/>
        <v>0</v>
      </c>
      <c r="AB40" s="50">
        <f t="shared" si="10"/>
        <v>0</v>
      </c>
      <c r="AC40" s="50">
        <f t="shared" si="10"/>
        <v>0</v>
      </c>
      <c r="AD40" s="50">
        <f t="shared" si="10"/>
        <v>0</v>
      </c>
      <c r="AE40" s="50">
        <f t="shared" si="10"/>
        <v>3480</v>
      </c>
      <c r="AF40" s="50">
        <f t="shared" si="10"/>
        <v>0</v>
      </c>
      <c r="AG40" s="50">
        <f t="shared" si="10"/>
        <v>0</v>
      </c>
      <c r="AH40" s="50">
        <f t="shared" si="10"/>
        <v>0</v>
      </c>
      <c r="AI40" s="50">
        <f t="shared" si="10"/>
        <v>0</v>
      </c>
      <c r="AJ40" s="50">
        <f t="shared" si="10"/>
        <v>768000</v>
      </c>
      <c r="AK40" s="50">
        <f t="shared" si="10"/>
        <v>100000</v>
      </c>
      <c r="AL40" s="50">
        <f t="shared" si="10"/>
        <v>0</v>
      </c>
      <c r="AM40" s="50">
        <f t="shared" si="10"/>
        <v>0</v>
      </c>
      <c r="AN40" s="50">
        <f t="shared" si="10"/>
        <v>0</v>
      </c>
      <c r="AO40" s="50">
        <f t="shared" si="10"/>
        <v>0</v>
      </c>
      <c r="AP40" s="50">
        <f t="shared" si="10"/>
        <v>20</v>
      </c>
      <c r="AQ40" s="50">
        <f t="shared" si="10"/>
        <v>0</v>
      </c>
      <c r="AR40" s="50">
        <f t="shared" si="10"/>
        <v>0</v>
      </c>
      <c r="AS40" s="50">
        <f t="shared" si="10"/>
        <v>62500</v>
      </c>
      <c r="AT40" s="50">
        <f t="shared" si="10"/>
        <v>0</v>
      </c>
      <c r="AU40" s="50">
        <f t="shared" si="10"/>
        <v>4125</v>
      </c>
      <c r="AV40" s="50">
        <f t="shared" si="10"/>
        <v>461000</v>
      </c>
      <c r="AW40" s="50">
        <f t="shared" si="10"/>
        <v>25000</v>
      </c>
      <c r="AX40" s="50">
        <f t="shared" si="10"/>
        <v>0</v>
      </c>
      <c r="AY40" s="50">
        <f t="shared" si="10"/>
        <v>0</v>
      </c>
      <c r="AZ40" s="50">
        <f t="shared" si="10"/>
        <v>0</v>
      </c>
      <c r="BA40" s="102">
        <f t="shared" si="10"/>
        <v>0</v>
      </c>
      <c r="BB40" s="102">
        <f t="shared" si="10"/>
        <v>0</v>
      </c>
      <c r="BC40" s="102">
        <f t="shared" si="10"/>
        <v>155.9375</v>
      </c>
      <c r="BD40" s="102">
        <f t="shared" si="10"/>
        <v>0</v>
      </c>
    </row>
    <row r="41" spans="1:56" ht="15.75" customHeight="1">
      <c r="A41" s="176">
        <v>11</v>
      </c>
      <c r="B41" s="177" t="s">
        <v>358</v>
      </c>
      <c r="C41" s="178">
        <f t="shared" ref="C41:BD41" si="11">C40/C$49</f>
        <v>2.1739130434782608E-2</v>
      </c>
      <c r="D41" s="167">
        <f t="shared" si="11"/>
        <v>0</v>
      </c>
      <c r="E41" s="167">
        <f t="shared" si="11"/>
        <v>0.28409090909090912</v>
      </c>
      <c r="F41" s="167">
        <f t="shared" si="11"/>
        <v>0</v>
      </c>
      <c r="G41" s="167">
        <f t="shared" si="11"/>
        <v>0</v>
      </c>
      <c r="H41" s="167">
        <f t="shared" si="11"/>
        <v>5.8333333333333327E-2</v>
      </c>
      <c r="I41" s="167">
        <f t="shared" si="11"/>
        <v>0</v>
      </c>
      <c r="J41" s="167">
        <f t="shared" si="11"/>
        <v>1.6133333333333333</v>
      </c>
      <c r="K41" s="167">
        <f t="shared" si="11"/>
        <v>0.10909090909090909</v>
      </c>
      <c r="L41" s="167">
        <f t="shared" si="11"/>
        <v>0</v>
      </c>
      <c r="M41" s="167">
        <f t="shared" si="11"/>
        <v>0.308</v>
      </c>
      <c r="N41" s="167">
        <f t="shared" si="11"/>
        <v>0.20833333333333334</v>
      </c>
      <c r="O41" s="167">
        <f t="shared" si="11"/>
        <v>0</v>
      </c>
      <c r="P41" s="167">
        <f t="shared" si="11"/>
        <v>0.10838709677419354</v>
      </c>
      <c r="Q41" s="167">
        <f t="shared" si="11"/>
        <v>2.0833333333333335</v>
      </c>
      <c r="R41" s="167">
        <f t="shared" si="11"/>
        <v>0</v>
      </c>
      <c r="S41" s="167">
        <f t="shared" si="11"/>
        <v>0.71285699999999996</v>
      </c>
      <c r="T41" s="167">
        <f t="shared" si="11"/>
        <v>0</v>
      </c>
      <c r="U41" s="167">
        <f t="shared" si="11"/>
        <v>0.54843750000000002</v>
      </c>
      <c r="V41" s="167">
        <f t="shared" si="11"/>
        <v>0.7857142857142857</v>
      </c>
      <c r="W41" s="167">
        <f t="shared" si="11"/>
        <v>0</v>
      </c>
      <c r="X41" s="167">
        <f t="shared" si="11"/>
        <v>0</v>
      </c>
      <c r="Y41" s="167">
        <f t="shared" si="11"/>
        <v>0.55555555555555558</v>
      </c>
      <c r="Z41" s="167">
        <f t="shared" si="11"/>
        <v>0</v>
      </c>
      <c r="AA41" s="167">
        <f t="shared" si="11"/>
        <v>0</v>
      </c>
      <c r="AB41" s="167">
        <f t="shared" si="11"/>
        <v>0</v>
      </c>
      <c r="AC41" s="167">
        <f t="shared" si="11"/>
        <v>0</v>
      </c>
      <c r="AD41" s="167">
        <f t="shared" si="11"/>
        <v>0</v>
      </c>
      <c r="AE41" s="167">
        <f t="shared" si="11"/>
        <v>0.69599999999999995</v>
      </c>
      <c r="AF41" s="167">
        <f t="shared" si="11"/>
        <v>0</v>
      </c>
      <c r="AG41" s="167">
        <f t="shared" si="11"/>
        <v>0</v>
      </c>
      <c r="AH41" s="167">
        <f t="shared" si="11"/>
        <v>0</v>
      </c>
      <c r="AI41" s="167">
        <f t="shared" si="11"/>
        <v>0</v>
      </c>
      <c r="AJ41" s="167">
        <f t="shared" si="11"/>
        <v>1.92</v>
      </c>
      <c r="AK41" s="167">
        <f t="shared" si="11"/>
        <v>0.2</v>
      </c>
      <c r="AL41" s="167">
        <f t="shared" si="11"/>
        <v>0</v>
      </c>
      <c r="AM41" s="167">
        <f t="shared" si="11"/>
        <v>0</v>
      </c>
      <c r="AN41" s="167">
        <f t="shared" si="11"/>
        <v>0</v>
      </c>
      <c r="AO41" s="167">
        <f t="shared" si="11"/>
        <v>0</v>
      </c>
      <c r="AP41" s="167">
        <f t="shared" si="11"/>
        <v>1.9230769230769229</v>
      </c>
      <c r="AQ41" s="167">
        <f t="shared" si="11"/>
        <v>0</v>
      </c>
      <c r="AR41" s="167">
        <f t="shared" si="11"/>
        <v>0</v>
      </c>
      <c r="AS41" s="167">
        <f t="shared" si="11"/>
        <v>0.05</v>
      </c>
      <c r="AT41" s="167">
        <f t="shared" si="11"/>
        <v>0</v>
      </c>
      <c r="AU41" s="167">
        <f t="shared" si="11"/>
        <v>0.20624999999999999</v>
      </c>
      <c r="AV41" s="167">
        <f t="shared" si="11"/>
        <v>0.15366666666666667</v>
      </c>
      <c r="AW41" s="167">
        <f t="shared" si="11"/>
        <v>8.3333333333333332E-3</v>
      </c>
      <c r="AX41" s="167">
        <f t="shared" si="11"/>
        <v>0</v>
      </c>
      <c r="AY41" s="167">
        <f t="shared" si="11"/>
        <v>0</v>
      </c>
      <c r="AZ41" s="167">
        <f t="shared" si="11"/>
        <v>0</v>
      </c>
      <c r="BA41" s="169">
        <f t="shared" si="11"/>
        <v>0</v>
      </c>
      <c r="BB41" s="169">
        <f t="shared" si="11"/>
        <v>0</v>
      </c>
      <c r="BC41" s="169">
        <f t="shared" si="11"/>
        <v>1.559375</v>
      </c>
      <c r="BD41" s="169">
        <f t="shared" si="11"/>
        <v>0</v>
      </c>
    </row>
    <row r="42" spans="1:56" ht="15.75" customHeight="1">
      <c r="A42" s="176">
        <v>12</v>
      </c>
      <c r="B42" s="177"/>
      <c r="C42" s="178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9"/>
      <c r="BB42" s="169"/>
      <c r="BC42" s="169"/>
      <c r="BD42" s="169"/>
    </row>
    <row r="43" spans="1:56" ht="15.75" customHeight="1">
      <c r="A43" s="176">
        <v>13</v>
      </c>
      <c r="B43" s="177" t="s">
        <v>359</v>
      </c>
      <c r="C43" s="99">
        <f t="shared" ref="C43:BD43" si="12">C22*C23</f>
        <v>2000000</v>
      </c>
      <c r="D43" s="50">
        <f t="shared" si="12"/>
        <v>0</v>
      </c>
      <c r="E43" s="50">
        <f t="shared" si="12"/>
        <v>20700</v>
      </c>
      <c r="F43" s="50">
        <f t="shared" si="12"/>
        <v>0</v>
      </c>
      <c r="G43" s="50">
        <f t="shared" si="12"/>
        <v>0</v>
      </c>
      <c r="H43" s="50">
        <f t="shared" si="12"/>
        <v>0</v>
      </c>
      <c r="I43" s="50">
        <f t="shared" si="12"/>
        <v>0</v>
      </c>
      <c r="J43" s="50">
        <f t="shared" si="12"/>
        <v>0</v>
      </c>
      <c r="K43" s="50">
        <f t="shared" si="12"/>
        <v>0</v>
      </c>
      <c r="L43" s="50">
        <f t="shared" si="12"/>
        <v>0</v>
      </c>
      <c r="M43" s="50">
        <f t="shared" si="12"/>
        <v>166.66666666666666</v>
      </c>
      <c r="N43" s="50">
        <f t="shared" si="12"/>
        <v>0</v>
      </c>
      <c r="O43" s="50">
        <f t="shared" si="12"/>
        <v>0</v>
      </c>
      <c r="P43" s="50">
        <f t="shared" si="12"/>
        <v>1666.6666666666665</v>
      </c>
      <c r="Q43" s="50">
        <f t="shared" si="12"/>
        <v>0</v>
      </c>
      <c r="R43" s="50">
        <f t="shared" si="12"/>
        <v>0</v>
      </c>
      <c r="S43" s="50">
        <f t="shared" si="12"/>
        <v>1500000</v>
      </c>
      <c r="T43" s="50">
        <f t="shared" si="12"/>
        <v>0</v>
      </c>
      <c r="U43" s="50">
        <f t="shared" si="12"/>
        <v>495000</v>
      </c>
      <c r="V43" s="50">
        <f t="shared" si="12"/>
        <v>0</v>
      </c>
      <c r="W43" s="50">
        <f t="shared" si="12"/>
        <v>0</v>
      </c>
      <c r="X43" s="50">
        <f t="shared" si="12"/>
        <v>0</v>
      </c>
      <c r="Y43" s="50">
        <f t="shared" si="12"/>
        <v>0</v>
      </c>
      <c r="Z43" s="50">
        <f t="shared" si="12"/>
        <v>0</v>
      </c>
      <c r="AA43" s="50">
        <f t="shared" si="12"/>
        <v>0</v>
      </c>
      <c r="AB43" s="50">
        <f t="shared" si="12"/>
        <v>0</v>
      </c>
      <c r="AC43" s="50">
        <f t="shared" si="12"/>
        <v>0</v>
      </c>
      <c r="AD43" s="50">
        <f t="shared" si="12"/>
        <v>0</v>
      </c>
      <c r="AE43" s="50">
        <f t="shared" si="12"/>
        <v>1250</v>
      </c>
      <c r="AF43" s="50">
        <f t="shared" si="12"/>
        <v>0</v>
      </c>
      <c r="AG43" s="50">
        <f t="shared" si="12"/>
        <v>0</v>
      </c>
      <c r="AH43" s="50">
        <f t="shared" si="12"/>
        <v>0</v>
      </c>
      <c r="AI43" s="50">
        <f t="shared" si="12"/>
        <v>0</v>
      </c>
      <c r="AJ43" s="50">
        <f t="shared" si="12"/>
        <v>0</v>
      </c>
      <c r="AK43" s="50">
        <f t="shared" si="12"/>
        <v>0</v>
      </c>
      <c r="AL43" s="50">
        <f t="shared" si="12"/>
        <v>0</v>
      </c>
      <c r="AM43" s="50">
        <f t="shared" si="12"/>
        <v>0</v>
      </c>
      <c r="AN43" s="50">
        <f t="shared" si="12"/>
        <v>0</v>
      </c>
      <c r="AO43" s="50">
        <f t="shared" si="12"/>
        <v>0</v>
      </c>
      <c r="AP43" s="50">
        <f t="shared" si="12"/>
        <v>0</v>
      </c>
      <c r="AQ43" s="50">
        <f t="shared" si="12"/>
        <v>0</v>
      </c>
      <c r="AR43" s="50">
        <f t="shared" si="12"/>
        <v>0</v>
      </c>
      <c r="AS43" s="50">
        <f t="shared" si="12"/>
        <v>0</v>
      </c>
      <c r="AT43" s="50">
        <f t="shared" si="12"/>
        <v>0</v>
      </c>
      <c r="AU43" s="50">
        <f t="shared" si="12"/>
        <v>0</v>
      </c>
      <c r="AV43" s="50">
        <f t="shared" si="12"/>
        <v>0</v>
      </c>
      <c r="AW43" s="50">
        <f t="shared" si="12"/>
        <v>0</v>
      </c>
      <c r="AX43" s="50">
        <f t="shared" si="12"/>
        <v>0</v>
      </c>
      <c r="AY43" s="50">
        <f t="shared" si="12"/>
        <v>0</v>
      </c>
      <c r="AZ43" s="50">
        <f t="shared" si="12"/>
        <v>0</v>
      </c>
      <c r="BA43" s="102">
        <f t="shared" si="12"/>
        <v>0</v>
      </c>
      <c r="BB43" s="102">
        <f t="shared" si="12"/>
        <v>0</v>
      </c>
      <c r="BC43" s="102">
        <f t="shared" si="12"/>
        <v>0</v>
      </c>
      <c r="BD43" s="102">
        <f t="shared" si="12"/>
        <v>0</v>
      </c>
    </row>
    <row r="44" spans="1:56" ht="15.75" customHeight="1">
      <c r="A44" s="176">
        <v>14</v>
      </c>
      <c r="B44" s="177" t="s">
        <v>360</v>
      </c>
      <c r="C44" s="178">
        <f t="shared" ref="C44:BD44" si="13">C43/C$49</f>
        <v>0.10121457489878542</v>
      </c>
      <c r="D44" s="167">
        <f t="shared" si="13"/>
        <v>0</v>
      </c>
      <c r="E44" s="167">
        <f t="shared" si="13"/>
        <v>1.8818181818181818</v>
      </c>
      <c r="F44" s="167">
        <f t="shared" si="13"/>
        <v>0</v>
      </c>
      <c r="G44" s="167">
        <f t="shared" si="13"/>
        <v>0</v>
      </c>
      <c r="H44" s="167">
        <f t="shared" si="13"/>
        <v>0</v>
      </c>
      <c r="I44" s="167">
        <f t="shared" si="13"/>
        <v>0</v>
      </c>
      <c r="J44" s="167">
        <f t="shared" si="13"/>
        <v>0</v>
      </c>
      <c r="K44" s="167">
        <f t="shared" si="13"/>
        <v>0</v>
      </c>
      <c r="L44" s="167">
        <f t="shared" si="13"/>
        <v>0</v>
      </c>
      <c r="M44" s="167">
        <f t="shared" si="13"/>
        <v>8.3333333333333329E-2</v>
      </c>
      <c r="N44" s="167">
        <f t="shared" si="13"/>
        <v>0</v>
      </c>
      <c r="O44" s="167">
        <f t="shared" si="13"/>
        <v>0</v>
      </c>
      <c r="P44" s="167">
        <f t="shared" si="13"/>
        <v>2.6881720430107524E-2</v>
      </c>
      <c r="Q44" s="167">
        <f t="shared" si="13"/>
        <v>0</v>
      </c>
      <c r="R44" s="167">
        <f t="shared" si="13"/>
        <v>0</v>
      </c>
      <c r="S44" s="167">
        <f t="shared" si="13"/>
        <v>1.5</v>
      </c>
      <c r="T44" s="167">
        <f t="shared" si="13"/>
        <v>0</v>
      </c>
      <c r="U44" s="167">
        <f t="shared" si="13"/>
        <v>2.4750000000000001</v>
      </c>
      <c r="V44" s="167">
        <f t="shared" si="13"/>
        <v>0</v>
      </c>
      <c r="W44" s="167">
        <f t="shared" si="13"/>
        <v>0</v>
      </c>
      <c r="X44" s="167">
        <f t="shared" si="13"/>
        <v>0</v>
      </c>
      <c r="Y44" s="167">
        <f t="shared" si="13"/>
        <v>0</v>
      </c>
      <c r="Z44" s="167">
        <f t="shared" si="13"/>
        <v>0</v>
      </c>
      <c r="AA44" s="167">
        <f t="shared" si="13"/>
        <v>0</v>
      </c>
      <c r="AB44" s="167">
        <f t="shared" si="13"/>
        <v>0</v>
      </c>
      <c r="AC44" s="167">
        <f t="shared" si="13"/>
        <v>0</v>
      </c>
      <c r="AD44" s="167">
        <f t="shared" si="13"/>
        <v>0</v>
      </c>
      <c r="AE44" s="167">
        <f t="shared" si="13"/>
        <v>0.25</v>
      </c>
      <c r="AF44" s="167">
        <f t="shared" si="13"/>
        <v>0</v>
      </c>
      <c r="AG44" s="167">
        <f t="shared" si="13"/>
        <v>0</v>
      </c>
      <c r="AH44" s="167">
        <f t="shared" si="13"/>
        <v>0</v>
      </c>
      <c r="AI44" s="167">
        <f t="shared" si="13"/>
        <v>0</v>
      </c>
      <c r="AJ44" s="167">
        <f t="shared" si="13"/>
        <v>0</v>
      </c>
      <c r="AK44" s="167">
        <f t="shared" si="13"/>
        <v>0</v>
      </c>
      <c r="AL44" s="167">
        <f t="shared" si="13"/>
        <v>0</v>
      </c>
      <c r="AM44" s="167">
        <f t="shared" si="13"/>
        <v>0</v>
      </c>
      <c r="AN44" s="167">
        <f t="shared" si="13"/>
        <v>0</v>
      </c>
      <c r="AO44" s="167">
        <f t="shared" si="13"/>
        <v>0</v>
      </c>
      <c r="AP44" s="167">
        <f t="shared" si="13"/>
        <v>0</v>
      </c>
      <c r="AQ44" s="167">
        <f t="shared" si="13"/>
        <v>0</v>
      </c>
      <c r="AR44" s="167">
        <f t="shared" si="13"/>
        <v>0</v>
      </c>
      <c r="AS44" s="167">
        <f t="shared" si="13"/>
        <v>0</v>
      </c>
      <c r="AT44" s="167">
        <f t="shared" si="13"/>
        <v>0</v>
      </c>
      <c r="AU44" s="167">
        <f t="shared" si="13"/>
        <v>0</v>
      </c>
      <c r="AV44" s="167">
        <f t="shared" si="13"/>
        <v>0</v>
      </c>
      <c r="AW44" s="167">
        <f t="shared" si="13"/>
        <v>0</v>
      </c>
      <c r="AX44" s="167">
        <f t="shared" si="13"/>
        <v>0</v>
      </c>
      <c r="AY44" s="167">
        <f t="shared" si="13"/>
        <v>0</v>
      </c>
      <c r="AZ44" s="167">
        <f t="shared" si="13"/>
        <v>0</v>
      </c>
      <c r="BA44" s="169">
        <f t="shared" si="13"/>
        <v>0</v>
      </c>
      <c r="BB44" s="169">
        <f t="shared" si="13"/>
        <v>0</v>
      </c>
      <c r="BC44" s="169">
        <f t="shared" si="13"/>
        <v>0</v>
      </c>
      <c r="BD44" s="169">
        <f t="shared" si="13"/>
        <v>0</v>
      </c>
    </row>
    <row r="45" spans="1:56" ht="15.75" customHeight="1">
      <c r="A45" s="176">
        <v>15</v>
      </c>
      <c r="B45" s="177"/>
      <c r="C45" s="10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105"/>
      <c r="BB45" s="105"/>
      <c r="BC45" s="105"/>
      <c r="BD45" s="105"/>
    </row>
    <row r="46" spans="1:56" ht="15.75" customHeight="1">
      <c r="A46" s="176">
        <v>16</v>
      </c>
      <c r="B46" s="208" t="s">
        <v>361</v>
      </c>
      <c r="C46" s="99">
        <f t="shared" ref="C46:BD46" si="14">C34+C37+C40+C43</f>
        <v>3337565.2173913042</v>
      </c>
      <c r="D46" s="50">
        <f t="shared" si="14"/>
        <v>178000</v>
      </c>
      <c r="E46" s="50">
        <f t="shared" si="14"/>
        <v>73775</v>
      </c>
      <c r="F46" s="50">
        <f t="shared" si="14"/>
        <v>39990</v>
      </c>
      <c r="G46" s="50">
        <f t="shared" si="14"/>
        <v>91800</v>
      </c>
      <c r="H46" s="50">
        <f t="shared" si="14"/>
        <v>1011.3333333333333</v>
      </c>
      <c r="I46" s="50">
        <f t="shared" si="14"/>
        <v>1252400</v>
      </c>
      <c r="J46" s="50">
        <f t="shared" si="14"/>
        <v>738400</v>
      </c>
      <c r="K46" s="50">
        <f t="shared" si="14"/>
        <v>6961000</v>
      </c>
      <c r="L46" s="50">
        <f t="shared" si="14"/>
        <v>1345000</v>
      </c>
      <c r="M46" s="50">
        <f t="shared" si="14"/>
        <v>2562.6666666666665</v>
      </c>
      <c r="N46" s="50">
        <f t="shared" si="14"/>
        <v>2427500</v>
      </c>
      <c r="O46" s="50">
        <f t="shared" si="14"/>
        <v>358260</v>
      </c>
      <c r="P46" s="50">
        <f t="shared" si="14"/>
        <v>38331.666666666664</v>
      </c>
      <c r="Q46" s="50">
        <f t="shared" si="14"/>
        <v>7004000</v>
      </c>
      <c r="R46" s="50">
        <f t="shared" si="14"/>
        <v>48208.6</v>
      </c>
      <c r="S46" s="50">
        <f t="shared" si="14"/>
        <v>3712857</v>
      </c>
      <c r="T46" s="50">
        <f t="shared" si="14"/>
        <v>1600000</v>
      </c>
      <c r="U46" s="50">
        <f t="shared" si="14"/>
        <v>1188437.5</v>
      </c>
      <c r="V46" s="50">
        <f t="shared" si="14"/>
        <v>43250</v>
      </c>
      <c r="W46" s="50">
        <f t="shared" si="14"/>
        <v>5272000</v>
      </c>
      <c r="X46" s="50">
        <f t="shared" si="14"/>
        <v>4000</v>
      </c>
      <c r="Y46" s="50">
        <f t="shared" si="14"/>
        <v>4318750</v>
      </c>
      <c r="Z46" s="50">
        <f t="shared" si="14"/>
        <v>48750</v>
      </c>
      <c r="AA46" s="50">
        <f t="shared" si="14"/>
        <v>1295</v>
      </c>
      <c r="AB46" s="50">
        <f t="shared" si="14"/>
        <v>294500</v>
      </c>
      <c r="AC46" s="50">
        <f t="shared" si="14"/>
        <v>736.8</v>
      </c>
      <c r="AD46" s="50">
        <f t="shared" si="14"/>
        <v>11995</v>
      </c>
      <c r="AE46" s="50">
        <f t="shared" si="14"/>
        <v>7730</v>
      </c>
      <c r="AF46" s="50">
        <f t="shared" si="14"/>
        <v>7537000</v>
      </c>
      <c r="AG46" s="50">
        <f t="shared" si="14"/>
        <v>1810</v>
      </c>
      <c r="AH46" s="50">
        <f t="shared" si="14"/>
        <v>3900</v>
      </c>
      <c r="AI46" s="50">
        <f t="shared" si="14"/>
        <v>889000</v>
      </c>
      <c r="AJ46" s="50">
        <f t="shared" si="14"/>
        <v>1053333.3333333333</v>
      </c>
      <c r="AK46" s="50">
        <f t="shared" si="14"/>
        <v>398000</v>
      </c>
      <c r="AL46" s="50">
        <f t="shared" si="14"/>
        <v>22.734863636363638</v>
      </c>
      <c r="AM46" s="50">
        <f t="shared" si="14"/>
        <v>76.100000000000009</v>
      </c>
      <c r="AN46" s="50">
        <f t="shared" si="14"/>
        <v>226.76923076923077</v>
      </c>
      <c r="AO46" s="50">
        <f t="shared" si="14"/>
        <v>21.372250000000001</v>
      </c>
      <c r="AP46" s="50">
        <f t="shared" si="14"/>
        <v>30.891946666666666</v>
      </c>
      <c r="AQ46" s="50">
        <f t="shared" si="14"/>
        <v>14</v>
      </c>
      <c r="AR46" s="50">
        <f t="shared" si="14"/>
        <v>39.386000000000003</v>
      </c>
      <c r="AS46" s="50">
        <f t="shared" si="14"/>
        <v>421500</v>
      </c>
      <c r="AT46" s="50">
        <f t="shared" si="14"/>
        <v>366045</v>
      </c>
      <c r="AU46" s="50">
        <f t="shared" si="14"/>
        <v>12565</v>
      </c>
      <c r="AV46" s="50">
        <f t="shared" si="14"/>
        <v>4617000</v>
      </c>
      <c r="AW46" s="50">
        <f t="shared" si="14"/>
        <v>82900</v>
      </c>
      <c r="AX46" s="50">
        <f t="shared" si="14"/>
        <v>5400</v>
      </c>
      <c r="AY46" s="50">
        <f t="shared" si="14"/>
        <v>522</v>
      </c>
      <c r="AZ46" s="50">
        <f t="shared" si="14"/>
        <v>1465157.2</v>
      </c>
      <c r="BA46" s="102">
        <f t="shared" si="14"/>
        <v>112500</v>
      </c>
      <c r="BB46" s="102">
        <f t="shared" si="14"/>
        <v>388333.33333333331</v>
      </c>
      <c r="BC46" s="102">
        <f t="shared" si="14"/>
        <v>335.9375</v>
      </c>
      <c r="BD46" s="102">
        <f t="shared" si="14"/>
        <v>745535.71428571432</v>
      </c>
    </row>
    <row r="47" spans="1:56" ht="15.75" customHeight="1">
      <c r="A47" s="176">
        <v>17</v>
      </c>
      <c r="B47" s="177" t="s">
        <v>362</v>
      </c>
      <c r="C47" s="178">
        <f t="shared" ref="C47:BD47" si="15">C46/C49</f>
        <v>0.16890512233761662</v>
      </c>
      <c r="D47" s="167">
        <f t="shared" si="15"/>
        <v>1.4239999999999999</v>
      </c>
      <c r="E47" s="167">
        <f t="shared" si="15"/>
        <v>6.706818181818182</v>
      </c>
      <c r="F47" s="167">
        <f t="shared" si="15"/>
        <v>3.5078947368421054</v>
      </c>
      <c r="G47" s="167">
        <f t="shared" si="15"/>
        <v>0.91800000000000004</v>
      </c>
      <c r="H47" s="167">
        <f t="shared" si="15"/>
        <v>0.2528333333333333</v>
      </c>
      <c r="I47" s="167">
        <f t="shared" si="15"/>
        <v>0.62619999999999998</v>
      </c>
      <c r="J47" s="167">
        <f t="shared" si="15"/>
        <v>2.4613333333333332</v>
      </c>
      <c r="K47" s="167">
        <f t="shared" si="15"/>
        <v>0.12656363636363635</v>
      </c>
      <c r="L47" s="167">
        <f t="shared" si="15"/>
        <v>14.157894736842104</v>
      </c>
      <c r="M47" s="167">
        <f t="shared" si="15"/>
        <v>1.2813333333333332</v>
      </c>
      <c r="N47" s="167">
        <f t="shared" si="15"/>
        <v>0.8091666666666667</v>
      </c>
      <c r="O47" s="167">
        <f t="shared" si="15"/>
        <v>0.22391249999999999</v>
      </c>
      <c r="P47" s="167">
        <f t="shared" si="15"/>
        <v>0.61825268817204293</v>
      </c>
      <c r="Q47" s="167">
        <f t="shared" si="15"/>
        <v>5.8366666666666669</v>
      </c>
      <c r="R47" s="167">
        <f t="shared" si="15"/>
        <v>0.20086916666666665</v>
      </c>
      <c r="S47" s="167">
        <f t="shared" si="15"/>
        <v>3.7128570000000001</v>
      </c>
      <c r="T47" s="167">
        <f t="shared" si="15"/>
        <v>0.75958982149639198</v>
      </c>
      <c r="U47" s="167">
        <f t="shared" si="15"/>
        <v>5.9421875000000002</v>
      </c>
      <c r="V47" s="167">
        <f t="shared" si="15"/>
        <v>0.82380952380952377</v>
      </c>
      <c r="W47" s="167">
        <f t="shared" si="15"/>
        <v>2.1966666666666668</v>
      </c>
      <c r="X47" s="167">
        <f t="shared" si="15"/>
        <v>2.6666666666666665</v>
      </c>
      <c r="Y47" s="167">
        <f t="shared" si="15"/>
        <v>2.3993055555555554</v>
      </c>
      <c r="Z47" s="167">
        <f t="shared" si="15"/>
        <v>0.54166666666666663</v>
      </c>
      <c r="AA47" s="167">
        <f t="shared" si="15"/>
        <v>4.4965277777777778E-2</v>
      </c>
      <c r="AB47" s="167">
        <f t="shared" si="15"/>
        <v>0.92031249999999998</v>
      </c>
      <c r="AC47" s="167">
        <f t="shared" si="15"/>
        <v>2.0466666666666664E-2</v>
      </c>
      <c r="AD47" s="167">
        <f t="shared" si="15"/>
        <v>1.4486714975845412</v>
      </c>
      <c r="AE47" s="167">
        <f t="shared" si="15"/>
        <v>1.546</v>
      </c>
      <c r="AF47" s="167">
        <f t="shared" si="15"/>
        <v>3.1404166666666669</v>
      </c>
      <c r="AG47" s="167">
        <f t="shared" si="15"/>
        <v>0.55864197530864201</v>
      </c>
      <c r="AH47" s="167">
        <f t="shared" si="15"/>
        <v>1.95</v>
      </c>
      <c r="AI47" s="167">
        <f t="shared" si="15"/>
        <v>0.56444444444444442</v>
      </c>
      <c r="AJ47" s="167">
        <f t="shared" si="15"/>
        <v>2.6333333333333333</v>
      </c>
      <c r="AK47" s="167">
        <f t="shared" si="15"/>
        <v>0.79600000000000004</v>
      </c>
      <c r="AL47" s="167">
        <f t="shared" si="15"/>
        <v>1.5156575757575759</v>
      </c>
      <c r="AM47" s="167">
        <f t="shared" si="15"/>
        <v>2.5366666666666671</v>
      </c>
      <c r="AN47" s="167">
        <f t="shared" si="15"/>
        <v>2.2676923076923079</v>
      </c>
      <c r="AO47" s="167">
        <f t="shared" si="15"/>
        <v>3.2382196969696975</v>
      </c>
      <c r="AP47" s="167">
        <f t="shared" si="15"/>
        <v>2.9703794871794869</v>
      </c>
      <c r="AQ47" s="167">
        <f t="shared" si="15"/>
        <v>1.75</v>
      </c>
      <c r="AR47" s="167">
        <f t="shared" si="15"/>
        <v>3.9386000000000001</v>
      </c>
      <c r="AS47" s="167">
        <f t="shared" si="15"/>
        <v>0.3372</v>
      </c>
      <c r="AT47" s="167">
        <f t="shared" si="15"/>
        <v>0.22184545454545454</v>
      </c>
      <c r="AU47" s="167">
        <f t="shared" si="15"/>
        <v>0.62824999999999998</v>
      </c>
      <c r="AV47" s="167">
        <f t="shared" si="15"/>
        <v>1.5389999999999999</v>
      </c>
      <c r="AW47" s="167">
        <f t="shared" si="15"/>
        <v>2.7633333333333333E-2</v>
      </c>
      <c r="AX47" s="167">
        <f t="shared" si="15"/>
        <v>5.4000000000000003E-3</v>
      </c>
      <c r="AY47" s="167">
        <f t="shared" si="15"/>
        <v>1.3050000000000001E-2</v>
      </c>
      <c r="AZ47" s="167">
        <f t="shared" si="15"/>
        <v>0.97677146666666659</v>
      </c>
      <c r="BA47" s="169">
        <f t="shared" si="15"/>
        <v>0.625</v>
      </c>
      <c r="BB47" s="169">
        <f t="shared" si="15"/>
        <v>1.9416666666666667</v>
      </c>
      <c r="BC47" s="169">
        <f t="shared" si="15"/>
        <v>3.359375</v>
      </c>
      <c r="BD47" s="169">
        <f t="shared" si="15"/>
        <v>2.9821428571428572</v>
      </c>
    </row>
    <row r="48" spans="1:56" ht="15.75" customHeight="1">
      <c r="A48" s="176">
        <v>18</v>
      </c>
      <c r="B48" s="208"/>
      <c r="C48" s="10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105"/>
      <c r="BB48" s="105"/>
      <c r="BC48" s="105"/>
      <c r="BD48" s="105"/>
    </row>
    <row r="49" spans="1:56" ht="15.75" customHeight="1">
      <c r="A49" s="176">
        <v>19</v>
      </c>
      <c r="B49" s="177" t="s">
        <v>363</v>
      </c>
      <c r="C49" s="99">
        <f t="shared" ref="C49:BD49" si="16">C25/C26</f>
        <v>19760000</v>
      </c>
      <c r="D49" s="50">
        <f t="shared" si="16"/>
        <v>125000</v>
      </c>
      <c r="E49" s="50">
        <f t="shared" si="16"/>
        <v>11000</v>
      </c>
      <c r="F49" s="50">
        <f t="shared" si="16"/>
        <v>11400</v>
      </c>
      <c r="G49" s="50">
        <f t="shared" si="16"/>
        <v>100000</v>
      </c>
      <c r="H49" s="50">
        <f t="shared" si="16"/>
        <v>4000</v>
      </c>
      <c r="I49" s="50">
        <f t="shared" si="16"/>
        <v>2000000</v>
      </c>
      <c r="J49" s="50">
        <f t="shared" si="16"/>
        <v>300000</v>
      </c>
      <c r="K49" s="50">
        <f t="shared" si="16"/>
        <v>55000000</v>
      </c>
      <c r="L49" s="50">
        <f t="shared" si="16"/>
        <v>95000</v>
      </c>
      <c r="M49" s="50">
        <f t="shared" si="16"/>
        <v>2000</v>
      </c>
      <c r="N49" s="50">
        <f t="shared" si="16"/>
        <v>3000000</v>
      </c>
      <c r="O49" s="50">
        <f t="shared" si="16"/>
        <v>1600000</v>
      </c>
      <c r="P49" s="50">
        <f t="shared" si="16"/>
        <v>62000</v>
      </c>
      <c r="Q49" s="50">
        <f t="shared" si="16"/>
        <v>1200000</v>
      </c>
      <c r="R49" s="50">
        <f t="shared" si="16"/>
        <v>240000</v>
      </c>
      <c r="S49" s="50">
        <f t="shared" si="16"/>
        <v>1000000</v>
      </c>
      <c r="T49" s="50">
        <f t="shared" si="16"/>
        <v>2106400</v>
      </c>
      <c r="U49" s="50">
        <f t="shared" si="16"/>
        <v>200000</v>
      </c>
      <c r="V49" s="50">
        <f t="shared" si="16"/>
        <v>52500</v>
      </c>
      <c r="W49" s="50">
        <f t="shared" si="16"/>
        <v>2400000</v>
      </c>
      <c r="X49" s="50">
        <f t="shared" si="16"/>
        <v>1500</v>
      </c>
      <c r="Y49" s="50">
        <f t="shared" si="16"/>
        <v>1800000</v>
      </c>
      <c r="Z49" s="50">
        <f t="shared" si="16"/>
        <v>90000</v>
      </c>
      <c r="AA49" s="50">
        <f t="shared" si="16"/>
        <v>28800</v>
      </c>
      <c r="AB49" s="50">
        <f t="shared" si="16"/>
        <v>320000</v>
      </c>
      <c r="AC49" s="50">
        <f t="shared" si="16"/>
        <v>36000</v>
      </c>
      <c r="AD49" s="50">
        <f t="shared" si="16"/>
        <v>8280</v>
      </c>
      <c r="AE49" s="50">
        <f t="shared" si="16"/>
        <v>5000</v>
      </c>
      <c r="AF49" s="50">
        <f t="shared" si="16"/>
        <v>2400000</v>
      </c>
      <c r="AG49" s="50">
        <f t="shared" si="16"/>
        <v>3240</v>
      </c>
      <c r="AH49" s="50">
        <f t="shared" si="16"/>
        <v>2000</v>
      </c>
      <c r="AI49" s="50">
        <f t="shared" si="16"/>
        <v>1575000</v>
      </c>
      <c r="AJ49" s="50">
        <f t="shared" si="16"/>
        <v>400000</v>
      </c>
      <c r="AK49" s="50">
        <f t="shared" si="16"/>
        <v>500000</v>
      </c>
      <c r="AL49" s="50">
        <f t="shared" si="16"/>
        <v>15</v>
      </c>
      <c r="AM49" s="50">
        <f t="shared" si="16"/>
        <v>30</v>
      </c>
      <c r="AN49" s="50">
        <f t="shared" si="16"/>
        <v>100</v>
      </c>
      <c r="AO49" s="50">
        <f t="shared" si="16"/>
        <v>6.6</v>
      </c>
      <c r="AP49" s="50">
        <f t="shared" si="16"/>
        <v>10.4</v>
      </c>
      <c r="AQ49" s="50">
        <f t="shared" si="16"/>
        <v>8</v>
      </c>
      <c r="AR49" s="50">
        <f t="shared" si="16"/>
        <v>10</v>
      </c>
      <c r="AS49" s="50">
        <f t="shared" si="16"/>
        <v>1250000</v>
      </c>
      <c r="AT49" s="50">
        <f t="shared" si="16"/>
        <v>1650000</v>
      </c>
      <c r="AU49" s="50">
        <f t="shared" si="16"/>
        <v>20000</v>
      </c>
      <c r="AV49" s="50">
        <f t="shared" si="16"/>
        <v>3000000</v>
      </c>
      <c r="AW49" s="50">
        <f t="shared" si="16"/>
        <v>3000000</v>
      </c>
      <c r="AX49" s="50">
        <f t="shared" si="16"/>
        <v>1000000</v>
      </c>
      <c r="AY49" s="50">
        <f t="shared" si="16"/>
        <v>40000</v>
      </c>
      <c r="AZ49" s="50">
        <f t="shared" si="16"/>
        <v>1500000</v>
      </c>
      <c r="BA49" s="102">
        <f t="shared" si="16"/>
        <v>180000</v>
      </c>
      <c r="BB49" s="102">
        <f t="shared" si="16"/>
        <v>200000</v>
      </c>
      <c r="BC49" s="102">
        <f t="shared" si="16"/>
        <v>100</v>
      </c>
      <c r="BD49" s="102">
        <f t="shared" si="16"/>
        <v>250000</v>
      </c>
    </row>
    <row r="50" spans="1:56" ht="15.75" customHeight="1">
      <c r="A50" s="176">
        <v>20</v>
      </c>
      <c r="B50" s="210"/>
      <c r="C50" s="10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156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105"/>
      <c r="BB50" s="105"/>
      <c r="BC50" s="105"/>
      <c r="BD50" s="105"/>
    </row>
    <row r="51" spans="1:56" ht="15.75" customHeight="1">
      <c r="A51" s="176">
        <v>21</v>
      </c>
      <c r="B51" s="177" t="s">
        <v>364</v>
      </c>
      <c r="C51" s="178">
        <f t="shared" ref="C51:AK51" si="17">IFERROR(C28/C49,"N/A")</f>
        <v>5.0607287449392713E-3</v>
      </c>
      <c r="D51" s="167">
        <f t="shared" si="17"/>
        <v>0.08</v>
      </c>
      <c r="E51" s="167">
        <f t="shared" si="17"/>
        <v>5.6818181818181816E-2</v>
      </c>
      <c r="F51" s="167">
        <f t="shared" si="17"/>
        <v>3.5087719298245612E-2</v>
      </c>
      <c r="G51" s="167" t="str">
        <f t="shared" si="17"/>
        <v>N/A</v>
      </c>
      <c r="H51" s="167">
        <f t="shared" si="17"/>
        <v>2.2499999999999998E-3</v>
      </c>
      <c r="I51" s="167">
        <f t="shared" si="17"/>
        <v>7.1999999999999995E-2</v>
      </c>
      <c r="J51" s="167" t="str">
        <f t="shared" si="17"/>
        <v>N/A</v>
      </c>
      <c r="K51" s="167">
        <f t="shared" si="17"/>
        <v>9.0909090909090909E-4</v>
      </c>
      <c r="L51" s="167">
        <f t="shared" si="17"/>
        <v>0.36</v>
      </c>
      <c r="M51" s="167">
        <f t="shared" si="17"/>
        <v>2.5000000000000001E-2</v>
      </c>
      <c r="N51" s="167">
        <f t="shared" si="17"/>
        <v>8.7500000000000008E-3</v>
      </c>
      <c r="O51" s="167">
        <f t="shared" si="17"/>
        <v>1.4999999999999999E-2</v>
      </c>
      <c r="P51" s="211">
        <f t="shared" si="17"/>
        <v>8.0645161290322581E-5</v>
      </c>
      <c r="Q51" s="167">
        <f t="shared" si="17"/>
        <v>0.03</v>
      </c>
      <c r="R51" s="167">
        <f t="shared" si="17"/>
        <v>2.5000000000000001E-2</v>
      </c>
      <c r="S51" s="167">
        <f t="shared" si="17"/>
        <v>2.1000000000000001E-2</v>
      </c>
      <c r="T51" s="167">
        <f t="shared" si="17"/>
        <v>7.5958982149639193E-3</v>
      </c>
      <c r="U51" s="167">
        <f t="shared" si="17"/>
        <v>1.2500000000000001E-2</v>
      </c>
      <c r="V51" s="167">
        <f t="shared" si="17"/>
        <v>2.8571428571428571E-2</v>
      </c>
      <c r="W51" s="167">
        <f t="shared" si="17"/>
        <v>1.6666666666666666E-2</v>
      </c>
      <c r="X51" s="167">
        <f t="shared" si="17"/>
        <v>3.3333333333333333E-2</v>
      </c>
      <c r="Y51" s="167">
        <f t="shared" si="17"/>
        <v>3.3333333333333333E-2</v>
      </c>
      <c r="Z51" s="167">
        <f t="shared" si="17"/>
        <v>6.6666666666666671E-3</v>
      </c>
      <c r="AA51" s="167">
        <f t="shared" si="17"/>
        <v>3.472222222222222E-3</v>
      </c>
      <c r="AB51" s="167">
        <f t="shared" si="17"/>
        <v>0.125</v>
      </c>
      <c r="AC51" s="167">
        <f t="shared" si="17"/>
        <v>0.27777777777777779</v>
      </c>
      <c r="AD51" s="167">
        <f t="shared" si="17"/>
        <v>2.4154589371980676E-4</v>
      </c>
      <c r="AE51" s="167">
        <f t="shared" si="17"/>
        <v>5.0000000000000001E-3</v>
      </c>
      <c r="AF51" s="167">
        <f t="shared" si="17"/>
        <v>1.6666666666666666E-2</v>
      </c>
      <c r="AG51" s="167">
        <f t="shared" si="17"/>
        <v>9.2592592592592587E-3</v>
      </c>
      <c r="AH51" s="167">
        <f t="shared" si="17"/>
        <v>2.5000000000000001E-2</v>
      </c>
      <c r="AI51" s="167">
        <f t="shared" si="17"/>
        <v>2.859047619047619E-2</v>
      </c>
      <c r="AJ51" s="167" t="str">
        <f t="shared" si="17"/>
        <v>N/A</v>
      </c>
      <c r="AK51" s="167">
        <f t="shared" si="17"/>
        <v>5.9999999999999995E-4</v>
      </c>
      <c r="AL51" s="167" t="str">
        <f t="shared" ref="AL51:BC51" si="18">IFERROR(AL28/AL49,"Choose Bet")</f>
        <v>Choose Bet</v>
      </c>
      <c r="AM51" s="167" t="str">
        <f t="shared" si="18"/>
        <v>Choose Bet</v>
      </c>
      <c r="AN51" s="167" t="str">
        <f t="shared" si="18"/>
        <v>Choose Bet</v>
      </c>
      <c r="AO51" s="167" t="str">
        <f t="shared" si="18"/>
        <v>Choose Bet</v>
      </c>
      <c r="AP51" s="167" t="str">
        <f t="shared" si="18"/>
        <v>Choose Bet</v>
      </c>
      <c r="AQ51" s="167" t="str">
        <f t="shared" si="18"/>
        <v>Choose Bet</v>
      </c>
      <c r="AR51" s="167" t="str">
        <f t="shared" si="18"/>
        <v>Choose Bet</v>
      </c>
      <c r="AS51" s="167">
        <f t="shared" si="18"/>
        <v>0.04</v>
      </c>
      <c r="AT51" s="167">
        <f t="shared" si="18"/>
        <v>3.0303030303030303E-4</v>
      </c>
      <c r="AU51" s="167">
        <f t="shared" si="18"/>
        <v>0.01</v>
      </c>
      <c r="AV51" s="167">
        <f t="shared" si="18"/>
        <v>0.16666666666666666</v>
      </c>
      <c r="AW51" s="167">
        <f t="shared" si="18"/>
        <v>2E-3</v>
      </c>
      <c r="AX51" s="167">
        <f t="shared" si="18"/>
        <v>0.04</v>
      </c>
      <c r="AY51" s="167">
        <f t="shared" si="18"/>
        <v>5.0000000000000001E-4</v>
      </c>
      <c r="AZ51" s="167">
        <f t="shared" si="18"/>
        <v>0.04</v>
      </c>
      <c r="BA51" s="167">
        <f t="shared" si="18"/>
        <v>5.5555555555555552E-2</v>
      </c>
      <c r="BB51" s="167">
        <f t="shared" si="18"/>
        <v>0.1</v>
      </c>
      <c r="BC51" s="167" t="str">
        <f t="shared" si="18"/>
        <v>Choose Bet</v>
      </c>
      <c r="BD51" s="167" t="str">
        <f>IFERROR(BD28/BD49,"1 Spin")</f>
        <v>1 Spin</v>
      </c>
    </row>
    <row r="52" spans="1:56" ht="15.75" customHeight="1">
      <c r="A52" s="176">
        <v>22</v>
      </c>
      <c r="B52" s="177" t="s">
        <v>365</v>
      </c>
      <c r="C52" s="178">
        <f t="shared" ref="C52:BC52" si="19">IFERROR(C29/C49,"N/A")</f>
        <v>5.060728744939271E-5</v>
      </c>
      <c r="D52" s="167">
        <f t="shared" si="19"/>
        <v>0.08</v>
      </c>
      <c r="E52" s="167">
        <f t="shared" si="19"/>
        <v>5.6818181818181816E-2</v>
      </c>
      <c r="F52" s="167">
        <f t="shared" si="19"/>
        <v>3.5087719298245615E-3</v>
      </c>
      <c r="G52" s="167">
        <f t="shared" si="19"/>
        <v>0.05</v>
      </c>
      <c r="H52" s="167">
        <f t="shared" si="19"/>
        <v>2.2499999999999998E-3</v>
      </c>
      <c r="I52" s="167">
        <f t="shared" si="19"/>
        <v>2.4E-2</v>
      </c>
      <c r="J52" s="167">
        <f t="shared" si="19"/>
        <v>0.02</v>
      </c>
      <c r="K52" s="167">
        <f t="shared" si="19"/>
        <v>1.8181818181818181E-4</v>
      </c>
      <c r="L52" s="167">
        <f t="shared" si="19"/>
        <v>0.36</v>
      </c>
      <c r="M52" s="167">
        <f t="shared" si="19"/>
        <v>2.5000000000000001E-2</v>
      </c>
      <c r="N52" s="167">
        <f t="shared" si="19"/>
        <v>4.6666666666666671E-3</v>
      </c>
      <c r="O52" s="167">
        <f t="shared" si="19"/>
        <v>5.0625000000000002E-3</v>
      </c>
      <c r="P52" s="167">
        <f t="shared" si="19"/>
        <v>8.0645161290322581E-5</v>
      </c>
      <c r="Q52" s="167">
        <f t="shared" si="19"/>
        <v>0.01</v>
      </c>
      <c r="R52" s="167">
        <f t="shared" si="19"/>
        <v>2.5000000000000001E-2</v>
      </c>
      <c r="S52" s="167">
        <f t="shared" si="19"/>
        <v>2.1000000000000001E-2</v>
      </c>
      <c r="T52" s="167">
        <f t="shared" si="19"/>
        <v>7.5958982149639193E-3</v>
      </c>
      <c r="U52" s="167">
        <f t="shared" si="19"/>
        <v>1.2500000000000001E-2</v>
      </c>
      <c r="V52" s="167">
        <f t="shared" si="19"/>
        <v>2.8571428571428571E-2</v>
      </c>
      <c r="W52" s="167">
        <f t="shared" si="19"/>
        <v>1.6666666666666666E-2</v>
      </c>
      <c r="X52" s="167">
        <f t="shared" si="19"/>
        <v>3.3333333333333333E-2</v>
      </c>
      <c r="Y52" s="167">
        <f t="shared" si="19"/>
        <v>3.3333333333333333E-2</v>
      </c>
      <c r="Z52" s="167">
        <f t="shared" si="19"/>
        <v>6.6666666666666671E-3</v>
      </c>
      <c r="AA52" s="167">
        <f t="shared" si="19"/>
        <v>1.3888888888888889E-3</v>
      </c>
      <c r="AB52" s="167">
        <f t="shared" si="19"/>
        <v>1.2500000000000001E-2</v>
      </c>
      <c r="AC52" s="167">
        <f t="shared" si="19"/>
        <v>6.9444444444444444E-5</v>
      </c>
      <c r="AD52" s="167">
        <f t="shared" si="19"/>
        <v>1.2077294685990338E-4</v>
      </c>
      <c r="AE52" s="167">
        <f t="shared" si="19"/>
        <v>5.0000000000000001E-3</v>
      </c>
      <c r="AF52" s="167">
        <f t="shared" si="19"/>
        <v>1.6666666666666666E-2</v>
      </c>
      <c r="AG52" s="167">
        <f t="shared" si="19"/>
        <v>9.2592592592592587E-3</v>
      </c>
      <c r="AH52" s="167">
        <f t="shared" si="19"/>
        <v>2.5000000000000001E-2</v>
      </c>
      <c r="AI52" s="167">
        <f t="shared" si="19"/>
        <v>9.5301587301587307E-3</v>
      </c>
      <c r="AJ52" s="167">
        <f t="shared" si="19"/>
        <v>2.5000000000000001E-2</v>
      </c>
      <c r="AK52" s="167">
        <f t="shared" si="19"/>
        <v>6.0000000000000002E-5</v>
      </c>
      <c r="AL52" s="167">
        <f t="shared" si="19"/>
        <v>6.6666666666666666E-2</v>
      </c>
      <c r="AM52" s="167">
        <f t="shared" si="19"/>
        <v>3.3333333333333333E-2</v>
      </c>
      <c r="AN52" s="167">
        <f t="shared" si="19"/>
        <v>0.1</v>
      </c>
      <c r="AO52" s="167">
        <f t="shared" si="19"/>
        <v>0.15151515151515152</v>
      </c>
      <c r="AP52" s="167">
        <f t="shared" si="19"/>
        <v>9.6153846153846145E-2</v>
      </c>
      <c r="AQ52" s="167">
        <f t="shared" si="19"/>
        <v>0.125</v>
      </c>
      <c r="AR52" s="167">
        <f t="shared" si="19"/>
        <v>0.1</v>
      </c>
      <c r="AS52" s="167">
        <f t="shared" si="19"/>
        <v>4.0000000000000001E-3</v>
      </c>
      <c r="AT52" s="167">
        <f t="shared" si="19"/>
        <v>1.5151515151515151E-5</v>
      </c>
      <c r="AU52" s="167">
        <f t="shared" si="19"/>
        <v>5.0000000000000001E-3</v>
      </c>
      <c r="AV52" s="167">
        <f t="shared" si="19"/>
        <v>8.3333333333333332E-3</v>
      </c>
      <c r="AW52" s="167">
        <f t="shared" si="19"/>
        <v>1E-4</v>
      </c>
      <c r="AX52" s="167">
        <f t="shared" si="19"/>
        <v>2E-3</v>
      </c>
      <c r="AY52" s="167">
        <f t="shared" si="19"/>
        <v>2.5000000000000001E-5</v>
      </c>
      <c r="AZ52" s="167">
        <f t="shared" si="19"/>
        <v>0.04</v>
      </c>
      <c r="BA52" s="169">
        <f t="shared" si="19"/>
        <v>5.5555555555555558E-3</v>
      </c>
      <c r="BB52" s="169">
        <f t="shared" si="19"/>
        <v>0.05</v>
      </c>
      <c r="BC52" s="169">
        <f t="shared" si="19"/>
        <v>0.1</v>
      </c>
      <c r="BD52" s="169" t="str">
        <f>IFERROR(BD29/BD49,"1 Spin")</f>
        <v>1 Spin</v>
      </c>
    </row>
    <row r="53" spans="1:56" ht="15.75" customHeight="1">
      <c r="A53" s="176">
        <v>23</v>
      </c>
      <c r="B53" s="177"/>
      <c r="C53" s="10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105"/>
      <c r="BB53" s="105"/>
      <c r="BC53" s="105"/>
      <c r="BD53" s="105"/>
    </row>
    <row r="54" spans="1:56" ht="15.75" customHeight="1">
      <c r="A54" s="176">
        <v>24</v>
      </c>
      <c r="B54" s="208" t="s">
        <v>366</v>
      </c>
      <c r="C54" s="99">
        <f t="shared" ref="C54:F54" si="20">IFERROR(C$6/C28/(1-0.9)-1,"")</f>
        <v>51.956521739130444</v>
      </c>
      <c r="D54" s="50">
        <f t="shared" si="20"/>
        <v>999.00000000000023</v>
      </c>
      <c r="E54" s="50">
        <f t="shared" si="20"/>
        <v>1599.0000000000005</v>
      </c>
      <c r="F54" s="50">
        <f t="shared" si="20"/>
        <v>311.50000000000006</v>
      </c>
      <c r="G54" s="50" t="str">
        <f>IFERROR(G$6/G28/(1-0.9)-1,"Choose Bet")</f>
        <v>Choose Bet</v>
      </c>
      <c r="H54" s="50">
        <f t="shared" ref="H54:I54" si="21">IFERROR(H$6/H28/(1-0.9)-1,"")</f>
        <v>1110.1111111111113</v>
      </c>
      <c r="I54" s="50">
        <f t="shared" si="21"/>
        <v>415.66666666666674</v>
      </c>
      <c r="J54" s="50" t="str">
        <f>IFERROR(J$6/J28/(1-0.9)-1,"Choose Bet")</f>
        <v>Choose Bet</v>
      </c>
      <c r="K54" s="50">
        <f t="shared" ref="K54:AI54" si="22">IFERROR(K$6/K28/(1-0.9)-1,"")</f>
        <v>3999.0000000000009</v>
      </c>
      <c r="L54" s="50">
        <f t="shared" si="22"/>
        <v>443.44444444444451</v>
      </c>
      <c r="M54" s="50">
        <f t="shared" si="22"/>
        <v>1999.0000000000005</v>
      </c>
      <c r="N54" s="50">
        <f t="shared" si="22"/>
        <v>2665.6666666666674</v>
      </c>
      <c r="O54" s="50">
        <f t="shared" si="22"/>
        <v>1249.0000000000002</v>
      </c>
      <c r="P54" s="50">
        <f t="shared" si="22"/>
        <v>79999.000000000015</v>
      </c>
      <c r="Q54" s="50">
        <f t="shared" si="22"/>
        <v>499.00000000000011</v>
      </c>
      <c r="R54" s="50" t="str">
        <f t="shared" si="22"/>
        <v/>
      </c>
      <c r="S54" s="50">
        <f t="shared" si="22"/>
        <v>2856.1428571428578</v>
      </c>
      <c r="T54" s="50">
        <f t="shared" si="22"/>
        <v>3124.0000000000009</v>
      </c>
      <c r="U54" s="50">
        <f t="shared" si="22"/>
        <v>3999.0000000000009</v>
      </c>
      <c r="V54" s="50">
        <f t="shared" si="22"/>
        <v>332.33333333333343</v>
      </c>
      <c r="W54" s="50">
        <f t="shared" si="22"/>
        <v>10484.000000000002</v>
      </c>
      <c r="X54" s="50">
        <f t="shared" si="22"/>
        <v>399.00000000000011</v>
      </c>
      <c r="Y54" s="50">
        <f t="shared" si="22"/>
        <v>499.00000000000011</v>
      </c>
      <c r="Z54" s="50">
        <f t="shared" si="22"/>
        <v>499.00000000000011</v>
      </c>
      <c r="AA54" s="50">
        <f t="shared" si="22"/>
        <v>999.00000000000023</v>
      </c>
      <c r="AB54" s="50">
        <f t="shared" si="22"/>
        <v>349.00000000000006</v>
      </c>
      <c r="AC54" s="50">
        <f t="shared" si="22"/>
        <v>322.25000000000011</v>
      </c>
      <c r="AD54" s="50">
        <f t="shared" si="22"/>
        <v>199999.00000000006</v>
      </c>
      <c r="AE54" s="50">
        <f t="shared" si="22"/>
        <v>32037.000000000007</v>
      </c>
      <c r="AF54" s="50">
        <f t="shared" si="22"/>
        <v>10484.000000000002</v>
      </c>
      <c r="AG54" s="50">
        <f t="shared" si="22"/>
        <v>1672.65</v>
      </c>
      <c r="AH54" s="50">
        <f t="shared" si="22"/>
        <v>2999.0000000000005</v>
      </c>
      <c r="AI54" s="50">
        <f t="shared" si="22"/>
        <v>443.14834554741293</v>
      </c>
      <c r="AJ54" s="50" t="str">
        <f>IFERROR(AJ$6/AJ28/(1-0.9)-1,"Choose Bet")</f>
        <v>Choose Bet</v>
      </c>
      <c r="AK54" s="50">
        <f>IFERROR(AK$6/AK28/(1-0.9)-1,"")</f>
        <v>6665.6666666666679</v>
      </c>
      <c r="AL54" s="50" t="str">
        <f t="shared" ref="AL54:BC54" si="23">IFERROR(AL$6/AL28/(1-0.9)-1,"Choose Bet")</f>
        <v>Choose Bet</v>
      </c>
      <c r="AM54" s="50" t="str">
        <f t="shared" si="23"/>
        <v>Choose Bet</v>
      </c>
      <c r="AN54" s="50" t="str">
        <f t="shared" si="23"/>
        <v>Choose Bet</v>
      </c>
      <c r="AO54" s="50" t="str">
        <f t="shared" si="23"/>
        <v>Choose Bet</v>
      </c>
      <c r="AP54" s="50" t="str">
        <f t="shared" si="23"/>
        <v>Choose Bet</v>
      </c>
      <c r="AQ54" s="50" t="str">
        <f t="shared" si="23"/>
        <v>Choose Bet</v>
      </c>
      <c r="AR54" s="50" t="str">
        <f t="shared" si="23"/>
        <v>Choose Bet</v>
      </c>
      <c r="AS54" s="50">
        <f t="shared" si="23"/>
        <v>49.000000000000014</v>
      </c>
      <c r="AT54" s="50">
        <f t="shared" si="23"/>
        <v>11518.879518072292</v>
      </c>
      <c r="AU54" s="50">
        <f t="shared" si="23"/>
        <v>749.00000000000011</v>
      </c>
      <c r="AV54" s="50">
        <f t="shared" si="23"/>
        <v>318.40000000000009</v>
      </c>
      <c r="AW54" s="50">
        <f t="shared" si="23"/>
        <v>556.83333333333348</v>
      </c>
      <c r="AX54" s="50">
        <f t="shared" si="23"/>
        <v>62.625000000000014</v>
      </c>
      <c r="AY54" s="50">
        <f t="shared" si="23"/>
        <v>399.00000000000011</v>
      </c>
      <c r="AZ54" s="50">
        <f t="shared" si="23"/>
        <v>1663.666666666667</v>
      </c>
      <c r="BA54" s="50">
        <f t="shared" si="23"/>
        <v>399.00000000000011</v>
      </c>
      <c r="BB54" s="50">
        <f t="shared" si="23"/>
        <v>4999.0000000000009</v>
      </c>
      <c r="BC54" s="50" t="str">
        <f t="shared" si="23"/>
        <v>Choose Bet</v>
      </c>
      <c r="BD54" s="50" t="str">
        <f t="shared" ref="BD54:BD55" si="24">IFERROR(BD$6/BD28/(1-0.9)-1,"N/A")</f>
        <v>N/A</v>
      </c>
    </row>
    <row r="55" spans="1:56" ht="15.75" customHeight="1">
      <c r="A55" s="176">
        <v>25</v>
      </c>
      <c r="B55" s="208" t="s">
        <v>367</v>
      </c>
      <c r="C55" s="99">
        <f t="shared" ref="C55:BC55" si="25">IFERROR(C$6/C29/(1-0.9)-1,"")</f>
        <v>5294.6521739130449</v>
      </c>
      <c r="D55" s="50">
        <f t="shared" si="25"/>
        <v>999.00000000000023</v>
      </c>
      <c r="E55" s="50">
        <f t="shared" si="25"/>
        <v>1599.0000000000005</v>
      </c>
      <c r="F55" s="50">
        <f t="shared" si="25"/>
        <v>3124.0000000000009</v>
      </c>
      <c r="G55" s="50">
        <f t="shared" si="25"/>
        <v>3999.0000000000009</v>
      </c>
      <c r="H55" s="50">
        <f t="shared" si="25"/>
        <v>1110.1111111111113</v>
      </c>
      <c r="I55" s="50">
        <f t="shared" si="25"/>
        <v>1249.0000000000002</v>
      </c>
      <c r="J55" s="50">
        <f t="shared" si="25"/>
        <v>1665.666666666667</v>
      </c>
      <c r="K55" s="50">
        <f t="shared" si="25"/>
        <v>19999.000000000004</v>
      </c>
      <c r="L55" s="50">
        <f t="shared" si="25"/>
        <v>443.44444444444451</v>
      </c>
      <c r="M55" s="50">
        <f t="shared" si="25"/>
        <v>1999.0000000000005</v>
      </c>
      <c r="N55" s="50">
        <f t="shared" si="25"/>
        <v>4999.0000000000009</v>
      </c>
      <c r="O55" s="50">
        <f t="shared" si="25"/>
        <v>3702.7037037037048</v>
      </c>
      <c r="P55" s="50">
        <f t="shared" si="25"/>
        <v>79999.000000000015</v>
      </c>
      <c r="Q55" s="50">
        <f t="shared" si="25"/>
        <v>1499.0000000000002</v>
      </c>
      <c r="R55" s="50" t="str">
        <f t="shared" si="25"/>
        <v/>
      </c>
      <c r="S55" s="50">
        <f t="shared" si="25"/>
        <v>2856.1428571428578</v>
      </c>
      <c r="T55" s="50">
        <f t="shared" si="25"/>
        <v>3124.0000000000009</v>
      </c>
      <c r="U55" s="50">
        <f t="shared" si="25"/>
        <v>3999.0000000000009</v>
      </c>
      <c r="V55" s="50">
        <f t="shared" si="25"/>
        <v>332.33333333333343</v>
      </c>
      <c r="W55" s="50">
        <f t="shared" si="25"/>
        <v>10484.000000000002</v>
      </c>
      <c r="X55" s="50">
        <f t="shared" si="25"/>
        <v>399.00000000000011</v>
      </c>
      <c r="Y55" s="50">
        <f t="shared" si="25"/>
        <v>499.00000000000011</v>
      </c>
      <c r="Z55" s="50">
        <f t="shared" si="25"/>
        <v>499.00000000000011</v>
      </c>
      <c r="AA55" s="50">
        <f t="shared" si="25"/>
        <v>2499.0000000000005</v>
      </c>
      <c r="AB55" s="50">
        <f t="shared" si="25"/>
        <v>3499.0000000000009</v>
      </c>
      <c r="AC55" s="50">
        <f t="shared" si="25"/>
        <v>1292999.0000000002</v>
      </c>
      <c r="AD55" s="50">
        <f t="shared" si="25"/>
        <v>399999.00000000012</v>
      </c>
      <c r="AE55" s="50">
        <f t="shared" si="25"/>
        <v>32037.000000000007</v>
      </c>
      <c r="AF55" s="50">
        <f t="shared" si="25"/>
        <v>10484.000000000002</v>
      </c>
      <c r="AG55" s="50">
        <f t="shared" si="25"/>
        <v>1672.65</v>
      </c>
      <c r="AH55" s="50">
        <f t="shared" si="25"/>
        <v>2999.0000000000005</v>
      </c>
      <c r="AI55" s="50">
        <f t="shared" si="25"/>
        <v>1331.4450366422388</v>
      </c>
      <c r="AJ55" s="50">
        <f t="shared" si="25"/>
        <v>1999.0000000000005</v>
      </c>
      <c r="AK55" s="50">
        <f t="shared" si="25"/>
        <v>66665.666666666686</v>
      </c>
      <c r="AL55" s="50">
        <f t="shared" si="25"/>
        <v>895.64772727272771</v>
      </c>
      <c r="AM55" s="50">
        <f t="shared" si="25"/>
        <v>9497.6500000000015</v>
      </c>
      <c r="AN55" s="50">
        <f t="shared" si="25"/>
        <v>1650.5384615384617</v>
      </c>
      <c r="AO55" s="50">
        <f t="shared" si="25"/>
        <v>388.30379310344836</v>
      </c>
      <c r="AP55" s="50">
        <f t="shared" si="25"/>
        <v>395.77866666666677</v>
      </c>
      <c r="AQ55" s="50">
        <f t="shared" si="25"/>
        <v>2076.2000000000003</v>
      </c>
      <c r="AR55" s="50">
        <f t="shared" si="25"/>
        <v>1685.7000000000005</v>
      </c>
      <c r="AS55" s="50">
        <f t="shared" si="25"/>
        <v>499.00000000000011</v>
      </c>
      <c r="AT55" s="50">
        <f t="shared" si="25"/>
        <v>230396.59036144582</v>
      </c>
      <c r="AU55" s="50">
        <f t="shared" si="25"/>
        <v>1499.0000000000002</v>
      </c>
      <c r="AV55" s="50">
        <f t="shared" si="25"/>
        <v>6387.0000000000009</v>
      </c>
      <c r="AW55" s="50">
        <f t="shared" si="25"/>
        <v>11155.66666666667</v>
      </c>
      <c r="AX55" s="50">
        <f t="shared" si="25"/>
        <v>1271.5000000000002</v>
      </c>
      <c r="AY55" s="50">
        <f t="shared" si="25"/>
        <v>7999.0000000000018</v>
      </c>
      <c r="AZ55" s="50">
        <f t="shared" si="25"/>
        <v>1663.666666666667</v>
      </c>
      <c r="BA55" s="102">
        <f t="shared" si="25"/>
        <v>3999.0000000000009</v>
      </c>
      <c r="BB55" s="102">
        <f t="shared" si="25"/>
        <v>9999.0000000000018</v>
      </c>
      <c r="BC55" s="102">
        <f t="shared" si="25"/>
        <v>2418.23076923077</v>
      </c>
      <c r="BD55" s="102" t="str">
        <f t="shared" si="24"/>
        <v>N/A</v>
      </c>
    </row>
    <row r="56" spans="1:56" ht="15.75" customHeight="1">
      <c r="A56" s="176">
        <v>26</v>
      </c>
      <c r="B56" s="103"/>
      <c r="C56" s="104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105"/>
      <c r="BB56" s="105"/>
      <c r="BC56" s="105"/>
      <c r="BD56" s="105"/>
    </row>
    <row r="57" spans="1:56" ht="15.75" customHeight="1">
      <c r="A57" s="176">
        <v>27</v>
      </c>
      <c r="B57" s="177" t="s">
        <v>368</v>
      </c>
      <c r="C57" s="212">
        <f t="shared" ref="C57:F57" si="26">IFERROR(C49/C28/(1-0.95),"N/A")</f>
        <v>3951.9999999999964</v>
      </c>
      <c r="D57" s="213">
        <f t="shared" si="26"/>
        <v>249.99999999999977</v>
      </c>
      <c r="E57" s="213">
        <f t="shared" si="26"/>
        <v>351.99999999999972</v>
      </c>
      <c r="F57" s="213">
        <f t="shared" si="26"/>
        <v>569.99999999999955</v>
      </c>
      <c r="G57" s="213" t="str">
        <f>IFERROR(G49/G28/(1-0.95),"Choose Bet")</f>
        <v>Choose Bet</v>
      </c>
      <c r="H57" s="213">
        <f t="shared" ref="H57:I57" si="27">IFERROR(H49/H28/(1-0.95),"N/A")</f>
        <v>8888.8888888888814</v>
      </c>
      <c r="I57" s="213">
        <f t="shared" si="27"/>
        <v>277.77777777777754</v>
      </c>
      <c r="J57" s="213" t="str">
        <f>IFERROR(J49/J28/(1-0.95),"Choose Bet")</f>
        <v>Choose Bet</v>
      </c>
      <c r="K57" s="213">
        <f t="shared" ref="K57:AI57" si="28">IFERROR(K49/K28/(1-0.95),"N/A")</f>
        <v>21999.999999999982</v>
      </c>
      <c r="L57" s="213">
        <f t="shared" si="28"/>
        <v>55.555555555555507</v>
      </c>
      <c r="M57" s="213">
        <f t="shared" si="28"/>
        <v>799.99999999999932</v>
      </c>
      <c r="N57" s="213">
        <f t="shared" si="28"/>
        <v>2285.714285714284</v>
      </c>
      <c r="O57" s="213">
        <f t="shared" si="28"/>
        <v>1333.3333333333323</v>
      </c>
      <c r="P57" s="213">
        <f t="shared" si="28"/>
        <v>247999.99999999977</v>
      </c>
      <c r="Q57" s="213">
        <f t="shared" si="28"/>
        <v>666.66666666666617</v>
      </c>
      <c r="R57" s="213">
        <f t="shared" si="28"/>
        <v>799.99999999999932</v>
      </c>
      <c r="S57" s="213">
        <f t="shared" si="28"/>
        <v>952.38095238095161</v>
      </c>
      <c r="T57" s="213">
        <f t="shared" si="28"/>
        <v>2632.9999999999977</v>
      </c>
      <c r="U57" s="213">
        <f t="shared" si="28"/>
        <v>1599.9999999999986</v>
      </c>
      <c r="V57" s="213">
        <f t="shared" si="28"/>
        <v>699.99999999999943</v>
      </c>
      <c r="W57" s="213">
        <f t="shared" si="28"/>
        <v>1199.9999999999989</v>
      </c>
      <c r="X57" s="213">
        <f t="shared" si="28"/>
        <v>599.99999999999943</v>
      </c>
      <c r="Y57" s="213">
        <f t="shared" si="28"/>
        <v>599.99999999999943</v>
      </c>
      <c r="Z57" s="213">
        <f t="shared" si="28"/>
        <v>2999.9999999999973</v>
      </c>
      <c r="AA57" s="213">
        <f t="shared" si="28"/>
        <v>5759.9999999999945</v>
      </c>
      <c r="AB57" s="213">
        <f t="shared" si="28"/>
        <v>159.99999999999986</v>
      </c>
      <c r="AC57" s="213">
        <f t="shared" si="28"/>
        <v>71.999999999999943</v>
      </c>
      <c r="AD57" s="213">
        <f t="shared" si="28"/>
        <v>82799.999999999927</v>
      </c>
      <c r="AE57" s="213">
        <f t="shared" si="28"/>
        <v>3999.9999999999964</v>
      </c>
      <c r="AF57" s="213">
        <f t="shared" si="28"/>
        <v>1199.9999999999989</v>
      </c>
      <c r="AG57" s="213">
        <f t="shared" si="28"/>
        <v>2159.9999999999982</v>
      </c>
      <c r="AH57" s="213">
        <f t="shared" si="28"/>
        <v>799.99999999999932</v>
      </c>
      <c r="AI57" s="213">
        <f t="shared" si="28"/>
        <v>699.5336442371746</v>
      </c>
      <c r="AJ57" s="213" t="str">
        <f>IFERROR(AJ49/AJ28/(1-0.95),"Choose Bet")</f>
        <v>Choose Bet</v>
      </c>
      <c r="AK57" s="213">
        <f>IFERROR(AK49/AK28/(1-0.95),"N/A")</f>
        <v>33333.333333333307</v>
      </c>
      <c r="AL57" s="213" t="str">
        <f t="shared" ref="AL57:BC57" si="29">IFERROR(AL49/AL28/(1-0.95),"Choose Bet")</f>
        <v>Choose Bet</v>
      </c>
      <c r="AM57" s="213" t="str">
        <f t="shared" si="29"/>
        <v>Choose Bet</v>
      </c>
      <c r="AN57" s="213" t="str">
        <f t="shared" si="29"/>
        <v>Choose Bet</v>
      </c>
      <c r="AO57" s="213" t="str">
        <f t="shared" si="29"/>
        <v>Choose Bet</v>
      </c>
      <c r="AP57" s="213" t="str">
        <f t="shared" si="29"/>
        <v>Choose Bet</v>
      </c>
      <c r="AQ57" s="213" t="str">
        <f t="shared" si="29"/>
        <v>Choose Bet</v>
      </c>
      <c r="AR57" s="213" t="str">
        <f t="shared" si="29"/>
        <v>Choose Bet</v>
      </c>
      <c r="AS57" s="213">
        <f t="shared" si="29"/>
        <v>499.99999999999955</v>
      </c>
      <c r="AT57" s="213">
        <f t="shared" si="29"/>
        <v>65999.999999999942</v>
      </c>
      <c r="AU57" s="213">
        <f t="shared" si="29"/>
        <v>1999.9999999999982</v>
      </c>
      <c r="AV57" s="213">
        <f t="shared" si="29"/>
        <v>119.99999999999989</v>
      </c>
      <c r="AW57" s="213">
        <f t="shared" si="29"/>
        <v>9999.9999999999909</v>
      </c>
      <c r="AX57" s="213">
        <f t="shared" si="29"/>
        <v>499.99999999999955</v>
      </c>
      <c r="AY57" s="213">
        <f t="shared" si="29"/>
        <v>39999.999999999964</v>
      </c>
      <c r="AZ57" s="213">
        <f t="shared" si="29"/>
        <v>499.99999999999955</v>
      </c>
      <c r="BA57" s="213">
        <f t="shared" si="29"/>
        <v>359.99999999999966</v>
      </c>
      <c r="BB57" s="213">
        <f t="shared" si="29"/>
        <v>199.99999999999983</v>
      </c>
      <c r="BC57" s="213" t="str">
        <f t="shared" si="29"/>
        <v>Choose Bet</v>
      </c>
      <c r="BD57" s="213" t="str">
        <f>IFERROR(BD49/BD28/(1-0.95),"N/A")</f>
        <v>N/A</v>
      </c>
    </row>
    <row r="58" spans="1:56" ht="15.75" customHeight="1">
      <c r="A58" s="176">
        <v>28</v>
      </c>
      <c r="B58" s="177" t="s">
        <v>369</v>
      </c>
      <c r="C58" s="212">
        <f t="shared" ref="C58:BC58" si="30">IFERROR(C49/C29/(1-0.95),"")</f>
        <v>395199.99999999965</v>
      </c>
      <c r="D58" s="213">
        <f t="shared" si="30"/>
        <v>249.99999999999977</v>
      </c>
      <c r="E58" s="213">
        <f t="shared" si="30"/>
        <v>351.99999999999972</v>
      </c>
      <c r="F58" s="213">
        <f t="shared" si="30"/>
        <v>5699.9999999999945</v>
      </c>
      <c r="G58" s="213">
        <f t="shared" si="30"/>
        <v>399.99999999999966</v>
      </c>
      <c r="H58" s="213">
        <f t="shared" si="30"/>
        <v>8888.8888888888814</v>
      </c>
      <c r="I58" s="213">
        <f t="shared" si="30"/>
        <v>833.33333333333258</v>
      </c>
      <c r="J58" s="213">
        <f t="shared" si="30"/>
        <v>999.99999999999909</v>
      </c>
      <c r="K58" s="213">
        <f t="shared" si="30"/>
        <v>109999.9999999999</v>
      </c>
      <c r="L58" s="213">
        <f t="shared" si="30"/>
        <v>55.555555555555507</v>
      </c>
      <c r="M58" s="213">
        <f t="shared" si="30"/>
        <v>799.99999999999932</v>
      </c>
      <c r="N58" s="213">
        <f t="shared" si="30"/>
        <v>4285.7142857142817</v>
      </c>
      <c r="O58" s="213">
        <f t="shared" si="30"/>
        <v>3950.6172839506139</v>
      </c>
      <c r="P58" s="213">
        <f t="shared" si="30"/>
        <v>247999.99999999977</v>
      </c>
      <c r="Q58" s="213">
        <f t="shared" si="30"/>
        <v>1999.9999999999982</v>
      </c>
      <c r="R58" s="213">
        <f t="shared" si="30"/>
        <v>799.99999999999932</v>
      </c>
      <c r="S58" s="213">
        <f t="shared" si="30"/>
        <v>952.38095238095161</v>
      </c>
      <c r="T58" s="213">
        <f t="shared" si="30"/>
        <v>2632.9999999999977</v>
      </c>
      <c r="U58" s="213">
        <f t="shared" si="30"/>
        <v>1599.9999999999986</v>
      </c>
      <c r="V58" s="213">
        <f t="shared" si="30"/>
        <v>699.99999999999943</v>
      </c>
      <c r="W58" s="213">
        <f t="shared" si="30"/>
        <v>1199.9999999999989</v>
      </c>
      <c r="X58" s="213">
        <f t="shared" si="30"/>
        <v>599.99999999999943</v>
      </c>
      <c r="Y58" s="213">
        <f t="shared" si="30"/>
        <v>599.99999999999943</v>
      </c>
      <c r="Z58" s="213">
        <f t="shared" si="30"/>
        <v>2999.9999999999973</v>
      </c>
      <c r="AA58" s="213">
        <f t="shared" si="30"/>
        <v>14399.999999999987</v>
      </c>
      <c r="AB58" s="213">
        <f t="shared" si="30"/>
        <v>1599.9999999999986</v>
      </c>
      <c r="AC58" s="213">
        <f t="shared" si="30"/>
        <v>287999.99999999977</v>
      </c>
      <c r="AD58" s="213">
        <f t="shared" si="30"/>
        <v>165599.99999999985</v>
      </c>
      <c r="AE58" s="213">
        <f t="shared" si="30"/>
        <v>3999.9999999999964</v>
      </c>
      <c r="AF58" s="213">
        <f t="shared" si="30"/>
        <v>1199.9999999999989</v>
      </c>
      <c r="AG58" s="213">
        <f t="shared" si="30"/>
        <v>2159.9999999999982</v>
      </c>
      <c r="AH58" s="213">
        <f t="shared" si="30"/>
        <v>799.99999999999932</v>
      </c>
      <c r="AI58" s="213">
        <f t="shared" si="30"/>
        <v>2098.6009327115239</v>
      </c>
      <c r="AJ58" s="213">
        <f t="shared" si="30"/>
        <v>799.99999999999932</v>
      </c>
      <c r="AK58" s="213">
        <f t="shared" si="30"/>
        <v>333333.33333333308</v>
      </c>
      <c r="AL58" s="213">
        <f t="shared" si="30"/>
        <v>299.99999999999972</v>
      </c>
      <c r="AM58" s="213">
        <f t="shared" si="30"/>
        <v>599.99999999999943</v>
      </c>
      <c r="AN58" s="213">
        <f t="shared" si="30"/>
        <v>199.99999999999983</v>
      </c>
      <c r="AO58" s="213">
        <f t="shared" si="30"/>
        <v>131.99999999999989</v>
      </c>
      <c r="AP58" s="213">
        <f t="shared" si="30"/>
        <v>207.99999999999983</v>
      </c>
      <c r="AQ58" s="213">
        <f t="shared" si="30"/>
        <v>159.99999999999986</v>
      </c>
      <c r="AR58" s="213">
        <f t="shared" si="30"/>
        <v>199.99999999999983</v>
      </c>
      <c r="AS58" s="213">
        <f t="shared" si="30"/>
        <v>4999.9999999999955</v>
      </c>
      <c r="AT58" s="213">
        <f t="shared" si="30"/>
        <v>1319999.9999999988</v>
      </c>
      <c r="AU58" s="213">
        <f t="shared" si="30"/>
        <v>3999.9999999999964</v>
      </c>
      <c r="AV58" s="213">
        <f t="shared" si="30"/>
        <v>2399.9999999999977</v>
      </c>
      <c r="AW58" s="213">
        <f t="shared" si="30"/>
        <v>199999.99999999983</v>
      </c>
      <c r="AX58" s="213">
        <f t="shared" si="30"/>
        <v>9999.9999999999909</v>
      </c>
      <c r="AY58" s="213">
        <f t="shared" si="30"/>
        <v>799999.9999999993</v>
      </c>
      <c r="AZ58" s="213">
        <f t="shared" si="30"/>
        <v>499.99999999999955</v>
      </c>
      <c r="BA58" s="102">
        <f t="shared" si="30"/>
        <v>3599.9999999999968</v>
      </c>
      <c r="BB58" s="102">
        <f t="shared" si="30"/>
        <v>399.99999999999966</v>
      </c>
      <c r="BC58" s="102">
        <f t="shared" si="30"/>
        <v>199.99999999999983</v>
      </c>
      <c r="BD58" s="102" t="str">
        <f>IFERROR(BD49/BD29/(1-0.95),"N/A")</f>
        <v>N/A</v>
      </c>
    </row>
    <row r="59" spans="1:56" ht="15.75" customHeight="1">
      <c r="A59" s="176">
        <v>29</v>
      </c>
      <c r="B59" s="103"/>
      <c r="C59" s="104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105"/>
      <c r="BB59" s="105"/>
      <c r="BC59" s="105"/>
      <c r="BD59" s="105"/>
    </row>
    <row r="60" spans="1:56" ht="15.75" customHeight="1">
      <c r="A60" s="176">
        <v>30</v>
      </c>
      <c r="B60" s="208" t="s">
        <v>370</v>
      </c>
      <c r="C60" s="99">
        <f t="shared" ref="C60:F60" si="31">IFERROR(C$7/C28,"")</f>
        <v>1</v>
      </c>
      <c r="D60" s="50">
        <f t="shared" si="31"/>
        <v>100</v>
      </c>
      <c r="E60" s="50">
        <f t="shared" si="31"/>
        <v>160</v>
      </c>
      <c r="F60" s="50">
        <f t="shared" si="31"/>
        <v>31.25</v>
      </c>
      <c r="G60" s="50" t="str">
        <f>IFERROR(G$7/G28,"Choose Bet")</f>
        <v>Choose Bet</v>
      </c>
      <c r="H60" s="50">
        <f t="shared" ref="H60:I60" si="32">IFERROR(H$7/H28,"")</f>
        <v>111.11111111111111</v>
      </c>
      <c r="I60" s="50">
        <f t="shared" si="32"/>
        <v>41.666666666666664</v>
      </c>
      <c r="J60" s="50" t="str">
        <f>IFERROR(J$7/J28,"Choose Bet")</f>
        <v>Choose Bet</v>
      </c>
      <c r="K60" s="50">
        <f t="shared" ref="K60:AI60" si="33">IFERROR(K$7/K28,"")</f>
        <v>400</v>
      </c>
      <c r="L60" s="50">
        <f t="shared" si="33"/>
        <v>44.444444444444443</v>
      </c>
      <c r="M60" s="50">
        <f t="shared" si="33"/>
        <v>200</v>
      </c>
      <c r="N60" s="50">
        <f t="shared" si="33"/>
        <v>266.66666666666669</v>
      </c>
      <c r="O60" s="50">
        <f t="shared" si="33"/>
        <v>125</v>
      </c>
      <c r="P60" s="50">
        <f t="shared" si="33"/>
        <v>8000</v>
      </c>
      <c r="Q60" s="50">
        <f t="shared" si="33"/>
        <v>50</v>
      </c>
      <c r="R60" s="50">
        <f t="shared" si="33"/>
        <v>16.666666666666668</v>
      </c>
      <c r="S60" s="50">
        <f t="shared" si="33"/>
        <v>285.71428571428572</v>
      </c>
      <c r="T60" s="50">
        <f t="shared" si="33"/>
        <v>312.5</v>
      </c>
      <c r="U60" s="50">
        <f t="shared" si="33"/>
        <v>400</v>
      </c>
      <c r="V60" s="50">
        <f t="shared" si="33"/>
        <v>33.333333333333336</v>
      </c>
      <c r="W60" s="50">
        <f t="shared" si="33"/>
        <v>300</v>
      </c>
      <c r="X60" s="50">
        <f t="shared" si="33"/>
        <v>40</v>
      </c>
      <c r="Y60" s="50">
        <f t="shared" si="33"/>
        <v>50</v>
      </c>
      <c r="Z60" s="50">
        <f t="shared" si="33"/>
        <v>50</v>
      </c>
      <c r="AA60" s="50">
        <f t="shared" si="33"/>
        <v>100</v>
      </c>
      <c r="AB60" s="50">
        <f t="shared" si="33"/>
        <v>35</v>
      </c>
      <c r="AC60" s="50">
        <f t="shared" si="33"/>
        <v>32.325000000000003</v>
      </c>
      <c r="AD60" s="50">
        <f t="shared" si="33"/>
        <v>20000</v>
      </c>
      <c r="AE60" s="50">
        <f t="shared" si="33"/>
        <v>6</v>
      </c>
      <c r="AF60" s="50">
        <f t="shared" si="33"/>
        <v>300</v>
      </c>
      <c r="AG60" s="50">
        <f t="shared" si="33"/>
        <v>100</v>
      </c>
      <c r="AH60" s="50">
        <f t="shared" si="33"/>
        <v>300</v>
      </c>
      <c r="AI60" s="50">
        <f t="shared" si="33"/>
        <v>44.414834554741283</v>
      </c>
      <c r="AJ60" s="50" t="str">
        <f>IFERROR(AJ$7/AJ28,"Choose Bet")</f>
        <v>Choose Bet</v>
      </c>
      <c r="AK60" s="50">
        <f>IFERROR(AK$7/AK28,"")</f>
        <v>666.66666666666663</v>
      </c>
      <c r="AL60" s="50" t="str">
        <f t="shared" ref="AL60:BC60" si="34">IFERROR(AL$7/AL28,"Choose Bet")</f>
        <v>Choose Bet</v>
      </c>
      <c r="AM60" s="50" t="str">
        <f t="shared" si="34"/>
        <v>Choose Bet</v>
      </c>
      <c r="AN60" s="50" t="str">
        <f t="shared" si="34"/>
        <v>Choose Bet</v>
      </c>
      <c r="AO60" s="50" t="str">
        <f t="shared" si="34"/>
        <v>Choose Bet</v>
      </c>
      <c r="AP60" s="50" t="str">
        <f t="shared" si="34"/>
        <v>Choose Bet</v>
      </c>
      <c r="AQ60" s="50" t="str">
        <f t="shared" si="34"/>
        <v>Choose Bet</v>
      </c>
      <c r="AR60" s="50" t="str">
        <f t="shared" si="34"/>
        <v>Choose Bet</v>
      </c>
      <c r="AS60" s="50">
        <f t="shared" si="34"/>
        <v>5</v>
      </c>
      <c r="AT60" s="50">
        <f t="shared" si="34"/>
        <v>160</v>
      </c>
      <c r="AU60" s="50">
        <f t="shared" si="34"/>
        <v>75</v>
      </c>
      <c r="AV60" s="50">
        <f t="shared" si="34"/>
        <v>2</v>
      </c>
      <c r="AW60" s="50">
        <f t="shared" si="34"/>
        <v>5.833333333333333</v>
      </c>
      <c r="AX60" s="50">
        <f t="shared" si="34"/>
        <v>0.125</v>
      </c>
      <c r="AY60" s="50">
        <f t="shared" si="34"/>
        <v>40</v>
      </c>
      <c r="AZ60" s="50">
        <f t="shared" si="34"/>
        <v>66.666666666666671</v>
      </c>
      <c r="BA60" s="50">
        <f t="shared" si="34"/>
        <v>40</v>
      </c>
      <c r="BB60" s="50">
        <f t="shared" si="34"/>
        <v>500</v>
      </c>
      <c r="BC60" s="50" t="str">
        <f t="shared" si="34"/>
        <v>Choose Bet</v>
      </c>
      <c r="BD60" s="50" t="str">
        <f t="shared" ref="BD60:BD61" si="35">IFERROR(BD$7/BD28,"N/A")</f>
        <v>N/A</v>
      </c>
    </row>
    <row r="61" spans="1:56" ht="15.75" customHeight="1">
      <c r="A61" s="176">
        <v>31</v>
      </c>
      <c r="B61" s="208" t="s">
        <v>371</v>
      </c>
      <c r="C61" s="99">
        <f t="shared" ref="C61:BC61" si="36">IFERROR(C$7/C29,"")</f>
        <v>100</v>
      </c>
      <c r="D61" s="50">
        <f t="shared" si="36"/>
        <v>100</v>
      </c>
      <c r="E61" s="50">
        <f t="shared" si="36"/>
        <v>160</v>
      </c>
      <c r="F61" s="50">
        <f t="shared" si="36"/>
        <v>312.5</v>
      </c>
      <c r="G61" s="50">
        <f t="shared" si="36"/>
        <v>400</v>
      </c>
      <c r="H61" s="50">
        <f t="shared" si="36"/>
        <v>111.11111111111111</v>
      </c>
      <c r="I61" s="50">
        <f t="shared" si="36"/>
        <v>125</v>
      </c>
      <c r="J61" s="50">
        <f t="shared" si="36"/>
        <v>166.66666666666666</v>
      </c>
      <c r="K61" s="50">
        <f t="shared" si="36"/>
        <v>2000</v>
      </c>
      <c r="L61" s="50">
        <f t="shared" si="36"/>
        <v>44.444444444444443</v>
      </c>
      <c r="M61" s="50">
        <f t="shared" si="36"/>
        <v>200</v>
      </c>
      <c r="N61" s="50">
        <f t="shared" si="36"/>
        <v>500</v>
      </c>
      <c r="O61" s="50">
        <f t="shared" si="36"/>
        <v>370.37037037037038</v>
      </c>
      <c r="P61" s="50">
        <f t="shared" si="36"/>
        <v>8000</v>
      </c>
      <c r="Q61" s="50">
        <f t="shared" si="36"/>
        <v>150</v>
      </c>
      <c r="R61" s="50">
        <f t="shared" si="36"/>
        <v>16.666666666666668</v>
      </c>
      <c r="S61" s="50">
        <f t="shared" si="36"/>
        <v>285.71428571428572</v>
      </c>
      <c r="T61" s="50">
        <f t="shared" si="36"/>
        <v>312.5</v>
      </c>
      <c r="U61" s="50">
        <f t="shared" si="36"/>
        <v>400</v>
      </c>
      <c r="V61" s="50">
        <f t="shared" si="36"/>
        <v>33.333333333333336</v>
      </c>
      <c r="W61" s="50">
        <f t="shared" si="36"/>
        <v>300</v>
      </c>
      <c r="X61" s="50">
        <f t="shared" si="36"/>
        <v>40</v>
      </c>
      <c r="Y61" s="50">
        <f t="shared" si="36"/>
        <v>50</v>
      </c>
      <c r="Z61" s="50">
        <f t="shared" si="36"/>
        <v>50</v>
      </c>
      <c r="AA61" s="50">
        <f t="shared" si="36"/>
        <v>250</v>
      </c>
      <c r="AB61" s="50">
        <f t="shared" si="36"/>
        <v>350</v>
      </c>
      <c r="AC61" s="50">
        <f t="shared" si="36"/>
        <v>129300</v>
      </c>
      <c r="AD61" s="50">
        <f t="shared" si="36"/>
        <v>40000</v>
      </c>
      <c r="AE61" s="50">
        <f t="shared" si="36"/>
        <v>6</v>
      </c>
      <c r="AF61" s="50">
        <f t="shared" si="36"/>
        <v>300</v>
      </c>
      <c r="AG61" s="50">
        <f t="shared" si="36"/>
        <v>100</v>
      </c>
      <c r="AH61" s="50">
        <f t="shared" si="36"/>
        <v>300</v>
      </c>
      <c r="AI61" s="50">
        <f t="shared" si="36"/>
        <v>133.24450366422386</v>
      </c>
      <c r="AJ61" s="50">
        <f t="shared" si="36"/>
        <v>200</v>
      </c>
      <c r="AK61" s="50">
        <f t="shared" si="36"/>
        <v>6666.666666666667</v>
      </c>
      <c r="AL61" s="50">
        <f t="shared" si="36"/>
        <v>30</v>
      </c>
      <c r="AM61" s="50">
        <f t="shared" si="36"/>
        <v>50</v>
      </c>
      <c r="AN61" s="50">
        <f t="shared" si="36"/>
        <v>50</v>
      </c>
      <c r="AO61" s="50">
        <f t="shared" si="36"/>
        <v>30</v>
      </c>
      <c r="AP61" s="50">
        <f t="shared" si="36"/>
        <v>12</v>
      </c>
      <c r="AQ61" s="50">
        <f t="shared" si="36"/>
        <v>68</v>
      </c>
      <c r="AR61" s="50">
        <f t="shared" si="36"/>
        <v>50</v>
      </c>
      <c r="AS61" s="50">
        <f t="shared" si="36"/>
        <v>50</v>
      </c>
      <c r="AT61" s="50">
        <f t="shared" si="36"/>
        <v>3200</v>
      </c>
      <c r="AU61" s="50">
        <f t="shared" si="36"/>
        <v>150</v>
      </c>
      <c r="AV61" s="50">
        <f t="shared" si="36"/>
        <v>40</v>
      </c>
      <c r="AW61" s="50">
        <f t="shared" si="36"/>
        <v>116.66666666666667</v>
      </c>
      <c r="AX61" s="50">
        <f t="shared" si="36"/>
        <v>2.5</v>
      </c>
      <c r="AY61" s="50">
        <f t="shared" si="36"/>
        <v>800</v>
      </c>
      <c r="AZ61" s="50">
        <f t="shared" si="36"/>
        <v>66.666666666666671</v>
      </c>
      <c r="BA61" s="102">
        <f t="shared" si="36"/>
        <v>400</v>
      </c>
      <c r="BB61" s="102">
        <f t="shared" si="36"/>
        <v>1000</v>
      </c>
      <c r="BC61" s="102">
        <f t="shared" si="36"/>
        <v>50</v>
      </c>
      <c r="BD61" s="102" t="str">
        <f t="shared" si="35"/>
        <v>N/A</v>
      </c>
    </row>
    <row r="62" spans="1:56" ht="15.75" customHeight="1">
      <c r="A62" s="9"/>
      <c r="B62" s="103"/>
      <c r="C62" s="104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105"/>
      <c r="BB62" s="105"/>
      <c r="BC62" s="105"/>
      <c r="BD62" s="105"/>
    </row>
    <row r="63" spans="1:56" ht="15.75" customHeight="1">
      <c r="A63" s="9"/>
      <c r="B63" s="177" t="s">
        <v>372</v>
      </c>
      <c r="C63" s="212">
        <f t="shared" ref="C63:F63" si="37">IFERROR(C46/C28/(1-0.95)-1,"")</f>
        <v>666.51304347826022</v>
      </c>
      <c r="D63" s="213">
        <f t="shared" si="37"/>
        <v>354.99999999999972</v>
      </c>
      <c r="E63" s="213">
        <f t="shared" si="37"/>
        <v>2359.7999999999979</v>
      </c>
      <c r="F63" s="213">
        <f t="shared" si="37"/>
        <v>1998.4999999999982</v>
      </c>
      <c r="G63" s="213" t="str">
        <f>IFERROR(G46/G28/(1-0.95)-1,"Choose Bet")</f>
        <v>Choose Bet</v>
      </c>
      <c r="H63" s="213">
        <f t="shared" ref="H63:I63" si="38">IFERROR(H46/H28/(1-0.95)-1,"")</f>
        <v>2246.4074074074051</v>
      </c>
      <c r="I63" s="213">
        <f t="shared" si="38"/>
        <v>172.94444444444431</v>
      </c>
      <c r="J63" s="213" t="str">
        <f>IFERROR(J46/J28/(1-0.95)-1,"Choose Bet")</f>
        <v>Choose Bet</v>
      </c>
      <c r="K63" s="213">
        <f t="shared" ref="K63:AI63" si="39">IFERROR(K46/K28/(1-0.95)-1,"")</f>
        <v>2783.3999999999974</v>
      </c>
      <c r="L63" s="213">
        <f t="shared" si="39"/>
        <v>785.54970760233857</v>
      </c>
      <c r="M63" s="213">
        <f t="shared" si="39"/>
        <v>1024.0666666666657</v>
      </c>
      <c r="N63" s="213">
        <f t="shared" si="39"/>
        <v>1848.523809523808</v>
      </c>
      <c r="O63" s="213">
        <f t="shared" si="39"/>
        <v>297.54999999999973</v>
      </c>
      <c r="P63" s="213">
        <f t="shared" si="39"/>
        <v>153325.66666666651</v>
      </c>
      <c r="Q63" s="213">
        <f t="shared" si="39"/>
        <v>3890.1111111111072</v>
      </c>
      <c r="R63" s="213">
        <f t="shared" si="39"/>
        <v>159.69533333333317</v>
      </c>
      <c r="S63" s="213">
        <f t="shared" si="39"/>
        <v>3535.0542857142823</v>
      </c>
      <c r="T63" s="213">
        <f t="shared" si="39"/>
        <v>1998.9999999999982</v>
      </c>
      <c r="U63" s="213">
        <f t="shared" si="39"/>
        <v>9506.4999999999909</v>
      </c>
      <c r="V63" s="213">
        <f t="shared" si="39"/>
        <v>575.66666666666617</v>
      </c>
      <c r="W63" s="213">
        <f t="shared" si="39"/>
        <v>2634.9999999999977</v>
      </c>
      <c r="X63" s="213">
        <f t="shared" si="39"/>
        <v>1598.9999999999986</v>
      </c>
      <c r="Y63" s="213">
        <f t="shared" si="39"/>
        <v>1438.5833333333321</v>
      </c>
      <c r="Z63" s="213">
        <f t="shared" si="39"/>
        <v>1623.9999999999986</v>
      </c>
      <c r="AA63" s="213">
        <f t="shared" si="39"/>
        <v>257.99999999999977</v>
      </c>
      <c r="AB63" s="213">
        <f t="shared" si="39"/>
        <v>146.24999999999986</v>
      </c>
      <c r="AC63" s="213">
        <f t="shared" si="39"/>
        <v>0.47359999999999869</v>
      </c>
      <c r="AD63" s="213">
        <f t="shared" si="39"/>
        <v>119948.9999999999</v>
      </c>
      <c r="AE63" s="213">
        <f t="shared" si="39"/>
        <v>6182.9999999999945</v>
      </c>
      <c r="AF63" s="213">
        <f t="shared" si="39"/>
        <v>3767.4999999999968</v>
      </c>
      <c r="AG63" s="213">
        <f t="shared" si="39"/>
        <v>1205.6666666666656</v>
      </c>
      <c r="AH63" s="213">
        <f t="shared" si="39"/>
        <v>1558.9999999999986</v>
      </c>
      <c r="AI63" s="213">
        <f t="shared" si="39"/>
        <v>393.84787919164967</v>
      </c>
      <c r="AJ63" s="213" t="str">
        <f>IFERROR(AJ46/AJ28/(1-0.95)-1,"Choose Bet")</f>
        <v>Choose Bet</v>
      </c>
      <c r="AK63" s="213">
        <f>IFERROR(AK46/AK28/(1-0.95)-1,"")</f>
        <v>26532.33333333331</v>
      </c>
      <c r="AL63" s="213" t="str">
        <f t="shared" ref="AL63:BC63" si="40">IFERROR(AL46/AL28/(1-0.95)-1,"Choose Bet")</f>
        <v>Choose Bet</v>
      </c>
      <c r="AM63" s="213" t="str">
        <f t="shared" si="40"/>
        <v>Choose Bet</v>
      </c>
      <c r="AN63" s="213" t="str">
        <f t="shared" si="40"/>
        <v>Choose Bet</v>
      </c>
      <c r="AO63" s="213" t="str">
        <f t="shared" si="40"/>
        <v>Choose Bet</v>
      </c>
      <c r="AP63" s="213" t="str">
        <f t="shared" si="40"/>
        <v>Choose Bet</v>
      </c>
      <c r="AQ63" s="213" t="str">
        <f t="shared" si="40"/>
        <v>Choose Bet</v>
      </c>
      <c r="AR63" s="213" t="str">
        <f t="shared" si="40"/>
        <v>Choose Bet</v>
      </c>
      <c r="AS63" s="213">
        <f t="shared" si="40"/>
        <v>167.59999999999985</v>
      </c>
      <c r="AT63" s="213">
        <f t="shared" si="40"/>
        <v>14640.799999999988</v>
      </c>
      <c r="AU63" s="213">
        <f t="shared" si="40"/>
        <v>1255.4999999999989</v>
      </c>
      <c r="AV63" s="213">
        <f t="shared" si="40"/>
        <v>183.67999999999984</v>
      </c>
      <c r="AW63" s="213">
        <f t="shared" si="40"/>
        <v>275.33333333333309</v>
      </c>
      <c r="AX63" s="213">
        <f t="shared" si="40"/>
        <v>1.699999999999998</v>
      </c>
      <c r="AY63" s="213">
        <f t="shared" si="40"/>
        <v>520.99999999999955</v>
      </c>
      <c r="AZ63" s="213">
        <f t="shared" si="40"/>
        <v>487.38573333333284</v>
      </c>
      <c r="BA63" s="213">
        <f t="shared" si="40"/>
        <v>223.9999999999998</v>
      </c>
      <c r="BB63" s="213">
        <f t="shared" si="40"/>
        <v>387.33333333333292</v>
      </c>
      <c r="BC63" s="213" t="str">
        <f t="shared" si="40"/>
        <v>Choose Bet</v>
      </c>
      <c r="BD63" s="213" t="str">
        <f>IFERROR(BD46/BD28/(1-0.95)-1,"N/A")</f>
        <v>N/A</v>
      </c>
    </row>
    <row r="64" spans="1:56" ht="15.75" customHeight="1">
      <c r="A64" s="9"/>
      <c r="B64" s="103"/>
      <c r="C64" s="104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105"/>
      <c r="BB64" s="105"/>
      <c r="BC64" s="105"/>
      <c r="BD64" s="105"/>
    </row>
    <row r="65" spans="1:56" ht="15.75" customHeight="1">
      <c r="A65" s="9"/>
      <c r="B65" s="177" t="s">
        <v>373</v>
      </c>
      <c r="C65" s="214">
        <f t="shared" ref="C65:BD65" si="41">C35/C$68</f>
        <v>0.24209264759522692</v>
      </c>
      <c r="D65" s="215">
        <f t="shared" si="41"/>
        <v>1</v>
      </c>
      <c r="E65" s="215">
        <f t="shared" si="41"/>
        <v>0.57743137919349374</v>
      </c>
      <c r="F65" s="215">
        <f t="shared" si="41"/>
        <v>0.27231807951987996</v>
      </c>
      <c r="G65" s="215">
        <f t="shared" si="41"/>
        <v>0.45533769063180823</v>
      </c>
      <c r="H65" s="215">
        <f t="shared" si="41"/>
        <v>0.38167435728411342</v>
      </c>
      <c r="I65" s="215">
        <f t="shared" si="41"/>
        <v>0.80038326413286487</v>
      </c>
      <c r="J65" s="215">
        <f t="shared" si="41"/>
        <v>0.23347778981581799</v>
      </c>
      <c r="K65" s="215">
        <f t="shared" si="41"/>
        <v>5.1860364890101998E-2</v>
      </c>
      <c r="L65" s="215">
        <f t="shared" si="41"/>
        <v>9.6654275092936809E-2</v>
      </c>
      <c r="M65" s="215">
        <f t="shared" si="41"/>
        <v>0.30437044745057235</v>
      </c>
      <c r="N65" s="215">
        <f t="shared" si="41"/>
        <v>0.51596292481977335</v>
      </c>
      <c r="O65" s="215">
        <f t="shared" si="41"/>
        <v>0.52548428515603196</v>
      </c>
      <c r="P65" s="215">
        <f t="shared" si="41"/>
        <v>0.24783686247228143</v>
      </c>
      <c r="Q65" s="215">
        <f t="shared" si="41"/>
        <v>4.4831524842946884E-2</v>
      </c>
      <c r="R65" s="215">
        <f t="shared" si="41"/>
        <v>0.83405450479789911</v>
      </c>
      <c r="S65" s="215">
        <f t="shared" si="41"/>
        <v>0.32320124367838565</v>
      </c>
      <c r="T65" s="215">
        <f t="shared" si="41"/>
        <v>1</v>
      </c>
      <c r="U65" s="215">
        <f t="shared" si="41"/>
        <v>0.32816197738627395</v>
      </c>
      <c r="V65" s="215">
        <f t="shared" si="41"/>
        <v>0</v>
      </c>
      <c r="W65" s="215">
        <f t="shared" si="41"/>
        <v>6.8285280728376321E-2</v>
      </c>
      <c r="X65" s="215">
        <f t="shared" si="41"/>
        <v>0.375</v>
      </c>
      <c r="Y65" s="215">
        <f t="shared" si="41"/>
        <v>0.39363241678726485</v>
      </c>
      <c r="Z65" s="215">
        <f t="shared" si="41"/>
        <v>0.61538461538461542</v>
      </c>
      <c r="AA65" s="215">
        <f t="shared" si="41"/>
        <v>0.94208494208494209</v>
      </c>
      <c r="AB65" s="215">
        <f t="shared" si="41"/>
        <v>0.32088285229202035</v>
      </c>
      <c r="AC65" s="215">
        <f t="shared" si="41"/>
        <v>0.66069489685124871</v>
      </c>
      <c r="AD65" s="215">
        <f t="shared" si="41"/>
        <v>0.56857023759899949</v>
      </c>
      <c r="AE65" s="215">
        <f t="shared" si="41"/>
        <v>0.12936610608020699</v>
      </c>
      <c r="AF65" s="215">
        <f t="shared" si="41"/>
        <v>6.129759851399761E-2</v>
      </c>
      <c r="AG65" s="215">
        <f t="shared" si="41"/>
        <v>0.30939226519337015</v>
      </c>
      <c r="AH65" s="215">
        <f t="shared" si="41"/>
        <v>0.87179487179487181</v>
      </c>
      <c r="AI65" s="215">
        <f t="shared" si="41"/>
        <v>0.57817772778402698</v>
      </c>
      <c r="AJ65" s="215">
        <f t="shared" si="41"/>
        <v>0.21075949367088609</v>
      </c>
      <c r="AK65" s="215">
        <f t="shared" si="41"/>
        <v>7.5376884422110546E-2</v>
      </c>
      <c r="AL65" s="215">
        <f t="shared" si="41"/>
        <v>0.29623505749079809</v>
      </c>
      <c r="AM65" s="215">
        <f t="shared" si="41"/>
        <v>0.69784494086727988</v>
      </c>
      <c r="AN65" s="215">
        <f t="shared" si="41"/>
        <v>1</v>
      </c>
      <c r="AO65" s="215">
        <f t="shared" si="41"/>
        <v>0.93579290902923162</v>
      </c>
      <c r="AP65" s="215">
        <f t="shared" si="41"/>
        <v>0.12598580169330001</v>
      </c>
      <c r="AQ65" s="215">
        <f t="shared" si="41"/>
        <v>1</v>
      </c>
      <c r="AR65" s="215">
        <f t="shared" si="41"/>
        <v>0.41629005230284877</v>
      </c>
      <c r="AS65" s="215">
        <f t="shared" si="41"/>
        <v>8.066429418742585E-2</v>
      </c>
      <c r="AT65" s="215">
        <f t="shared" si="41"/>
        <v>0</v>
      </c>
      <c r="AU65" s="215">
        <f t="shared" si="41"/>
        <v>7.958615200955034E-2</v>
      </c>
      <c r="AV65" s="215">
        <f t="shared" si="41"/>
        <v>1.4294996751137101E-2</v>
      </c>
      <c r="AW65" s="215">
        <f t="shared" si="41"/>
        <v>0.42822677925211095</v>
      </c>
      <c r="AX65" s="215">
        <f t="shared" si="41"/>
        <v>1</v>
      </c>
      <c r="AY65" s="215">
        <f t="shared" si="41"/>
        <v>1</v>
      </c>
      <c r="AZ65" s="215">
        <f t="shared" si="41"/>
        <v>0.77476819552195497</v>
      </c>
      <c r="BA65" s="216">
        <f t="shared" si="41"/>
        <v>0.44444444444444448</v>
      </c>
      <c r="BB65" s="216">
        <f t="shared" si="41"/>
        <v>1</v>
      </c>
      <c r="BC65" s="216">
        <f t="shared" si="41"/>
        <v>5.9534883720930236E-2</v>
      </c>
      <c r="BD65" s="216">
        <f t="shared" si="41"/>
        <v>0.4023952095808383</v>
      </c>
    </row>
    <row r="66" spans="1:56" ht="15.75" customHeight="1">
      <c r="A66" s="9"/>
      <c r="B66" s="177" t="s">
        <v>374</v>
      </c>
      <c r="C66" s="214">
        <f t="shared" ref="C66:BD66" si="42">C38/C68</f>
        <v>2.9961961336042935E-2</v>
      </c>
      <c r="D66" s="215">
        <f t="shared" si="42"/>
        <v>0</v>
      </c>
      <c r="E66" s="215">
        <f t="shared" si="42"/>
        <v>9.9627245001694342E-2</v>
      </c>
      <c r="F66" s="215">
        <f t="shared" si="42"/>
        <v>0.72768192048012004</v>
      </c>
      <c r="G66" s="215">
        <f t="shared" si="42"/>
        <v>0.5446623093681916</v>
      </c>
      <c r="H66" s="215">
        <f t="shared" si="42"/>
        <v>0.38760711931443648</v>
      </c>
      <c r="I66" s="215">
        <f t="shared" si="42"/>
        <v>0.1996167358671351</v>
      </c>
      <c r="J66" s="215">
        <f t="shared" si="42"/>
        <v>0.11105092091007585</v>
      </c>
      <c r="K66" s="215">
        <f t="shared" si="42"/>
        <v>8.6194512282718017E-2</v>
      </c>
      <c r="L66" s="215">
        <f t="shared" si="42"/>
        <v>0.90334572490706322</v>
      </c>
      <c r="M66" s="215">
        <f t="shared" si="42"/>
        <v>0.39021852237252863</v>
      </c>
      <c r="N66" s="215">
        <f t="shared" si="42"/>
        <v>0.22657054582904221</v>
      </c>
      <c r="O66" s="215">
        <f t="shared" si="42"/>
        <v>0.47451571484396809</v>
      </c>
      <c r="P66" s="215">
        <f t="shared" si="42"/>
        <v>0.53337101613113624</v>
      </c>
      <c r="Q66" s="215">
        <f t="shared" si="42"/>
        <v>0.59822958309537411</v>
      </c>
      <c r="R66" s="215">
        <f t="shared" si="42"/>
        <v>0.16594549520210089</v>
      </c>
      <c r="S66" s="215">
        <f t="shared" si="42"/>
        <v>8.0800310919596413E-2</v>
      </c>
      <c r="T66" s="215">
        <f t="shared" si="42"/>
        <v>0</v>
      </c>
      <c r="U66" s="215">
        <f t="shared" si="42"/>
        <v>0.1630291874835656</v>
      </c>
      <c r="V66" s="215">
        <f t="shared" si="42"/>
        <v>4.6242774566473993E-2</v>
      </c>
      <c r="W66" s="215">
        <f t="shared" si="42"/>
        <v>0.93171471927162375</v>
      </c>
      <c r="X66" s="215">
        <f t="shared" si="42"/>
        <v>0.62500000000000011</v>
      </c>
      <c r="Y66" s="215">
        <f t="shared" si="42"/>
        <v>0.37481910274963826</v>
      </c>
      <c r="Z66" s="215">
        <f t="shared" si="42"/>
        <v>0.38461538461538464</v>
      </c>
      <c r="AA66" s="215">
        <f t="shared" si="42"/>
        <v>5.791505791505791E-2</v>
      </c>
      <c r="AB66" s="215">
        <f t="shared" si="42"/>
        <v>0.67911714770797948</v>
      </c>
      <c r="AC66" s="215">
        <f t="shared" si="42"/>
        <v>0.3393051031487514</v>
      </c>
      <c r="AD66" s="215">
        <f t="shared" si="42"/>
        <v>0.43142976240100039</v>
      </c>
      <c r="AE66" s="215">
        <f t="shared" si="42"/>
        <v>0.25873221216041398</v>
      </c>
      <c r="AF66" s="215">
        <f t="shared" si="42"/>
        <v>0.93870240148600226</v>
      </c>
      <c r="AG66" s="215">
        <f t="shared" si="42"/>
        <v>0.69060773480662974</v>
      </c>
      <c r="AH66" s="215">
        <f t="shared" si="42"/>
        <v>0.12820512820512822</v>
      </c>
      <c r="AI66" s="215">
        <f t="shared" si="42"/>
        <v>0.42182227221597302</v>
      </c>
      <c r="AJ66" s="215">
        <f t="shared" si="42"/>
        <v>6.0126582278481014E-2</v>
      </c>
      <c r="AK66" s="215">
        <f t="shared" si="42"/>
        <v>0.6733668341708543</v>
      </c>
      <c r="AL66" s="215">
        <f t="shared" si="42"/>
        <v>0.70376494250920185</v>
      </c>
      <c r="AM66" s="215">
        <f t="shared" si="42"/>
        <v>0.30215505913272006</v>
      </c>
      <c r="AN66" s="215">
        <f t="shared" si="42"/>
        <v>0</v>
      </c>
      <c r="AO66" s="215">
        <f t="shared" si="42"/>
        <v>6.4207090970768155E-2</v>
      </c>
      <c r="AP66" s="215">
        <f t="shared" si="42"/>
        <v>0.22659627363507037</v>
      </c>
      <c r="AQ66" s="215">
        <f t="shared" si="42"/>
        <v>0</v>
      </c>
      <c r="AR66" s="215">
        <f t="shared" si="42"/>
        <v>0.58370994769715134</v>
      </c>
      <c r="AS66" s="215">
        <f t="shared" si="42"/>
        <v>0.77105575326215903</v>
      </c>
      <c r="AT66" s="215">
        <f t="shared" si="42"/>
        <v>1</v>
      </c>
      <c r="AU66" s="215">
        <f t="shared" si="42"/>
        <v>0.59212097095105454</v>
      </c>
      <c r="AV66" s="215">
        <f t="shared" si="42"/>
        <v>0.88585661685076889</v>
      </c>
      <c r="AW66" s="215">
        <f t="shared" si="42"/>
        <v>0.27020506634499397</v>
      </c>
      <c r="AX66" s="215">
        <f t="shared" si="42"/>
        <v>0</v>
      </c>
      <c r="AY66" s="215">
        <f t="shared" si="42"/>
        <v>0</v>
      </c>
      <c r="AZ66" s="215">
        <f t="shared" si="42"/>
        <v>0.22523180447804511</v>
      </c>
      <c r="BA66" s="216">
        <f t="shared" si="42"/>
        <v>0.55555555555555558</v>
      </c>
      <c r="BB66" s="216">
        <f t="shared" si="42"/>
        <v>0</v>
      </c>
      <c r="BC66" s="216">
        <f t="shared" si="42"/>
        <v>0.47627906976744189</v>
      </c>
      <c r="BD66" s="216">
        <f t="shared" si="42"/>
        <v>0.59760479041916159</v>
      </c>
    </row>
    <row r="67" spans="1:56" ht="15.75" customHeight="1">
      <c r="A67" s="9"/>
      <c r="B67" s="177" t="s">
        <v>375</v>
      </c>
      <c r="C67" s="214">
        <f t="shared" ref="C67:BD67" si="43">C44/C68</f>
        <v>0.59923922672085872</v>
      </c>
      <c r="D67" s="215">
        <f t="shared" si="43"/>
        <v>0</v>
      </c>
      <c r="E67" s="215">
        <f t="shared" si="43"/>
        <v>0.28058285327007793</v>
      </c>
      <c r="F67" s="215">
        <f t="shared" si="43"/>
        <v>0</v>
      </c>
      <c r="G67" s="215">
        <f t="shared" si="43"/>
        <v>0</v>
      </c>
      <c r="H67" s="215">
        <f t="shared" si="43"/>
        <v>0</v>
      </c>
      <c r="I67" s="215">
        <f t="shared" si="43"/>
        <v>0</v>
      </c>
      <c r="J67" s="215">
        <f t="shared" si="43"/>
        <v>0</v>
      </c>
      <c r="K67" s="215">
        <f t="shared" si="43"/>
        <v>0</v>
      </c>
      <c r="L67" s="215">
        <f t="shared" si="43"/>
        <v>0</v>
      </c>
      <c r="M67" s="215">
        <f t="shared" si="43"/>
        <v>6.5036420395421443E-2</v>
      </c>
      <c r="N67" s="215">
        <f t="shared" si="43"/>
        <v>0</v>
      </c>
      <c r="O67" s="215">
        <f t="shared" si="43"/>
        <v>0</v>
      </c>
      <c r="P67" s="215">
        <f t="shared" si="43"/>
        <v>4.3480151310926564E-2</v>
      </c>
      <c r="Q67" s="215">
        <f t="shared" si="43"/>
        <v>0</v>
      </c>
      <c r="R67" s="215">
        <f t="shared" si="43"/>
        <v>0</v>
      </c>
      <c r="S67" s="215">
        <f t="shared" si="43"/>
        <v>0.40400155459798209</v>
      </c>
      <c r="T67" s="215">
        <f t="shared" si="43"/>
        <v>0</v>
      </c>
      <c r="U67" s="215">
        <f t="shared" si="43"/>
        <v>0.41651327899027085</v>
      </c>
      <c r="V67" s="215">
        <f t="shared" si="43"/>
        <v>0</v>
      </c>
      <c r="W67" s="215">
        <f t="shared" si="43"/>
        <v>0</v>
      </c>
      <c r="X67" s="215">
        <f t="shared" si="43"/>
        <v>0</v>
      </c>
      <c r="Y67" s="215">
        <f t="shared" si="43"/>
        <v>0</v>
      </c>
      <c r="Z67" s="215">
        <f t="shared" si="43"/>
        <v>0</v>
      </c>
      <c r="AA67" s="215">
        <f t="shared" si="43"/>
        <v>0</v>
      </c>
      <c r="AB67" s="215">
        <f t="shared" si="43"/>
        <v>0</v>
      </c>
      <c r="AC67" s="215">
        <f t="shared" si="43"/>
        <v>0</v>
      </c>
      <c r="AD67" s="215">
        <f t="shared" si="43"/>
        <v>0</v>
      </c>
      <c r="AE67" s="215">
        <f t="shared" si="43"/>
        <v>0.16170763260025872</v>
      </c>
      <c r="AF67" s="215">
        <f t="shared" si="43"/>
        <v>0</v>
      </c>
      <c r="AG67" s="215">
        <f t="shared" si="43"/>
        <v>0</v>
      </c>
      <c r="AH67" s="215">
        <f t="shared" si="43"/>
        <v>0</v>
      </c>
      <c r="AI67" s="215">
        <f t="shared" si="43"/>
        <v>0</v>
      </c>
      <c r="AJ67" s="215">
        <f t="shared" si="43"/>
        <v>0</v>
      </c>
      <c r="AK67" s="215">
        <f t="shared" si="43"/>
        <v>0</v>
      </c>
      <c r="AL67" s="215">
        <f t="shared" si="43"/>
        <v>0</v>
      </c>
      <c r="AM67" s="215">
        <f t="shared" si="43"/>
        <v>0</v>
      </c>
      <c r="AN67" s="215">
        <f t="shared" si="43"/>
        <v>0</v>
      </c>
      <c r="AO67" s="215">
        <f t="shared" si="43"/>
        <v>0</v>
      </c>
      <c r="AP67" s="215">
        <f t="shared" si="43"/>
        <v>0</v>
      </c>
      <c r="AQ67" s="215">
        <f t="shared" si="43"/>
        <v>0</v>
      </c>
      <c r="AR67" s="215">
        <f t="shared" si="43"/>
        <v>0</v>
      </c>
      <c r="AS67" s="215">
        <f t="shared" si="43"/>
        <v>0</v>
      </c>
      <c r="AT67" s="215">
        <f t="shared" si="43"/>
        <v>0</v>
      </c>
      <c r="AU67" s="215">
        <f t="shared" si="43"/>
        <v>0</v>
      </c>
      <c r="AV67" s="215">
        <f t="shared" si="43"/>
        <v>0</v>
      </c>
      <c r="AW67" s="215">
        <f t="shared" si="43"/>
        <v>0</v>
      </c>
      <c r="AX67" s="215">
        <f t="shared" si="43"/>
        <v>0</v>
      </c>
      <c r="AY67" s="215">
        <f t="shared" si="43"/>
        <v>0</v>
      </c>
      <c r="AZ67" s="215">
        <f t="shared" si="43"/>
        <v>0</v>
      </c>
      <c r="BA67" s="216">
        <f t="shared" si="43"/>
        <v>0</v>
      </c>
      <c r="BB67" s="216">
        <f t="shared" si="43"/>
        <v>0</v>
      </c>
      <c r="BC67" s="216">
        <f t="shared" si="43"/>
        <v>0</v>
      </c>
      <c r="BD67" s="216">
        <f t="shared" si="43"/>
        <v>0</v>
      </c>
    </row>
    <row r="68" spans="1:56" ht="15.75" customHeight="1">
      <c r="A68" s="9"/>
      <c r="B68" s="217" t="s">
        <v>376</v>
      </c>
      <c r="C68" s="218">
        <f t="shared" ref="C68:BD68" si="44">C47</f>
        <v>0.16890512233761662</v>
      </c>
      <c r="D68" s="219">
        <f t="shared" si="44"/>
        <v>1.4239999999999999</v>
      </c>
      <c r="E68" s="219">
        <f t="shared" si="44"/>
        <v>6.706818181818182</v>
      </c>
      <c r="F68" s="219">
        <f t="shared" si="44"/>
        <v>3.5078947368421054</v>
      </c>
      <c r="G68" s="219">
        <f t="shared" si="44"/>
        <v>0.91800000000000004</v>
      </c>
      <c r="H68" s="219">
        <f t="shared" si="44"/>
        <v>0.2528333333333333</v>
      </c>
      <c r="I68" s="219">
        <f t="shared" si="44"/>
        <v>0.62619999999999998</v>
      </c>
      <c r="J68" s="219">
        <f t="shared" si="44"/>
        <v>2.4613333333333332</v>
      </c>
      <c r="K68" s="219">
        <f t="shared" si="44"/>
        <v>0.12656363636363635</v>
      </c>
      <c r="L68" s="219">
        <f t="shared" si="44"/>
        <v>14.157894736842104</v>
      </c>
      <c r="M68" s="219">
        <f t="shared" si="44"/>
        <v>1.2813333333333332</v>
      </c>
      <c r="N68" s="219">
        <f t="shared" si="44"/>
        <v>0.8091666666666667</v>
      </c>
      <c r="O68" s="219">
        <f t="shared" si="44"/>
        <v>0.22391249999999999</v>
      </c>
      <c r="P68" s="219">
        <f t="shared" si="44"/>
        <v>0.61825268817204293</v>
      </c>
      <c r="Q68" s="219">
        <f t="shared" si="44"/>
        <v>5.8366666666666669</v>
      </c>
      <c r="R68" s="219">
        <f t="shared" si="44"/>
        <v>0.20086916666666665</v>
      </c>
      <c r="S68" s="219">
        <f t="shared" si="44"/>
        <v>3.7128570000000001</v>
      </c>
      <c r="T68" s="219">
        <f t="shared" si="44"/>
        <v>0.75958982149639198</v>
      </c>
      <c r="U68" s="219">
        <f t="shared" si="44"/>
        <v>5.9421875000000002</v>
      </c>
      <c r="V68" s="219">
        <f t="shared" si="44"/>
        <v>0.82380952380952377</v>
      </c>
      <c r="W68" s="219">
        <f t="shared" si="44"/>
        <v>2.1966666666666668</v>
      </c>
      <c r="X68" s="219">
        <f t="shared" si="44"/>
        <v>2.6666666666666665</v>
      </c>
      <c r="Y68" s="219">
        <f t="shared" si="44"/>
        <v>2.3993055555555554</v>
      </c>
      <c r="Z68" s="219">
        <f t="shared" si="44"/>
        <v>0.54166666666666663</v>
      </c>
      <c r="AA68" s="219">
        <f t="shared" si="44"/>
        <v>4.4965277777777778E-2</v>
      </c>
      <c r="AB68" s="219">
        <f t="shared" si="44"/>
        <v>0.92031249999999998</v>
      </c>
      <c r="AC68" s="219">
        <f t="shared" si="44"/>
        <v>2.0466666666666664E-2</v>
      </c>
      <c r="AD68" s="219">
        <f t="shared" si="44"/>
        <v>1.4486714975845412</v>
      </c>
      <c r="AE68" s="219">
        <f t="shared" si="44"/>
        <v>1.546</v>
      </c>
      <c r="AF68" s="219">
        <f t="shared" si="44"/>
        <v>3.1404166666666669</v>
      </c>
      <c r="AG68" s="219">
        <f t="shared" si="44"/>
        <v>0.55864197530864201</v>
      </c>
      <c r="AH68" s="219">
        <f t="shared" si="44"/>
        <v>1.95</v>
      </c>
      <c r="AI68" s="219">
        <f t="shared" si="44"/>
        <v>0.56444444444444442</v>
      </c>
      <c r="AJ68" s="219">
        <f t="shared" si="44"/>
        <v>2.6333333333333333</v>
      </c>
      <c r="AK68" s="219">
        <f t="shared" si="44"/>
        <v>0.79600000000000004</v>
      </c>
      <c r="AL68" s="219">
        <f t="shared" si="44"/>
        <v>1.5156575757575759</v>
      </c>
      <c r="AM68" s="219">
        <f t="shared" si="44"/>
        <v>2.5366666666666671</v>
      </c>
      <c r="AN68" s="219">
        <f t="shared" si="44"/>
        <v>2.2676923076923079</v>
      </c>
      <c r="AO68" s="219">
        <f t="shared" si="44"/>
        <v>3.2382196969696975</v>
      </c>
      <c r="AP68" s="219">
        <f t="shared" si="44"/>
        <v>2.9703794871794869</v>
      </c>
      <c r="AQ68" s="219">
        <f t="shared" si="44"/>
        <v>1.75</v>
      </c>
      <c r="AR68" s="219">
        <f t="shared" si="44"/>
        <v>3.9386000000000001</v>
      </c>
      <c r="AS68" s="219">
        <f t="shared" si="44"/>
        <v>0.3372</v>
      </c>
      <c r="AT68" s="219">
        <f t="shared" si="44"/>
        <v>0.22184545454545454</v>
      </c>
      <c r="AU68" s="219">
        <f t="shared" si="44"/>
        <v>0.62824999999999998</v>
      </c>
      <c r="AV68" s="219">
        <f t="shared" si="44"/>
        <v>1.5389999999999999</v>
      </c>
      <c r="AW68" s="219">
        <f t="shared" si="44"/>
        <v>2.7633333333333333E-2</v>
      </c>
      <c r="AX68" s="219">
        <f t="shared" si="44"/>
        <v>5.4000000000000003E-3</v>
      </c>
      <c r="AY68" s="219">
        <f t="shared" si="44"/>
        <v>1.3050000000000001E-2</v>
      </c>
      <c r="AZ68" s="219">
        <f t="shared" si="44"/>
        <v>0.97677146666666659</v>
      </c>
      <c r="BA68" s="220">
        <f t="shared" si="44"/>
        <v>0.625</v>
      </c>
      <c r="BB68" s="220">
        <f t="shared" si="44"/>
        <v>1.9416666666666667</v>
      </c>
      <c r="BC68" s="220">
        <f t="shared" si="44"/>
        <v>3.359375</v>
      </c>
      <c r="BD68" s="220">
        <f t="shared" si="44"/>
        <v>2.9821428571428572</v>
      </c>
    </row>
    <row r="69" spans="1:56" ht="15.75" customHeight="1">
      <c r="A69" s="9"/>
      <c r="B69" s="221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</row>
    <row r="70" spans="1:56" ht="15.75" customHeight="1">
      <c r="A70" s="9"/>
      <c r="B70" s="22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</row>
    <row r="71" spans="1:56" ht="15.75" customHeight="1">
      <c r="A71" s="9"/>
      <c r="B71" s="22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</row>
    <row r="72" spans="1:56" ht="15.75" customHeight="1">
      <c r="A72" s="9"/>
      <c r="B72" s="22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223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</row>
    <row r="73" spans="1:56" ht="15.75" customHeight="1">
      <c r="A73" s="9"/>
      <c r="B73" s="22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223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</row>
    <row r="74" spans="1:56" ht="15.75" customHeight="1">
      <c r="A74" s="9"/>
      <c r="B74" s="22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</row>
    <row r="75" spans="1:56" ht="15.75" customHeight="1">
      <c r="A75" s="9"/>
      <c r="B75" s="22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</row>
    <row r="76" spans="1:56" ht="15.75" customHeight="1">
      <c r="A76" s="9"/>
      <c r="B76" s="22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</row>
    <row r="77" spans="1:56" ht="15.75" customHeight="1">
      <c r="A77" s="9"/>
      <c r="B77" s="22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</row>
    <row r="78" spans="1:56" ht="15.75" customHeight="1">
      <c r="A78" s="9"/>
      <c r="B78" s="22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</row>
    <row r="79" spans="1:56" ht="15.75" customHeight="1">
      <c r="A79" s="9"/>
      <c r="B79" s="22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</row>
    <row r="80" spans="1:56" ht="15.75" customHeight="1">
      <c r="A80" s="9"/>
      <c r="B80" s="222"/>
      <c r="C80" s="224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</row>
    <row r="81" spans="1:56" ht="15.75" customHeight="1">
      <c r="A81" s="9"/>
      <c r="B81" s="222"/>
      <c r="C81" s="224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</row>
    <row r="82" spans="1:56" ht="15.75" customHeight="1">
      <c r="A82" s="9"/>
      <c r="B82" s="222"/>
      <c r="C82" s="225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</row>
    <row r="83" spans="1:56" ht="15.75" customHeight="1">
      <c r="A83" s="9"/>
      <c r="B83" s="222"/>
      <c r="C83" s="224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</row>
    <row r="84" spans="1:56" ht="15.75" customHeight="1">
      <c r="A84" s="9"/>
      <c r="B84" s="22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</row>
    <row r="85" spans="1:56" ht="15.75" customHeight="1">
      <c r="A85" s="9"/>
      <c r="B85" s="222"/>
      <c r="C85" s="225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</row>
    <row r="86" spans="1:56" ht="15.75" customHeight="1">
      <c r="A86" s="9"/>
      <c r="B86" s="222"/>
      <c r="C86" s="224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</row>
    <row r="87" spans="1:56" ht="15.75" customHeight="1">
      <c r="A87" s="9"/>
      <c r="B87" s="22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</row>
    <row r="88" spans="1:56" ht="15.75" customHeight="1">
      <c r="A88" s="9"/>
      <c r="B88" s="222"/>
      <c r="C88" s="225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</row>
    <row r="89" spans="1:56" ht="15.75" customHeight="1">
      <c r="A89" s="9"/>
      <c r="B89" s="22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</row>
    <row r="90" spans="1:56" ht="15.75" customHeight="1">
      <c r="A90" s="9"/>
      <c r="B90" s="222"/>
      <c r="C90" s="224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</row>
    <row r="91" spans="1:56" ht="15.75" customHeight="1">
      <c r="A91" s="9"/>
      <c r="B91" s="222"/>
      <c r="C91" s="224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</row>
    <row r="92" spans="1:56" ht="15.75" customHeight="1">
      <c r="A92" s="9"/>
      <c r="B92" s="22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</row>
    <row r="93" spans="1:56" ht="15.75" customHeight="1">
      <c r="A93" s="9"/>
      <c r="B93" s="222"/>
      <c r="C93" s="225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</row>
    <row r="94" spans="1:56" ht="15.75" customHeight="1">
      <c r="A94" s="9"/>
      <c r="B94" s="222"/>
      <c r="C94" s="225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</row>
    <row r="95" spans="1:56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</row>
    <row r="96" spans="1:56" ht="15.75" customHeight="1">
      <c r="A96" s="9"/>
      <c r="B96" s="222"/>
      <c r="C96" s="225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</row>
    <row r="97" spans="1:56" ht="15.75" customHeight="1">
      <c r="A97" s="9"/>
      <c r="B97" s="222"/>
      <c r="C97" s="225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</row>
    <row r="98" spans="1:56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</row>
    <row r="99" spans="1:56" ht="15.75" customHeight="1">
      <c r="A99" s="9"/>
      <c r="B99" s="222"/>
      <c r="C99" s="225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</row>
    <row r="100" spans="1:56" ht="15.75" customHeight="1">
      <c r="A100" s="9"/>
      <c r="B100" s="222"/>
      <c r="C100" s="225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</row>
    <row r="101" spans="1:56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</row>
    <row r="102" spans="1:56" ht="15.75" customHeight="1">
      <c r="A102" s="9"/>
      <c r="B102" s="222"/>
      <c r="C102" s="225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</row>
    <row r="103" spans="1:56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</row>
    <row r="104" spans="1:56" ht="15.75" customHeight="1">
      <c r="A104" s="9"/>
      <c r="B104" s="222"/>
      <c r="C104" s="226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</row>
    <row r="105" spans="1:56" ht="15.75" customHeight="1">
      <c r="A105" s="9"/>
      <c r="B105" s="222"/>
      <c r="C105" s="226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</row>
    <row r="106" spans="1:56" ht="15.75" customHeight="1">
      <c r="A106" s="9"/>
      <c r="B106" s="222"/>
      <c r="C106" s="226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</row>
    <row r="107" spans="1:56" ht="15.75" customHeight="1">
      <c r="A107" s="9"/>
      <c r="B107" s="222"/>
      <c r="C107" s="227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</row>
    <row r="108" spans="1:56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</row>
    <row r="109" spans="1:56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</row>
    <row r="110" spans="1:56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</row>
    <row r="111" spans="1:56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</row>
    <row r="112" spans="1:56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</row>
    <row r="113" spans="1:56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</row>
    <row r="114" spans="1:56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</row>
    <row r="115" spans="1:56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</row>
    <row r="116" spans="1:5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</row>
    <row r="117" spans="1:56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</row>
    <row r="118" spans="1:56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</row>
    <row r="119" spans="1:56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</row>
    <row r="120" spans="1:56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</row>
    <row r="121" spans="1:56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</row>
    <row r="122" spans="1:56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</row>
    <row r="123" spans="1:56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</row>
    <row r="124" spans="1:56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</row>
    <row r="125" spans="1:56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</row>
    <row r="126" spans="1:5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</row>
    <row r="127" spans="1:56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</row>
    <row r="128" spans="1:56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</row>
    <row r="129" spans="1:56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</row>
    <row r="130" spans="1:56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</row>
    <row r="131" spans="1:56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</row>
    <row r="132" spans="1:56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</row>
    <row r="133" spans="1:56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</row>
    <row r="134" spans="1:56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</row>
    <row r="135" spans="1:56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</row>
    <row r="136" spans="1:5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</row>
    <row r="137" spans="1:56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</row>
    <row r="138" spans="1:56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</row>
    <row r="139" spans="1:56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</row>
    <row r="140" spans="1:56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</row>
    <row r="141" spans="1:56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</row>
    <row r="142" spans="1:56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</row>
    <row r="143" spans="1:56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</row>
    <row r="144" spans="1:56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</row>
    <row r="145" spans="1:56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</row>
    <row r="146" spans="1:5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</row>
    <row r="147" spans="1:56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</row>
    <row r="148" spans="1:56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</row>
    <row r="149" spans="1:56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</row>
    <row r="150" spans="1:56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</row>
    <row r="151" spans="1:56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</row>
    <row r="152" spans="1:56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</row>
    <row r="153" spans="1:56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</row>
    <row r="154" spans="1:56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</row>
    <row r="155" spans="1:56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</row>
    <row r="156" spans="1: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</row>
    <row r="157" spans="1:56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</row>
    <row r="158" spans="1:56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</row>
    <row r="159" spans="1:56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</row>
    <row r="160" spans="1:56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</row>
    <row r="161" spans="1:56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</row>
    <row r="162" spans="1:56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</row>
    <row r="163" spans="1:56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</row>
    <row r="164" spans="1:56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</row>
    <row r="165" spans="1:56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</row>
    <row r="166" spans="1:5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</row>
    <row r="167" spans="1:56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</row>
    <row r="168" spans="1:56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</row>
    <row r="169" spans="1:56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</row>
    <row r="170" spans="1:56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</row>
    <row r="171" spans="1:56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</row>
    <row r="172" spans="1:56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</row>
    <row r="173" spans="1:56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</row>
    <row r="174" spans="1:56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</row>
    <row r="175" spans="1:56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</row>
    <row r="176" spans="1:5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</row>
    <row r="177" spans="1:56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</row>
    <row r="178" spans="1:56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</row>
    <row r="179" spans="1:56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</row>
    <row r="180" spans="1:56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</row>
    <row r="181" spans="1:56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</row>
    <row r="182" spans="1:56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</row>
    <row r="183" spans="1:56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</row>
    <row r="184" spans="1:56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</row>
    <row r="185" spans="1:56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</row>
    <row r="186" spans="1:5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</row>
    <row r="187" spans="1:56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</row>
    <row r="188" spans="1:56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</row>
    <row r="189" spans="1:56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</row>
    <row r="190" spans="1:56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</row>
    <row r="191" spans="1:56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</row>
    <row r="192" spans="1:56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</row>
    <row r="193" spans="1:56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</row>
    <row r="194" spans="1:56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</row>
    <row r="195" spans="1:56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</row>
    <row r="196" spans="1:5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</row>
    <row r="197" spans="1:56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</row>
    <row r="198" spans="1:56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</row>
    <row r="199" spans="1:56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</row>
    <row r="200" spans="1:56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</row>
    <row r="201" spans="1:56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</row>
    <row r="202" spans="1:56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</row>
    <row r="203" spans="1:56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</row>
    <row r="204" spans="1:56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</row>
    <row r="205" spans="1:56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</row>
    <row r="206" spans="1:5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</row>
    <row r="207" spans="1:56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</row>
    <row r="208" spans="1:56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</row>
    <row r="209" spans="1:56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</row>
    <row r="210" spans="1:56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</row>
    <row r="211" spans="1:56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</row>
    <row r="212" spans="1:56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</row>
    <row r="213" spans="1:56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</row>
    <row r="214" spans="1:56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</row>
    <row r="215" spans="1:56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</row>
    <row r="216" spans="1:5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</row>
    <row r="217" spans="1:56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</row>
    <row r="218" spans="1:56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</row>
    <row r="219" spans="1:56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</row>
    <row r="220" spans="1:56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</row>
    <row r="221" spans="1:56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</row>
    <row r="222" spans="1:56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</row>
    <row r="223" spans="1:56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</row>
    <row r="224" spans="1:56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</row>
    <row r="225" spans="1:56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</row>
    <row r="226" spans="1:5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</row>
    <row r="227" spans="1:56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</row>
    <row r="228" spans="1:56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</row>
    <row r="229" spans="1:56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</row>
    <row r="230" spans="1:56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</row>
    <row r="231" spans="1:56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</row>
    <row r="232" spans="1:56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</row>
    <row r="233" spans="1:56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</row>
    <row r="234" spans="1:56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</row>
    <row r="235" spans="1:56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</row>
    <row r="236" spans="1:5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</row>
    <row r="237" spans="1:5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</row>
    <row r="238" spans="1:5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</row>
    <row r="239" spans="1:5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</row>
    <row r="240" spans="1:5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</row>
    <row r="241" spans="1:5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</row>
    <row r="242" spans="1:5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</row>
    <row r="243" spans="1:5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</row>
    <row r="244" spans="1:5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</row>
    <row r="245" spans="1:5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</row>
    <row r="246" spans="1:5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</row>
    <row r="247" spans="1:5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</row>
    <row r="248" spans="1:5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</row>
    <row r="249" spans="1:5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</row>
    <row r="250" spans="1:5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</row>
    <row r="251" spans="1:5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</row>
    <row r="252" spans="1:5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</row>
    <row r="253" spans="1:56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</row>
    <row r="254" spans="1:56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</row>
    <row r="255" spans="1:56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</row>
    <row r="256" spans="1: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</row>
    <row r="257" spans="1:56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</row>
    <row r="258" spans="1:56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</row>
    <row r="259" spans="1:56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</row>
    <row r="260" spans="1:56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</row>
    <row r="261" spans="1:56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</row>
    <row r="262" spans="1:56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</row>
    <row r="263" spans="1:56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</row>
    <row r="264" spans="1:56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</row>
    <row r="265" spans="1:56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</row>
    <row r="266" spans="1:5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</row>
    <row r="267" spans="1:56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</row>
    <row r="268" spans="1:56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</row>
    <row r="269" spans="1:56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</row>
    <row r="270" spans="1:56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</row>
    <row r="271" spans="1:56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</row>
    <row r="272" spans="1:56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</row>
    <row r="273" spans="1:56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</row>
    <row r="274" spans="1:56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</row>
    <row r="275" spans="1:56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</row>
    <row r="276" spans="1:5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</row>
    <row r="277" spans="1:56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</row>
    <row r="278" spans="1:56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</row>
    <row r="279" spans="1:56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</row>
    <row r="280" spans="1:56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</row>
    <row r="281" spans="1:56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</row>
    <row r="282" spans="1:56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</row>
    <row r="283" spans="1:56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</row>
    <row r="284" spans="1:56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</row>
    <row r="285" spans="1:56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</row>
    <row r="286" spans="1:5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</row>
    <row r="287" spans="1:56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</row>
    <row r="288" spans="1:56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</row>
    <row r="289" spans="1:56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</row>
    <row r="290" spans="1:56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</row>
    <row r="291" spans="1:56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</row>
    <row r="292" spans="1:56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</row>
    <row r="293" spans="1:56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</row>
    <row r="294" spans="1:56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</row>
    <row r="295" spans="1:56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</row>
    <row r="296" spans="1:5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</row>
    <row r="297" spans="1:56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</row>
    <row r="298" spans="1:56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</row>
    <row r="299" spans="1:56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</row>
    <row r="300" spans="1:56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</row>
    <row r="301" spans="1:56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</row>
    <row r="302" spans="1:56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</row>
    <row r="303" spans="1:56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</row>
    <row r="304" spans="1:56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</row>
    <row r="305" spans="1:56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</row>
    <row r="306" spans="1:5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</row>
    <row r="307" spans="1:56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</row>
    <row r="308" spans="1:56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</row>
    <row r="309" spans="1:56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</row>
    <row r="310" spans="1:56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</row>
    <row r="311" spans="1:56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</row>
    <row r="312" spans="1:56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</row>
    <row r="313" spans="1:56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</row>
    <row r="314" spans="1:56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</row>
    <row r="315" spans="1:56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</row>
    <row r="316" spans="1:5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</row>
    <row r="317" spans="1:56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</row>
    <row r="318" spans="1:56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</row>
    <row r="319" spans="1:56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</row>
    <row r="320" spans="1:56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</row>
    <row r="321" spans="1:56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</row>
    <row r="322" spans="1:56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</row>
    <row r="323" spans="1:56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</row>
    <row r="324" spans="1:56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</row>
    <row r="325" spans="1:56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</row>
    <row r="326" spans="1:5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</row>
    <row r="327" spans="1:56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</row>
    <row r="328" spans="1:56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</row>
    <row r="329" spans="1:56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</row>
    <row r="330" spans="1:56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</row>
    <row r="331" spans="1:56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</row>
    <row r="332" spans="1:56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</row>
    <row r="333" spans="1:56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</row>
    <row r="334" spans="1:56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</row>
    <row r="335" spans="1:56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</row>
    <row r="336" spans="1:5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</row>
    <row r="337" spans="1:56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</row>
    <row r="338" spans="1:56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</row>
    <row r="339" spans="1:56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</row>
    <row r="340" spans="1:56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</row>
    <row r="341" spans="1:56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</row>
    <row r="342" spans="1:56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</row>
    <row r="343" spans="1:56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</row>
    <row r="344" spans="1:56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</row>
    <row r="345" spans="1:56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</row>
    <row r="346" spans="1:5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</row>
    <row r="347" spans="1:56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</row>
    <row r="348" spans="1:56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</row>
    <row r="349" spans="1:56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</row>
    <row r="350" spans="1:56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</row>
    <row r="351" spans="1:56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</row>
    <row r="352" spans="1:56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</row>
    <row r="353" spans="1:56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</row>
    <row r="354" spans="1:56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</row>
    <row r="355" spans="1:56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</row>
    <row r="356" spans="1: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</row>
    <row r="357" spans="1:56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</row>
    <row r="358" spans="1:56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</row>
    <row r="359" spans="1:56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</row>
    <row r="360" spans="1:56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</row>
    <row r="361" spans="1:56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</row>
    <row r="362" spans="1:56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</row>
    <row r="363" spans="1:56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</row>
    <row r="364" spans="1:56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</row>
    <row r="365" spans="1:56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</row>
    <row r="366" spans="1:5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</row>
    <row r="367" spans="1:56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</row>
    <row r="368" spans="1:56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</row>
    <row r="369" spans="1:56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</row>
    <row r="370" spans="1:56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</row>
    <row r="371" spans="1:56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</row>
    <row r="372" spans="1:56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</row>
    <row r="373" spans="1:56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</row>
    <row r="374" spans="1:56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</row>
    <row r="375" spans="1:56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</row>
    <row r="376" spans="1:5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</row>
    <row r="377" spans="1:56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</row>
    <row r="378" spans="1:56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</row>
    <row r="379" spans="1:56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</row>
    <row r="380" spans="1:56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</row>
    <row r="381" spans="1:56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</row>
    <row r="382" spans="1:56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</row>
    <row r="383" spans="1:56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</row>
    <row r="384" spans="1:56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</row>
    <row r="385" spans="1:56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</row>
    <row r="386" spans="1:5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</row>
    <row r="387" spans="1:56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</row>
    <row r="388" spans="1:56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</row>
    <row r="389" spans="1:56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</row>
    <row r="390" spans="1:56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</row>
    <row r="391" spans="1:56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</row>
    <row r="392" spans="1:56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</row>
    <row r="393" spans="1:56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</row>
    <row r="394" spans="1:56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</row>
    <row r="395" spans="1:56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</row>
    <row r="396" spans="1:5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</row>
    <row r="397" spans="1:56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</row>
    <row r="398" spans="1:56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</row>
    <row r="399" spans="1:56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</row>
    <row r="400" spans="1:56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</row>
    <row r="401" spans="1:56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</row>
    <row r="402" spans="1:56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</row>
    <row r="403" spans="1:56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</row>
    <row r="404" spans="1:56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</row>
    <row r="405" spans="1:56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</row>
    <row r="406" spans="1:5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</row>
    <row r="407" spans="1:56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</row>
    <row r="408" spans="1:56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</row>
    <row r="409" spans="1:56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</row>
    <row r="410" spans="1:56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</row>
    <row r="411" spans="1:56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</row>
    <row r="412" spans="1:56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</row>
    <row r="413" spans="1:56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</row>
    <row r="414" spans="1:56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</row>
    <row r="415" spans="1:56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</row>
    <row r="416" spans="1:5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</row>
    <row r="417" spans="1:56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</row>
    <row r="418" spans="1:56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</row>
    <row r="419" spans="1:56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</row>
    <row r="420" spans="1:56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</row>
    <row r="421" spans="1:56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</row>
    <row r="422" spans="1:56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</row>
    <row r="423" spans="1:56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</row>
    <row r="424" spans="1:56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</row>
    <row r="425" spans="1:56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</row>
    <row r="426" spans="1:5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</row>
    <row r="427" spans="1:56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</row>
    <row r="428" spans="1:56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</row>
    <row r="429" spans="1:56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</row>
    <row r="430" spans="1:56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</row>
    <row r="431" spans="1:56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</row>
    <row r="432" spans="1:56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</row>
    <row r="433" spans="1:56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</row>
    <row r="434" spans="1:56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</row>
    <row r="435" spans="1:56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</row>
    <row r="436" spans="1:5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</row>
    <row r="437" spans="1:56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</row>
    <row r="438" spans="1:56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</row>
    <row r="439" spans="1:56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</row>
    <row r="440" spans="1:56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</row>
    <row r="441" spans="1:56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</row>
    <row r="442" spans="1:56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</row>
    <row r="443" spans="1:56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</row>
    <row r="444" spans="1:56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</row>
    <row r="445" spans="1:56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</row>
    <row r="446" spans="1:5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</row>
    <row r="447" spans="1:56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</row>
    <row r="448" spans="1:56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</row>
    <row r="449" spans="1:56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</row>
    <row r="450" spans="1:56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</row>
    <row r="451" spans="1:56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</row>
    <row r="452" spans="1:56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</row>
    <row r="453" spans="1:56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</row>
    <row r="454" spans="1:56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</row>
    <row r="455" spans="1:56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</row>
    <row r="456" spans="1: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</row>
    <row r="457" spans="1:56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</row>
    <row r="458" spans="1:56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</row>
    <row r="459" spans="1:56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</row>
    <row r="460" spans="1:56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</row>
    <row r="461" spans="1:56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</row>
    <row r="462" spans="1:56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</row>
    <row r="463" spans="1:56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</row>
    <row r="464" spans="1:56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</row>
    <row r="465" spans="1:56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</row>
    <row r="466" spans="1:5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</row>
    <row r="467" spans="1:56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</row>
    <row r="468" spans="1:56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</row>
    <row r="469" spans="1:56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</row>
    <row r="470" spans="1:56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</row>
    <row r="471" spans="1:56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</row>
    <row r="472" spans="1:56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</row>
    <row r="473" spans="1:56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</row>
    <row r="474" spans="1:56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</row>
    <row r="475" spans="1:56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</row>
    <row r="476" spans="1:5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</row>
    <row r="477" spans="1:56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</row>
    <row r="478" spans="1:56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</row>
    <row r="479" spans="1:56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</row>
    <row r="480" spans="1:56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</row>
    <row r="481" spans="1:56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</row>
    <row r="482" spans="1:56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</row>
    <row r="483" spans="1:56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</row>
    <row r="484" spans="1:56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</row>
    <row r="485" spans="1:56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</row>
    <row r="486" spans="1:5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</row>
    <row r="487" spans="1:56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</row>
    <row r="488" spans="1:56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</row>
    <row r="489" spans="1:56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</row>
    <row r="490" spans="1:56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</row>
    <row r="491" spans="1:56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</row>
    <row r="492" spans="1:56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</row>
    <row r="493" spans="1:56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</row>
    <row r="494" spans="1:56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</row>
    <row r="495" spans="1:56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</row>
    <row r="496" spans="1:5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</row>
    <row r="497" spans="1:56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</row>
    <row r="498" spans="1:56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</row>
    <row r="499" spans="1:56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</row>
    <row r="500" spans="1:56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</row>
    <row r="501" spans="1:56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</row>
    <row r="502" spans="1:56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</row>
    <row r="503" spans="1:56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</row>
    <row r="504" spans="1:56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</row>
    <row r="505" spans="1:56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</row>
    <row r="506" spans="1:5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</row>
    <row r="507" spans="1:56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</row>
    <row r="508" spans="1:56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</row>
    <row r="509" spans="1:56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</row>
    <row r="510" spans="1:56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</row>
    <row r="511" spans="1:56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</row>
    <row r="512" spans="1:56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</row>
    <row r="513" spans="1:56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</row>
    <row r="514" spans="1:56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</row>
    <row r="515" spans="1:56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</row>
    <row r="516" spans="1:5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</row>
    <row r="517" spans="1:56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</row>
    <row r="518" spans="1:56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</row>
    <row r="519" spans="1:56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</row>
    <row r="520" spans="1:56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</row>
    <row r="521" spans="1:56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</row>
    <row r="522" spans="1:56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</row>
    <row r="523" spans="1:56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</row>
    <row r="524" spans="1:56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</row>
    <row r="525" spans="1:56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</row>
    <row r="526" spans="1:5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</row>
    <row r="527" spans="1:56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</row>
    <row r="528" spans="1:56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</row>
    <row r="529" spans="1:56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</row>
    <row r="530" spans="1:56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</row>
    <row r="531" spans="1:56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</row>
    <row r="532" spans="1:56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</row>
    <row r="533" spans="1:56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</row>
    <row r="534" spans="1:56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</row>
    <row r="535" spans="1:56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</row>
    <row r="536" spans="1:5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</row>
    <row r="537" spans="1:56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</row>
    <row r="538" spans="1:56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</row>
    <row r="539" spans="1:56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</row>
    <row r="540" spans="1:56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</row>
    <row r="541" spans="1:56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</row>
    <row r="542" spans="1:56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</row>
    <row r="543" spans="1:56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</row>
    <row r="544" spans="1:56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</row>
    <row r="545" spans="1:56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</row>
    <row r="546" spans="1:5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</row>
    <row r="547" spans="1:56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</row>
    <row r="548" spans="1:56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</row>
    <row r="549" spans="1:56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</row>
    <row r="550" spans="1:56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</row>
    <row r="551" spans="1:56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</row>
    <row r="552" spans="1:56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</row>
    <row r="553" spans="1:56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</row>
    <row r="554" spans="1:56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</row>
    <row r="555" spans="1:56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</row>
    <row r="556" spans="1: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</row>
    <row r="557" spans="1:56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</row>
    <row r="558" spans="1:56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</row>
    <row r="559" spans="1:56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</row>
    <row r="560" spans="1:56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</row>
    <row r="561" spans="1:56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</row>
    <row r="562" spans="1:56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</row>
    <row r="563" spans="1:56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</row>
    <row r="564" spans="1:56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</row>
    <row r="565" spans="1:56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</row>
    <row r="566" spans="1:5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</row>
    <row r="567" spans="1:56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</row>
    <row r="568" spans="1:56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</row>
    <row r="569" spans="1:56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</row>
    <row r="570" spans="1:56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</row>
    <row r="571" spans="1:56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</row>
    <row r="572" spans="1:56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</row>
    <row r="573" spans="1:56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</row>
    <row r="574" spans="1:56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</row>
    <row r="575" spans="1:56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</row>
    <row r="576" spans="1:5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</row>
    <row r="577" spans="1:56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</row>
    <row r="578" spans="1:56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</row>
    <row r="579" spans="1:56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</row>
    <row r="580" spans="1:56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</row>
    <row r="581" spans="1:56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</row>
    <row r="582" spans="1:56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</row>
    <row r="583" spans="1:56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</row>
    <row r="584" spans="1:56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</row>
    <row r="585" spans="1:56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</row>
    <row r="586" spans="1:5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</row>
    <row r="587" spans="1:56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</row>
    <row r="588" spans="1:56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</row>
    <row r="589" spans="1:56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</row>
    <row r="590" spans="1:56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</row>
    <row r="591" spans="1:56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</row>
    <row r="592" spans="1:56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</row>
    <row r="593" spans="1:56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</row>
    <row r="594" spans="1:56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</row>
    <row r="595" spans="1:56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</row>
    <row r="596" spans="1:5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</row>
    <row r="597" spans="1:56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</row>
    <row r="598" spans="1:56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</row>
    <row r="599" spans="1:56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</row>
    <row r="600" spans="1:56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</row>
    <row r="601" spans="1:56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</row>
    <row r="602" spans="1:56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</row>
    <row r="603" spans="1:56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</row>
    <row r="604" spans="1:56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</row>
    <row r="605" spans="1:56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</row>
    <row r="606" spans="1:5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</row>
    <row r="607" spans="1:56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</row>
    <row r="608" spans="1:56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</row>
    <row r="609" spans="1:56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</row>
    <row r="610" spans="1:56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</row>
    <row r="611" spans="1:56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</row>
    <row r="612" spans="1:56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</row>
    <row r="613" spans="1:56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</row>
    <row r="614" spans="1:56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</row>
    <row r="615" spans="1:56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</row>
    <row r="616" spans="1:5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</row>
    <row r="617" spans="1:56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</row>
    <row r="618" spans="1:56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</row>
    <row r="619" spans="1:56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</row>
    <row r="620" spans="1:56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</row>
    <row r="621" spans="1:56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</row>
    <row r="622" spans="1:56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</row>
    <row r="623" spans="1:56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</row>
    <row r="624" spans="1:56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</row>
    <row r="625" spans="1:56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</row>
    <row r="626" spans="1:5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</row>
    <row r="627" spans="1:56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</row>
    <row r="628" spans="1:56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</row>
    <row r="629" spans="1:56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</row>
    <row r="630" spans="1:56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</row>
    <row r="631" spans="1:56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</row>
    <row r="632" spans="1:56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</row>
    <row r="633" spans="1:56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</row>
    <row r="634" spans="1:56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</row>
    <row r="635" spans="1:56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</row>
    <row r="636" spans="1:5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</row>
    <row r="637" spans="1:56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</row>
    <row r="638" spans="1:56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</row>
    <row r="639" spans="1:56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</row>
    <row r="640" spans="1:56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</row>
    <row r="641" spans="1:56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</row>
    <row r="642" spans="1:56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</row>
    <row r="643" spans="1:56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</row>
    <row r="644" spans="1:56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</row>
    <row r="645" spans="1:56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</row>
    <row r="646" spans="1:5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</row>
    <row r="647" spans="1:56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</row>
    <row r="648" spans="1:56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</row>
    <row r="649" spans="1:56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</row>
    <row r="650" spans="1:56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</row>
    <row r="651" spans="1:56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</row>
    <row r="652" spans="1:56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</row>
    <row r="653" spans="1:56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</row>
    <row r="654" spans="1:56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</row>
    <row r="655" spans="1:56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</row>
    <row r="656" spans="1: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</row>
    <row r="657" spans="1:56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</row>
    <row r="658" spans="1:56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</row>
    <row r="659" spans="1:56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</row>
    <row r="660" spans="1:56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</row>
    <row r="661" spans="1:56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</row>
    <row r="662" spans="1:56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</row>
    <row r="663" spans="1:56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</row>
    <row r="664" spans="1:56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</row>
    <row r="665" spans="1:56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</row>
    <row r="666" spans="1:5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</row>
    <row r="667" spans="1:56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</row>
    <row r="668" spans="1:56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</row>
    <row r="669" spans="1:56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</row>
    <row r="670" spans="1:56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</row>
    <row r="671" spans="1:56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</row>
    <row r="672" spans="1:56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</row>
    <row r="673" spans="1:56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</row>
    <row r="674" spans="1:56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</row>
    <row r="675" spans="1:56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</row>
    <row r="676" spans="1:5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</row>
    <row r="677" spans="1:56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</row>
    <row r="678" spans="1:56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</row>
    <row r="679" spans="1:56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</row>
    <row r="680" spans="1:56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</row>
    <row r="681" spans="1:56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</row>
    <row r="682" spans="1:56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</row>
    <row r="683" spans="1:56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</row>
    <row r="684" spans="1:56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</row>
    <row r="685" spans="1:56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</row>
    <row r="686" spans="1:5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</row>
    <row r="687" spans="1:56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</row>
    <row r="688" spans="1:56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</row>
    <row r="689" spans="1:56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</row>
    <row r="690" spans="1:56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</row>
    <row r="691" spans="1:56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</row>
    <row r="692" spans="1:56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</row>
    <row r="693" spans="1:56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</row>
    <row r="694" spans="1:56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</row>
    <row r="695" spans="1:56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</row>
    <row r="696" spans="1:5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</row>
    <row r="697" spans="1:56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</row>
    <row r="698" spans="1:56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</row>
    <row r="699" spans="1:56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</row>
    <row r="700" spans="1:56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</row>
    <row r="701" spans="1:56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</row>
    <row r="702" spans="1:56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</row>
    <row r="703" spans="1:56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</row>
    <row r="704" spans="1:56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</row>
    <row r="705" spans="1:56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</row>
    <row r="706" spans="1:5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</row>
    <row r="707" spans="1:56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</row>
    <row r="708" spans="1:56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</row>
    <row r="709" spans="1:56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</row>
    <row r="710" spans="1:56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</row>
    <row r="711" spans="1:56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</row>
    <row r="712" spans="1:56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</row>
    <row r="713" spans="1:56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</row>
    <row r="714" spans="1:56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</row>
    <row r="715" spans="1:56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</row>
    <row r="716" spans="1:5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</row>
    <row r="717" spans="1:56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</row>
    <row r="718" spans="1:56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</row>
    <row r="719" spans="1:56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</row>
    <row r="720" spans="1:56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</row>
    <row r="721" spans="1:56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</row>
    <row r="722" spans="1:56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</row>
    <row r="723" spans="1:56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</row>
    <row r="724" spans="1:56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</row>
    <row r="725" spans="1:56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</row>
    <row r="726" spans="1:5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</row>
    <row r="727" spans="1:56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</row>
    <row r="728" spans="1:56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</row>
    <row r="729" spans="1:56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</row>
    <row r="730" spans="1:56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</row>
    <row r="731" spans="1:56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</row>
    <row r="732" spans="1:56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</row>
    <row r="733" spans="1:56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</row>
    <row r="734" spans="1:56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</row>
    <row r="735" spans="1:56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</row>
    <row r="736" spans="1:5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</row>
    <row r="737" spans="1:56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</row>
    <row r="738" spans="1:56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</row>
    <row r="739" spans="1:56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</row>
    <row r="740" spans="1:56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</row>
    <row r="741" spans="1:56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</row>
    <row r="742" spans="1:56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</row>
    <row r="743" spans="1:56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</row>
    <row r="744" spans="1:56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</row>
    <row r="745" spans="1:56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</row>
    <row r="746" spans="1:5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</row>
    <row r="747" spans="1:56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</row>
    <row r="748" spans="1:56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</row>
    <row r="749" spans="1:56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</row>
    <row r="750" spans="1:56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</row>
    <row r="751" spans="1:56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</row>
    <row r="752" spans="1:56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</row>
    <row r="753" spans="1:56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</row>
    <row r="754" spans="1:56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</row>
    <row r="755" spans="1:56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</row>
    <row r="756" spans="1: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</row>
    <row r="757" spans="1:56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</row>
    <row r="758" spans="1:56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</row>
    <row r="759" spans="1:56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</row>
    <row r="760" spans="1:56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</row>
    <row r="761" spans="1:56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</row>
    <row r="762" spans="1:56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</row>
    <row r="763" spans="1:56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</row>
    <row r="764" spans="1:56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</row>
    <row r="765" spans="1:56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</row>
    <row r="766" spans="1:5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</row>
    <row r="767" spans="1:56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</row>
    <row r="768" spans="1:56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</row>
    <row r="769" spans="1:56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</row>
    <row r="770" spans="1:56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</row>
    <row r="771" spans="1:56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</row>
    <row r="772" spans="1:56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</row>
    <row r="773" spans="1:56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</row>
    <row r="774" spans="1:56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</row>
    <row r="775" spans="1:56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</row>
    <row r="776" spans="1:5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</row>
    <row r="777" spans="1:56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</row>
    <row r="778" spans="1:56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</row>
    <row r="779" spans="1:56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</row>
    <row r="780" spans="1:56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</row>
    <row r="781" spans="1:56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</row>
    <row r="782" spans="1:56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</row>
    <row r="783" spans="1:56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</row>
    <row r="784" spans="1:56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</row>
    <row r="785" spans="1:56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</row>
    <row r="786" spans="1:5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</row>
    <row r="787" spans="1:56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</row>
    <row r="788" spans="1:56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</row>
    <row r="789" spans="1:56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</row>
    <row r="790" spans="1:56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</row>
    <row r="791" spans="1:56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</row>
    <row r="792" spans="1:56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</row>
    <row r="793" spans="1:56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</row>
    <row r="794" spans="1:56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</row>
    <row r="795" spans="1:56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</row>
    <row r="796" spans="1:5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</row>
    <row r="797" spans="1:56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</row>
    <row r="798" spans="1:56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</row>
    <row r="799" spans="1:56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</row>
    <row r="800" spans="1:56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</row>
    <row r="801" spans="1:56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</row>
    <row r="802" spans="1:56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</row>
    <row r="803" spans="1:56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</row>
    <row r="804" spans="1:56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</row>
    <row r="805" spans="1:56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</row>
    <row r="806" spans="1:5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</row>
    <row r="807" spans="1:56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</row>
    <row r="808" spans="1:56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</row>
    <row r="809" spans="1:56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</row>
    <row r="810" spans="1:56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</row>
    <row r="811" spans="1:56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</row>
    <row r="812" spans="1:56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</row>
    <row r="813" spans="1:56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</row>
    <row r="814" spans="1:56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</row>
    <row r="815" spans="1:56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</row>
    <row r="816" spans="1:5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</row>
    <row r="817" spans="1:56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</row>
    <row r="818" spans="1:56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</row>
    <row r="819" spans="1:56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</row>
    <row r="820" spans="1:56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</row>
    <row r="821" spans="1:56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</row>
    <row r="822" spans="1:56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</row>
    <row r="823" spans="1:56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</row>
    <row r="824" spans="1:56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</row>
    <row r="825" spans="1:56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</row>
    <row r="826" spans="1:5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</row>
    <row r="827" spans="1:56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</row>
    <row r="828" spans="1:56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</row>
    <row r="829" spans="1:56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</row>
    <row r="830" spans="1:56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</row>
    <row r="831" spans="1:56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</row>
    <row r="832" spans="1:56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</row>
    <row r="833" spans="1:56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</row>
    <row r="834" spans="1:56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</row>
    <row r="835" spans="1:56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</row>
    <row r="836" spans="1:5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</row>
    <row r="837" spans="1:56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</row>
    <row r="838" spans="1:56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</row>
    <row r="839" spans="1:56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</row>
    <row r="840" spans="1:56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</row>
    <row r="841" spans="1:56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</row>
    <row r="842" spans="1:56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</row>
    <row r="843" spans="1:56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</row>
    <row r="844" spans="1:56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</row>
    <row r="845" spans="1:56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</row>
    <row r="846" spans="1:5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</row>
    <row r="847" spans="1:56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</row>
    <row r="848" spans="1:56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</row>
    <row r="849" spans="1:56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</row>
    <row r="850" spans="1:56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</row>
    <row r="851" spans="1:56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</row>
    <row r="852" spans="1:56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</row>
    <row r="853" spans="1:56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</row>
    <row r="854" spans="1:56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</row>
    <row r="855" spans="1:56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</row>
    <row r="856" spans="1: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</row>
    <row r="857" spans="1:56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</row>
    <row r="858" spans="1:56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</row>
    <row r="859" spans="1:56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</row>
    <row r="860" spans="1:56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</row>
    <row r="861" spans="1:56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</row>
    <row r="862" spans="1:56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</row>
    <row r="863" spans="1:56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</row>
    <row r="864" spans="1:56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</row>
    <row r="865" spans="1:56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</row>
    <row r="866" spans="1:5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</row>
    <row r="867" spans="1:56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</row>
    <row r="868" spans="1:56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</row>
    <row r="869" spans="1:56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</row>
    <row r="870" spans="1:56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</row>
    <row r="871" spans="1:56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</row>
    <row r="872" spans="1:56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</row>
    <row r="873" spans="1:56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</row>
    <row r="874" spans="1:56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</row>
    <row r="875" spans="1:56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</row>
    <row r="876" spans="1:5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</row>
    <row r="877" spans="1:56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</row>
    <row r="878" spans="1:56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</row>
    <row r="879" spans="1:56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</row>
    <row r="880" spans="1:56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</row>
    <row r="881" spans="1:56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</row>
    <row r="882" spans="1:56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</row>
    <row r="883" spans="1:56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</row>
    <row r="884" spans="1:56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</row>
    <row r="885" spans="1:56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</row>
    <row r="886" spans="1:5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</row>
    <row r="887" spans="1:56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</row>
    <row r="888" spans="1:56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</row>
    <row r="889" spans="1:56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</row>
    <row r="890" spans="1:56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</row>
    <row r="891" spans="1:56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</row>
    <row r="892" spans="1:56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</row>
    <row r="893" spans="1:56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</row>
    <row r="894" spans="1:56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</row>
    <row r="895" spans="1:56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</row>
    <row r="896" spans="1:5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</row>
    <row r="897" spans="1:56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</row>
    <row r="898" spans="1:56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</row>
    <row r="899" spans="1:56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</row>
    <row r="900" spans="1:56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</row>
    <row r="901" spans="1:56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</row>
    <row r="902" spans="1:56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</row>
    <row r="903" spans="1:56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</row>
    <row r="904" spans="1:56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</row>
    <row r="905" spans="1:56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</row>
    <row r="906" spans="1:5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</row>
    <row r="907" spans="1:56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</row>
    <row r="908" spans="1:56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</row>
    <row r="909" spans="1:56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</row>
    <row r="910" spans="1:56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</row>
    <row r="911" spans="1:56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</row>
    <row r="912" spans="1:56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</row>
    <row r="913" spans="1:56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</row>
    <row r="914" spans="1:56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</row>
    <row r="915" spans="1:56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</row>
    <row r="916" spans="1:5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</row>
    <row r="917" spans="1:56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</row>
    <row r="918" spans="1:56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</row>
    <row r="919" spans="1:56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</row>
    <row r="920" spans="1:56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</row>
    <row r="921" spans="1:56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</row>
    <row r="922" spans="1:56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</row>
    <row r="923" spans="1:56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</row>
    <row r="924" spans="1:56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</row>
    <row r="925" spans="1:56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</row>
    <row r="926" spans="1:5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</row>
    <row r="927" spans="1:56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</row>
    <row r="928" spans="1:56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</row>
    <row r="929" spans="1:56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</row>
    <row r="930" spans="1:56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</row>
    <row r="931" spans="1:56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</row>
    <row r="932" spans="1:56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</row>
    <row r="933" spans="1:56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</row>
    <row r="934" spans="1:56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</row>
    <row r="935" spans="1:56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</row>
    <row r="936" spans="1:5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</row>
    <row r="937" spans="1:56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</row>
    <row r="938" spans="1:56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</row>
    <row r="939" spans="1:56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</row>
    <row r="940" spans="1:56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</row>
    <row r="941" spans="1:56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</row>
    <row r="942" spans="1:56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</row>
    <row r="943" spans="1:56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</row>
    <row r="944" spans="1:56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</row>
    <row r="945" spans="1:56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</row>
    <row r="946" spans="1:5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</row>
    <row r="947" spans="1:56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</row>
    <row r="948" spans="1:56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</row>
    <row r="949" spans="1:56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</row>
    <row r="950" spans="1:56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</row>
    <row r="951" spans="1:56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</row>
    <row r="952" spans="1:56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</row>
    <row r="953" spans="1:56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</row>
    <row r="954" spans="1:56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</row>
    <row r="955" spans="1:56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</row>
    <row r="956" spans="1: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</row>
    <row r="957" spans="1:56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</row>
    <row r="958" spans="1:56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</row>
    <row r="959" spans="1:56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</row>
    <row r="960" spans="1:56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</row>
    <row r="961" spans="1:56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</row>
    <row r="962" spans="1:56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</row>
    <row r="963" spans="1:56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</row>
    <row r="964" spans="1:56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</row>
    <row r="965" spans="1:56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</row>
    <row r="966" spans="1:5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</row>
    <row r="967" spans="1:56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</row>
    <row r="968" spans="1:56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</row>
    <row r="969" spans="1:56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</row>
    <row r="970" spans="1:56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</row>
    <row r="971" spans="1:56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</row>
    <row r="972" spans="1:56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</row>
    <row r="973" spans="1:56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</row>
    <row r="974" spans="1:56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</row>
    <row r="975" spans="1:56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</row>
    <row r="976" spans="1:5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</row>
    <row r="977" spans="1:56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</row>
    <row r="978" spans="1:56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</row>
    <row r="979" spans="1:56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</row>
    <row r="980" spans="1:56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</row>
    <row r="981" spans="1:56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</row>
    <row r="982" spans="1:56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</row>
    <row r="983" spans="1:56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</row>
    <row r="984" spans="1:56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</row>
    <row r="985" spans="1:56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</row>
    <row r="986" spans="1:5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</row>
    <row r="987" spans="1:56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</row>
    <row r="988" spans="1:56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</row>
    <row r="989" spans="1:56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</row>
    <row r="990" spans="1:56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</row>
    <row r="991" spans="1:56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</row>
    <row r="992" spans="1:56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</row>
    <row r="993" spans="1:56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</row>
    <row r="994" spans="1:56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</row>
    <row r="995" spans="1:56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</row>
    <row r="996" spans="1:5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</row>
    <row r="997" spans="1:56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</row>
    <row r="998" spans="1:56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</row>
    <row r="999" spans="1:56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</row>
    <row r="1000" spans="1:56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</row>
    <row r="1001" spans="1:56" ht="15.7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1000"/>
  <sheetViews>
    <sheetView workbookViewId="0"/>
  </sheetViews>
  <sheetFormatPr baseColWidth="10" defaultColWidth="11.1640625" defaultRowHeight="15" customHeight="1"/>
  <cols>
    <col min="1" max="1" width="11" customWidth="1"/>
    <col min="2" max="2" width="23.6640625" customWidth="1"/>
    <col min="3" max="26" width="11" customWidth="1"/>
  </cols>
  <sheetData>
    <row r="1" spans="1:10" ht="15.75" customHeight="1"/>
    <row r="2" spans="1:10" ht="15.75" customHeight="1"/>
    <row r="3" spans="1:10" ht="15.75" customHeight="1"/>
    <row r="4" spans="1:10" ht="15.75" customHeight="1">
      <c r="A4" s="228"/>
      <c r="C4" s="228"/>
      <c r="D4" s="228"/>
      <c r="E4" s="228"/>
      <c r="F4" s="228"/>
      <c r="G4" s="228"/>
      <c r="H4" s="228"/>
      <c r="I4" s="228"/>
      <c r="J4" s="228"/>
    </row>
    <row r="5" spans="1:10" ht="15.75" customHeight="1">
      <c r="B5" s="228"/>
      <c r="C5" s="229"/>
      <c r="D5" s="229"/>
      <c r="E5" s="229"/>
      <c r="F5" s="229"/>
      <c r="G5" s="229"/>
      <c r="H5" s="229"/>
      <c r="I5" s="229"/>
      <c r="J5" s="229"/>
    </row>
    <row r="6" spans="1:10" ht="15.75" customHeight="1">
      <c r="B6" s="228"/>
      <c r="C6" s="230"/>
      <c r="D6" s="230"/>
      <c r="E6" s="230"/>
      <c r="F6" s="230"/>
      <c r="G6" s="230"/>
      <c r="H6" s="230"/>
      <c r="I6" s="230"/>
      <c r="J6" s="230"/>
    </row>
    <row r="7" spans="1:10" ht="15.75" customHeight="1"/>
    <row r="8" spans="1:10" ht="15.75" customHeight="1">
      <c r="B8" s="228"/>
      <c r="C8" s="229"/>
    </row>
    <row r="9" spans="1:10" ht="15.75" customHeight="1">
      <c r="B9" s="228"/>
      <c r="C9" s="228"/>
      <c r="D9" s="228"/>
      <c r="E9" s="228"/>
      <c r="F9" s="228"/>
      <c r="G9" s="228"/>
      <c r="H9" s="228"/>
      <c r="I9" s="228"/>
      <c r="J9" s="228"/>
    </row>
    <row r="10" spans="1:10" ht="15.75" customHeight="1">
      <c r="B10" s="229"/>
      <c r="C10" s="229"/>
      <c r="D10" s="229"/>
      <c r="E10" s="229"/>
      <c r="F10" s="229"/>
      <c r="G10" s="229"/>
      <c r="H10" s="229"/>
      <c r="I10" s="229"/>
      <c r="J10" s="229"/>
    </row>
    <row r="11" spans="1:10" ht="15.75" customHeight="1">
      <c r="B11" s="228"/>
      <c r="C11" s="229"/>
    </row>
    <row r="12" spans="1:10" ht="15.75" customHeight="1">
      <c r="B12" s="228"/>
      <c r="C12" s="229"/>
    </row>
    <row r="13" spans="1:10" ht="15.75" customHeight="1">
      <c r="B13" s="228"/>
      <c r="C13" s="229"/>
    </row>
    <row r="14" spans="1:10" ht="15.75" customHeight="1">
      <c r="B14" s="228"/>
      <c r="C14" s="229"/>
    </row>
    <row r="15" spans="1:10" ht="15.75" customHeight="1">
      <c r="B15" s="228"/>
      <c r="C15" s="229"/>
    </row>
    <row r="16" spans="1:10" ht="15.75" customHeight="1">
      <c r="B16" s="228"/>
      <c r="C16" s="229"/>
    </row>
    <row r="17" spans="2:3" ht="15.75" customHeight="1">
      <c r="B17" s="228"/>
      <c r="C17" s="228"/>
    </row>
    <row r="18" spans="2:3" ht="15.75" customHeight="1">
      <c r="B18" s="228"/>
      <c r="C18" s="229"/>
    </row>
    <row r="19" spans="2:3" ht="15.75" customHeight="1">
      <c r="B19" s="228"/>
      <c r="C19" s="229"/>
    </row>
    <row r="20" spans="2:3" ht="15.75" customHeight="1">
      <c r="B20" s="228"/>
      <c r="C20" s="229"/>
    </row>
    <row r="21" spans="2:3" ht="15.75" customHeight="1">
      <c r="B21" s="228"/>
      <c r="C21" s="228"/>
    </row>
    <row r="22" spans="2:3" ht="15.75" customHeight="1">
      <c r="B22" s="228"/>
      <c r="C22" s="229"/>
    </row>
    <row r="23" spans="2:3" ht="15.75" customHeight="1">
      <c r="B23" s="228"/>
      <c r="C23" s="229"/>
    </row>
    <row r="24" spans="2:3" ht="15.75" customHeight="1">
      <c r="B24" s="228"/>
      <c r="C24" s="229"/>
    </row>
    <row r="25" spans="2:3" ht="15.75" customHeight="1">
      <c r="B25" s="228"/>
      <c r="C25" s="229"/>
    </row>
    <row r="26" spans="2:3" ht="15.75" customHeight="1">
      <c r="B26" s="228"/>
      <c r="C26" s="229"/>
    </row>
    <row r="27" spans="2:3" ht="15.75" customHeight="1">
      <c r="B27" s="228"/>
      <c r="C27" s="229"/>
    </row>
    <row r="28" spans="2:3" ht="15.75" customHeight="1">
      <c r="B28" s="228"/>
      <c r="C28" s="229"/>
    </row>
    <row r="29" spans="2:3" ht="15.75" customHeight="1">
      <c r="B29" s="228"/>
      <c r="C29" s="229"/>
    </row>
    <row r="30" spans="2:3" ht="15.75" customHeight="1">
      <c r="B30" s="228"/>
      <c r="C30" s="229"/>
    </row>
    <row r="31" spans="2:3" ht="15.75" customHeight="1">
      <c r="B31" s="228"/>
      <c r="C31" s="229"/>
    </row>
    <row r="32" spans="2:3" ht="15.75" customHeight="1">
      <c r="B32" s="228"/>
      <c r="C32" s="229"/>
    </row>
    <row r="33" spans="2:3" ht="15.75" customHeight="1">
      <c r="B33" s="228"/>
      <c r="C33" s="228"/>
    </row>
    <row r="34" spans="2:3" ht="15.75" customHeight="1">
      <c r="B34" s="228"/>
      <c r="C34" s="229"/>
    </row>
    <row r="35" spans="2:3" ht="15.75" customHeight="1">
      <c r="B35" s="228"/>
      <c r="C35" s="229"/>
    </row>
    <row r="36" spans="2:3" ht="15.75" customHeight="1">
      <c r="B36" s="228"/>
      <c r="C36" s="229"/>
    </row>
    <row r="37" spans="2:3" ht="15.75" customHeight="1">
      <c r="B37" s="228"/>
      <c r="C37" s="229"/>
    </row>
    <row r="38" spans="2:3" ht="15.75" customHeight="1">
      <c r="B38" s="228"/>
      <c r="C38" s="229"/>
    </row>
    <row r="39" spans="2:3" ht="15.75" customHeight="1">
      <c r="B39" s="228"/>
      <c r="C39" s="228"/>
    </row>
    <row r="40" spans="2:3" ht="15.75" customHeight="1">
      <c r="B40" s="228"/>
      <c r="C40" s="229"/>
    </row>
    <row r="41" spans="2:3" ht="15.75" customHeight="1">
      <c r="B41" s="228"/>
      <c r="C41" s="229"/>
    </row>
    <row r="42" spans="2:3" ht="15.75" customHeight="1">
      <c r="B42" s="228"/>
      <c r="C42" s="229"/>
    </row>
    <row r="43" spans="2:3" ht="15.75" customHeight="1">
      <c r="B43" s="228"/>
      <c r="C43" s="229"/>
    </row>
    <row r="44" spans="2:3" ht="15.75" customHeight="1">
      <c r="B44" s="228"/>
      <c r="C44" s="229"/>
    </row>
    <row r="45" spans="2:3" ht="15.75" customHeight="1">
      <c r="B45" s="228"/>
      <c r="C45" s="229"/>
    </row>
    <row r="46" spans="2:3" ht="15.75" customHeight="1">
      <c r="B46" s="228"/>
      <c r="C46" s="229"/>
    </row>
    <row r="47" spans="2:3" ht="15.75" customHeight="1">
      <c r="B47" s="228"/>
      <c r="C47" s="229"/>
    </row>
    <row r="48" spans="2:3" ht="15.75" customHeight="1">
      <c r="B48" s="228"/>
      <c r="C48" s="229"/>
    </row>
    <row r="49" spans="2:3" ht="15.75" customHeight="1">
      <c r="B49" s="228"/>
      <c r="C49" s="229"/>
    </row>
    <row r="50" spans="2:3" ht="15.75" customHeight="1">
      <c r="B50" s="228"/>
      <c r="C50" s="229"/>
    </row>
    <row r="51" spans="2:3" ht="15.75" customHeight="1">
      <c r="B51" s="228"/>
      <c r="C51" s="229"/>
    </row>
    <row r="52" spans="2:3" ht="15.75" customHeight="1">
      <c r="B52" s="228"/>
      <c r="C52" s="228"/>
    </row>
    <row r="53" spans="2:3" ht="15.75" customHeight="1">
      <c r="B53" s="228"/>
      <c r="C53" s="228"/>
    </row>
    <row r="54" spans="2:3" ht="15.75" customHeight="1">
      <c r="B54" s="228"/>
      <c r="C54" s="228"/>
    </row>
    <row r="55" spans="2:3" ht="15.75" customHeight="1">
      <c r="B55" s="228"/>
      <c r="C55" s="229"/>
    </row>
    <row r="56" spans="2:3" ht="15.75" customHeight="1">
      <c r="B56" s="228"/>
      <c r="C56" s="229"/>
    </row>
    <row r="57" spans="2:3" ht="15.75" customHeight="1">
      <c r="B57" s="228"/>
      <c r="C57" s="229"/>
    </row>
    <row r="58" spans="2:3" ht="15.75" customHeight="1">
      <c r="B58" s="228"/>
      <c r="C58" s="228"/>
    </row>
    <row r="59" spans="2:3" ht="15.75" customHeight="1">
      <c r="B59" s="228"/>
      <c r="C59" s="229"/>
    </row>
    <row r="60" spans="2:3" ht="15.75" customHeight="1"/>
    <row r="61" spans="2:3" ht="15.75" customHeight="1"/>
    <row r="62" spans="2:3" ht="15.75" customHeight="1"/>
    <row r="63" spans="2:3" ht="15.75" customHeight="1"/>
    <row r="64" spans="2: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5</vt:i4>
      </vt:variant>
    </vt:vector>
  </HeadingPairs>
  <TitlesOfParts>
    <vt:vector size="9" baseType="lpstr">
      <vt:lpstr>Outputs</vt:lpstr>
      <vt:lpstr>Raw Data</vt:lpstr>
      <vt:lpstr>Inputs</vt:lpstr>
      <vt:lpstr>&gt;&gt;</vt:lpstr>
      <vt:lpstr>New User Balance</vt:lpstr>
      <vt:lpstr>Daily Free Value</vt:lpstr>
      <vt:lpstr>Default Bet Tuning</vt:lpstr>
      <vt:lpstr>Minimum Bet Tuning</vt:lpstr>
      <vt:lpstr>Currency Conversion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Brett Nowak</cp:lastModifiedBy>
  <dcterms:created xsi:type="dcterms:W3CDTF">2019-04-25T13:20:13Z</dcterms:created>
  <dcterms:modified xsi:type="dcterms:W3CDTF">2019-04-25T13:20:13Z</dcterms:modified>
</cp:coreProperties>
</file>