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mc:AlternateContent xmlns:mc="http://schemas.openxmlformats.org/markup-compatibility/2006">
    <mc:Choice Requires="x15">
      <x15ac:absPath xmlns:x15ac="http://schemas.microsoft.com/office/spreadsheetml/2010/11/ac" url="/Users/coreensavage/Desktop/"/>
    </mc:Choice>
  </mc:AlternateContent>
  <xr:revisionPtr revIDLastSave="0" documentId="8_{93CC5412-FBB5-5543-B108-C468A94713F9}" xr6:coauthVersionLast="46" xr6:coauthVersionMax="46" xr10:uidLastSave="{00000000-0000-0000-0000-000000000000}"/>
  <bookViews>
    <workbookView xWindow="0" yWindow="500" windowWidth="40960" windowHeight="22540" xr2:uid="{00000000-000D-0000-FFFF-FFFF00000000}"/>
  </bookViews>
  <sheets>
    <sheet name="Summary &amp; Analysis" sheetId="1" r:id="rId1"/>
    <sheet name="PUZZLE&gt;&gt;" sheetId="2" r:id="rId2"/>
    <sheet name="Gardenscapes" sheetId="3" r:id="rId3"/>
    <sheet name="Candy Crush Soda" sheetId="4" r:id="rId4"/>
    <sheet name="Fishdom" sheetId="5" r:id="rId5"/>
    <sheet name="Homescapes" sheetId="6" r:id="rId6"/>
    <sheet name="Matchington Mansion" sheetId="7" r:id="rId7"/>
    <sheet name="SIMS&gt;&gt;" sheetId="8" r:id="rId8"/>
    <sheet name="Hay Day" sheetId="9" r:id="rId9"/>
    <sheet name="Township" sheetId="10" r:id="rId10"/>
    <sheet name="CASINO&gt;&gt;" sheetId="11" r:id="rId11"/>
    <sheet name="Bingo Party" sheetId="12" r:id="rId12"/>
    <sheet name="Cash Frenzy" sheetId="13" r:id="rId13"/>
    <sheet name="Huuuge Casino" sheetId="14" r:id="rId14"/>
    <sheet name="Lotsa Slots" sheetId="15" r:id="rId15"/>
    <sheet name="Scatter Slots" sheetId="16" r:id="rId16"/>
    <sheet name="RPG&gt;&gt;" sheetId="17" r:id="rId17"/>
    <sheet name="AFK Arena" sheetId="18" r:id="rId18"/>
    <sheet name="Empires &amp; Puzzles" sheetId="19" r:id="rId19"/>
    <sheet name="RAID Shadow Legends" sheetId="20" r:id="rId20"/>
    <sheet name="Rise of Kingdoms" sheetId="21" r:id="rId21"/>
    <sheet name="Usage Data (cvs)" sheetId="22" r:id="rId22"/>
  </sheets>
  <definedNames>
    <definedName name="_xlnm._FilterDatabase" localSheetId="0" hidden="1">'Summary &amp; Analysis'!$A$10:$H$15</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oundtripDataSignature="AMtx7mjCX0n4Gvnh3s3FN9f/4eIP1yPv0A==" r:id="rId26"/>
    </ext>
  </extLst>
</workbook>
</file>

<file path=xl/calcChain.xml><?xml version="1.0" encoding="utf-8"?>
<calcChain xmlns="http://schemas.openxmlformats.org/spreadsheetml/2006/main">
  <c r="AR117" i="22" l="1"/>
  <c r="AR118" i="22" s="1"/>
  <c r="Q87" i="22"/>
  <c r="Q88" i="22" s="1"/>
  <c r="AR78" i="22"/>
  <c r="AR79" i="22" s="1"/>
  <c r="C4" i="22" s="1"/>
  <c r="CT72" i="22"/>
  <c r="CT73" i="22" s="1"/>
  <c r="BS63" i="22"/>
  <c r="BS64" i="22" s="1"/>
  <c r="Q58" i="22"/>
  <c r="Q59" i="22" s="1"/>
  <c r="CT48" i="22"/>
  <c r="CT49" i="22" s="1"/>
  <c r="BS42" i="22"/>
  <c r="BS43" i="22" s="1"/>
  <c r="C5" i="22" s="1"/>
  <c r="AR39" i="22"/>
  <c r="B4" i="22" s="1"/>
  <c r="Q29" i="22"/>
  <c r="B3" i="22" s="1"/>
  <c r="D3" i="22" s="1"/>
  <c r="E3" i="22" s="1"/>
  <c r="CT24" i="22"/>
  <c r="BS21" i="22"/>
  <c r="C6" i="22"/>
  <c r="B6" i="22"/>
  <c r="D6" i="22" s="1"/>
  <c r="E6" i="22" s="1"/>
  <c r="B5" i="22"/>
  <c r="D5" i="22" s="1"/>
  <c r="E5" i="22" s="1"/>
  <c r="C3" i="22"/>
  <c r="L125" i="21"/>
  <c r="L126" i="21" s="1"/>
  <c r="E84" i="21" s="1"/>
  <c r="F84" i="21" s="1"/>
  <c r="L90" i="21"/>
  <c r="L76" i="21"/>
  <c r="F76" i="21"/>
  <c r="L70" i="21"/>
  <c r="F60" i="21"/>
  <c r="L55" i="21"/>
  <c r="E54" i="21"/>
  <c r="F54" i="21" s="1"/>
  <c r="F46" i="21"/>
  <c r="F34" i="21"/>
  <c r="D21" i="21"/>
  <c r="F21" i="21" s="1"/>
  <c r="L16" i="21"/>
  <c r="F15" i="21"/>
  <c r="D12" i="21"/>
  <c r="L11" i="21"/>
  <c r="I11" i="21"/>
  <c r="L56" i="21" s="1"/>
  <c r="E11" i="21" s="1"/>
  <c r="L6" i="21"/>
  <c r="I6" i="21"/>
  <c r="D4" i="21"/>
  <c r="E84" i="20"/>
  <c r="E74" i="20"/>
  <c r="L56" i="20"/>
  <c r="D93" i="20" s="1"/>
  <c r="L55" i="20"/>
  <c r="D53" i="20"/>
  <c r="L51" i="20"/>
  <c r="D50" i="20"/>
  <c r="E43" i="20"/>
  <c r="D43" i="20"/>
  <c r="F43" i="20" s="1"/>
  <c r="I41" i="20"/>
  <c r="E73" i="20" s="1"/>
  <c r="I36" i="20"/>
  <c r="D103" i="20" s="1"/>
  <c r="L31" i="20"/>
  <c r="D8" i="20" s="1"/>
  <c r="D30" i="20"/>
  <c r="L20" i="20"/>
  <c r="L16" i="20"/>
  <c r="L15" i="20"/>
  <c r="E13" i="20"/>
  <c r="O11" i="20"/>
  <c r="D10" i="20"/>
  <c r="O6" i="20"/>
  <c r="I6" i="20"/>
  <c r="E5" i="20"/>
  <c r="F53" i="19"/>
  <c r="F52" i="19"/>
  <c r="F51" i="19"/>
  <c r="F50" i="19"/>
  <c r="F48" i="19"/>
  <c r="F38" i="19"/>
  <c r="O37" i="19"/>
  <c r="F37" i="19"/>
  <c r="F34" i="19"/>
  <c r="F33" i="19"/>
  <c r="F31" i="19"/>
  <c r="F28" i="19"/>
  <c r="F26" i="19"/>
  <c r="D23" i="19"/>
  <c r="F21" i="19"/>
  <c r="O17" i="19"/>
  <c r="F16" i="19"/>
  <c r="F14" i="19"/>
  <c r="F13" i="19"/>
  <c r="R9" i="19"/>
  <c r="Q9" i="19"/>
  <c r="P9" i="19"/>
  <c r="O9" i="19"/>
  <c r="F8" i="19"/>
  <c r="I6" i="19"/>
  <c r="L46" i="18"/>
  <c r="L21" i="18"/>
  <c r="D6" i="18" s="1"/>
  <c r="I21" i="18"/>
  <c r="I26" i="18" s="1"/>
  <c r="I16" i="18"/>
  <c r="D4" i="18" s="1"/>
  <c r="E14" i="18"/>
  <c r="I11" i="18"/>
  <c r="L26" i="18" s="1"/>
  <c r="O7" i="18"/>
  <c r="I6" i="18"/>
  <c r="O5" i="18"/>
  <c r="O4" i="18"/>
  <c r="F4" i="18"/>
  <c r="E4" i="18"/>
  <c r="O3" i="18"/>
  <c r="F53" i="16"/>
  <c r="F51" i="16"/>
  <c r="D49" i="16"/>
  <c r="F49" i="16" s="1"/>
  <c r="F48" i="16"/>
  <c r="F47" i="16"/>
  <c r="F45" i="16"/>
  <c r="E44" i="16"/>
  <c r="F44" i="16" s="1"/>
  <c r="F43" i="16"/>
  <c r="F42" i="16"/>
  <c r="F40" i="16"/>
  <c r="F37" i="16"/>
  <c r="F36" i="16"/>
  <c r="F34" i="16"/>
  <c r="F31" i="16"/>
  <c r="F30" i="16"/>
  <c r="F28" i="16"/>
  <c r="F25" i="16"/>
  <c r="F23" i="16"/>
  <c r="E19" i="16"/>
  <c r="F19" i="16" s="1"/>
  <c r="F18" i="16"/>
  <c r="F17" i="16"/>
  <c r="I16" i="16"/>
  <c r="F14" i="16"/>
  <c r="F12" i="16"/>
  <c r="I11" i="16"/>
  <c r="F10" i="16"/>
  <c r="D9" i="16"/>
  <c r="F8" i="16"/>
  <c r="F7" i="16"/>
  <c r="I6" i="16"/>
  <c r="E50" i="16" s="1"/>
  <c r="F50" i="16" s="1"/>
  <c r="F5" i="16"/>
  <c r="D4" i="16"/>
  <c r="F104" i="15"/>
  <c r="F103" i="15"/>
  <c r="F102" i="15"/>
  <c r="F101" i="15"/>
  <c r="F100" i="15"/>
  <c r="F99" i="15"/>
  <c r="F98" i="15"/>
  <c r="F97" i="15"/>
  <c r="F96" i="15"/>
  <c r="F95" i="15"/>
  <c r="F94" i="15"/>
  <c r="F93" i="15"/>
  <c r="F92" i="15"/>
  <c r="F91" i="15"/>
  <c r="F90" i="15"/>
  <c r="F89" i="15"/>
  <c r="F88" i="15"/>
  <c r="F87" i="15"/>
  <c r="F86" i="15"/>
  <c r="F85" i="15"/>
  <c r="F84" i="15"/>
  <c r="F83" i="15"/>
  <c r="E82" i="15"/>
  <c r="F82" i="15" s="1"/>
  <c r="F81" i="15"/>
  <c r="F80" i="15"/>
  <c r="F79" i="15"/>
  <c r="F78" i="15"/>
  <c r="F77" i="15"/>
  <c r="F76" i="15"/>
  <c r="F75" i="15"/>
  <c r="F73" i="15"/>
  <c r="F72" i="15"/>
  <c r="F71" i="15"/>
  <c r="F70" i="15"/>
  <c r="F69" i="15"/>
  <c r="F68" i="15"/>
  <c r="F67" i="15"/>
  <c r="F66" i="15"/>
  <c r="F65" i="15"/>
  <c r="F63"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1" i="15"/>
  <c r="F30" i="15"/>
  <c r="F29" i="15"/>
  <c r="F28" i="15"/>
  <c r="F27" i="15"/>
  <c r="F26" i="15"/>
  <c r="L25" i="15"/>
  <c r="F25" i="15"/>
  <c r="L24" i="15"/>
  <c r="E62" i="15" s="1"/>
  <c r="F62" i="15" s="1"/>
  <c r="F24" i="15"/>
  <c r="F23" i="15"/>
  <c r="F22" i="15"/>
  <c r="F21" i="15"/>
  <c r="F20" i="15"/>
  <c r="F19" i="15"/>
  <c r="L18" i="15"/>
  <c r="L19" i="15" s="1"/>
  <c r="F18" i="15"/>
  <c r="F17" i="15"/>
  <c r="F16" i="15"/>
  <c r="F15" i="15"/>
  <c r="F14" i="15"/>
  <c r="F13" i="15"/>
  <c r="L12" i="15"/>
  <c r="L13" i="15" s="1"/>
  <c r="E20" i="15" s="1"/>
  <c r="F12" i="15"/>
  <c r="I11" i="15"/>
  <c r="F11" i="15"/>
  <c r="F9" i="15"/>
  <c r="F8" i="15"/>
  <c r="F7" i="15"/>
  <c r="L6" i="15"/>
  <c r="L27" i="15" s="1"/>
  <c r="I6" i="15"/>
  <c r="F6" i="15"/>
  <c r="F5" i="15"/>
  <c r="F4" i="15"/>
  <c r="I21" i="14"/>
  <c r="E18" i="14"/>
  <c r="I16" i="14"/>
  <c r="D14" i="14"/>
  <c r="I11" i="14"/>
  <c r="D11" i="14"/>
  <c r="I6" i="14"/>
  <c r="D19" i="14" s="1"/>
  <c r="D6" i="14"/>
  <c r="D4" i="14"/>
  <c r="F105" i="13"/>
  <c r="F104" i="13"/>
  <c r="F103" i="13"/>
  <c r="F102" i="13"/>
  <c r="F101" i="13"/>
  <c r="F99" i="13"/>
  <c r="F98" i="13"/>
  <c r="F97" i="13"/>
  <c r="F96" i="13"/>
  <c r="F95" i="13"/>
  <c r="F94" i="13"/>
  <c r="F93" i="13"/>
  <c r="F92" i="13"/>
  <c r="F91" i="13"/>
  <c r="F90" i="13"/>
  <c r="F89" i="13"/>
  <c r="F88" i="13"/>
  <c r="E87" i="13"/>
  <c r="F87" i="13" s="1"/>
  <c r="F86" i="13"/>
  <c r="F85" i="13"/>
  <c r="F84" i="13"/>
  <c r="F83" i="13"/>
  <c r="F82" i="13"/>
  <c r="F81" i="13"/>
  <c r="F80" i="13"/>
  <c r="E80" i="13"/>
  <c r="F79" i="13"/>
  <c r="F78" i="13"/>
  <c r="F77" i="13"/>
  <c r="F76" i="13"/>
  <c r="F75" i="13"/>
  <c r="E74" i="13"/>
  <c r="F74" i="13" s="1"/>
  <c r="F73" i="13"/>
  <c r="F72" i="13"/>
  <c r="F71" i="13"/>
  <c r="F69" i="13"/>
  <c r="F68" i="13"/>
  <c r="F67" i="13"/>
  <c r="F66" i="13"/>
  <c r="F65" i="13"/>
  <c r="F64" i="13"/>
  <c r="F63" i="13"/>
  <c r="F62" i="13"/>
  <c r="F61" i="13"/>
  <c r="F60" i="13"/>
  <c r="F59" i="13"/>
  <c r="F58" i="13"/>
  <c r="F57" i="13"/>
  <c r="F56" i="13"/>
  <c r="F55" i="13"/>
  <c r="D54" i="13"/>
  <c r="D106" i="13" s="1"/>
  <c r="E53" i="13"/>
  <c r="F53" i="13" s="1"/>
  <c r="F52" i="13"/>
  <c r="F51" i="13"/>
  <c r="F50" i="13"/>
  <c r="F49" i="13"/>
  <c r="F48" i="13"/>
  <c r="F46" i="13"/>
  <c r="F44" i="13"/>
  <c r="F43" i="13"/>
  <c r="F42" i="13"/>
  <c r="F41" i="13"/>
  <c r="F40" i="13"/>
  <c r="F39" i="13"/>
  <c r="F38" i="13"/>
  <c r="F37" i="13"/>
  <c r="F36" i="13"/>
  <c r="F35" i="13"/>
  <c r="F34" i="13"/>
  <c r="F33" i="13"/>
  <c r="F32" i="13"/>
  <c r="F31" i="13"/>
  <c r="F29" i="13"/>
  <c r="E28" i="13"/>
  <c r="F28" i="13" s="1"/>
  <c r="F27" i="13"/>
  <c r="F26" i="13"/>
  <c r="F25" i="13"/>
  <c r="F24" i="13"/>
  <c r="F23" i="13"/>
  <c r="F22" i="13"/>
  <c r="L21" i="13"/>
  <c r="F21" i="13"/>
  <c r="F20" i="13"/>
  <c r="L19" i="13"/>
  <c r="E9" i="13" s="1"/>
  <c r="F19" i="13"/>
  <c r="L18" i="13"/>
  <c r="F18" i="13"/>
  <c r="F17" i="13"/>
  <c r="I16" i="13"/>
  <c r="F15" i="13"/>
  <c r="F13" i="13"/>
  <c r="L12" i="13"/>
  <c r="L13" i="13" s="1"/>
  <c r="E30" i="13" s="1"/>
  <c r="F30" i="13" s="1"/>
  <c r="F12" i="13"/>
  <c r="I11" i="13"/>
  <c r="F11" i="13"/>
  <c r="F10" i="13"/>
  <c r="F8" i="13"/>
  <c r="L7" i="13"/>
  <c r="E16" i="13" s="1"/>
  <c r="F16" i="13" s="1"/>
  <c r="F7" i="13"/>
  <c r="L6" i="13"/>
  <c r="I6" i="13"/>
  <c r="F6" i="13"/>
  <c r="F5" i="13"/>
  <c r="F4" i="13"/>
  <c r="E40" i="12"/>
  <c r="F40" i="12" s="1"/>
  <c r="E39" i="12"/>
  <c r="D39" i="12"/>
  <c r="F39" i="12" s="1"/>
  <c r="E37" i="12"/>
  <c r="F37" i="12" s="1"/>
  <c r="D37" i="12"/>
  <c r="F36" i="12"/>
  <c r="E34" i="12"/>
  <c r="D34" i="12"/>
  <c r="F34" i="12" s="1"/>
  <c r="D31" i="12"/>
  <c r="D29" i="12"/>
  <c r="D28" i="12"/>
  <c r="F28" i="12" s="1"/>
  <c r="E27" i="12"/>
  <c r="E25" i="12"/>
  <c r="F24" i="12"/>
  <c r="E23" i="12"/>
  <c r="D23" i="12"/>
  <c r="F23" i="12" s="1"/>
  <c r="F21" i="12"/>
  <c r="E21" i="12"/>
  <c r="D21" i="12"/>
  <c r="E18" i="12"/>
  <c r="E16" i="12"/>
  <c r="D16" i="12"/>
  <c r="F16" i="12" s="1"/>
  <c r="D15" i="12"/>
  <c r="F14" i="12"/>
  <c r="E13" i="12"/>
  <c r="E12" i="12"/>
  <c r="I11" i="12"/>
  <c r="E10" i="12"/>
  <c r="D10" i="12"/>
  <c r="F10" i="12" s="1"/>
  <c r="F9" i="12"/>
  <c r="F7" i="12"/>
  <c r="E7" i="12"/>
  <c r="D7" i="12"/>
  <c r="L6" i="12"/>
  <c r="D26" i="12" s="1"/>
  <c r="I6" i="12"/>
  <c r="E31" i="12" s="1"/>
  <c r="F31" i="12" s="1"/>
  <c r="D6" i="12"/>
  <c r="E5" i="12"/>
  <c r="F5" i="12" s="1"/>
  <c r="D5" i="12"/>
  <c r="E4" i="12"/>
  <c r="D4" i="12"/>
  <c r="F54" i="10"/>
  <c r="F53" i="10"/>
  <c r="F52" i="10"/>
  <c r="L51" i="10"/>
  <c r="F51" i="10"/>
  <c r="F50" i="10"/>
  <c r="F49" i="10"/>
  <c r="F48" i="10"/>
  <c r="F47" i="10"/>
  <c r="L46" i="10"/>
  <c r="F46" i="10"/>
  <c r="F45" i="10"/>
  <c r="F44" i="10"/>
  <c r="F43" i="10"/>
  <c r="F42" i="10"/>
  <c r="L41" i="10"/>
  <c r="F41" i="10"/>
  <c r="F40" i="10"/>
  <c r="F39" i="10"/>
  <c r="D37" i="10"/>
  <c r="F37" i="10" s="1"/>
  <c r="L36" i="10"/>
  <c r="D35" i="10" s="1"/>
  <c r="F35" i="10" s="1"/>
  <c r="F36" i="10"/>
  <c r="D36" i="10"/>
  <c r="E35" i="10"/>
  <c r="D34" i="10"/>
  <c r="F34" i="10" s="1"/>
  <c r="E33" i="10"/>
  <c r="D33" i="10"/>
  <c r="F32" i="10"/>
  <c r="L31" i="10"/>
  <c r="D27" i="10" s="1"/>
  <c r="E31" i="10"/>
  <c r="F31" i="10" s="1"/>
  <c r="E30" i="10"/>
  <c r="F30" i="10" s="1"/>
  <c r="L26" i="10"/>
  <c r="E25" i="10" s="1"/>
  <c r="I26" i="10"/>
  <c r="D28" i="10" s="1"/>
  <c r="F28" i="10" s="1"/>
  <c r="F25" i="10"/>
  <c r="D24" i="10"/>
  <c r="F24" i="10" s="1"/>
  <c r="F23" i="10"/>
  <c r="E22" i="10"/>
  <c r="L21" i="10"/>
  <c r="I21" i="10"/>
  <c r="F21" i="10"/>
  <c r="D20" i="10"/>
  <c r="F20" i="10" s="1"/>
  <c r="L16" i="10"/>
  <c r="D22" i="10" s="1"/>
  <c r="F22" i="10" s="1"/>
  <c r="I16" i="10"/>
  <c r="D10" i="10" s="1"/>
  <c r="F10" i="10" s="1"/>
  <c r="F16" i="10"/>
  <c r="F15" i="10"/>
  <c r="F12" i="10"/>
  <c r="D12" i="10"/>
  <c r="L11" i="10"/>
  <c r="D19" i="10" s="1"/>
  <c r="I11" i="10"/>
  <c r="E11" i="10"/>
  <c r="F11" i="10" s="1"/>
  <c r="E9" i="10"/>
  <c r="D8" i="10"/>
  <c r="F8" i="10" s="1"/>
  <c r="D7" i="10"/>
  <c r="F7" i="10" s="1"/>
  <c r="L6" i="10"/>
  <c r="I6" i="10"/>
  <c r="D9" i="10" s="1"/>
  <c r="F9" i="10" s="1"/>
  <c r="F6" i="10"/>
  <c r="O5" i="10"/>
  <c r="F5" i="10"/>
  <c r="D5" i="10"/>
  <c r="O4" i="10"/>
  <c r="D4" i="10"/>
  <c r="F4" i="10" s="1"/>
  <c r="O3" i="10"/>
  <c r="O6" i="10" s="1"/>
  <c r="E13" i="10" s="1"/>
  <c r="F13" i="10" s="1"/>
  <c r="F53" i="9"/>
  <c r="F52" i="9"/>
  <c r="F51" i="9"/>
  <c r="F50" i="9"/>
  <c r="F49" i="9"/>
  <c r="F48" i="9"/>
  <c r="F47" i="9"/>
  <c r="L46" i="9"/>
  <c r="F46" i="9"/>
  <c r="F45" i="9"/>
  <c r="F44" i="9"/>
  <c r="F43" i="9"/>
  <c r="F42" i="9"/>
  <c r="L41" i="9"/>
  <c r="F41" i="9"/>
  <c r="F40" i="9"/>
  <c r="F39" i="9"/>
  <c r="F38" i="9"/>
  <c r="F37" i="9"/>
  <c r="L36" i="9"/>
  <c r="F36" i="9"/>
  <c r="F35" i="9"/>
  <c r="F34" i="9"/>
  <c r="E33" i="9"/>
  <c r="F33" i="9" s="1"/>
  <c r="D33" i="9"/>
  <c r="F32" i="9"/>
  <c r="F30" i="9"/>
  <c r="D30" i="9"/>
  <c r="E28" i="9"/>
  <c r="E27" i="9"/>
  <c r="F27" i="9" s="1"/>
  <c r="F25" i="9"/>
  <c r="D24" i="9"/>
  <c r="F24" i="9" s="1"/>
  <c r="L21" i="9"/>
  <c r="E31" i="9" s="1"/>
  <c r="F31" i="9" s="1"/>
  <c r="F21" i="9"/>
  <c r="F20" i="9"/>
  <c r="E19" i="9"/>
  <c r="F19" i="9" s="1"/>
  <c r="F18" i="9"/>
  <c r="D18" i="9"/>
  <c r="F17" i="9"/>
  <c r="I16" i="9"/>
  <c r="E16" i="9"/>
  <c r="F15" i="9"/>
  <c r="F14" i="9"/>
  <c r="E13" i="9"/>
  <c r="F13" i="9" s="1"/>
  <c r="D12" i="9"/>
  <c r="I11" i="9"/>
  <c r="L31" i="9" s="1"/>
  <c r="F11" i="9"/>
  <c r="E8" i="9"/>
  <c r="D8" i="9"/>
  <c r="F8" i="9" s="1"/>
  <c r="F7" i="9"/>
  <c r="L6" i="9"/>
  <c r="I6" i="9"/>
  <c r="E29" i="9" s="1"/>
  <c r="F29" i="9" s="1"/>
  <c r="E6" i="9"/>
  <c r="D6" i="9"/>
  <c r="F5" i="9"/>
  <c r="F37" i="7"/>
  <c r="E30" i="7"/>
  <c r="AI30" i="1" s="1"/>
  <c r="D30" i="7"/>
  <c r="F30" i="7" s="1"/>
  <c r="E28" i="7"/>
  <c r="AI28" i="1" s="1"/>
  <c r="E27" i="7"/>
  <c r="E25" i="7"/>
  <c r="AI25" i="1" s="1"/>
  <c r="D25" i="7"/>
  <c r="F25" i="7" s="1"/>
  <c r="I24" i="7"/>
  <c r="I23" i="7"/>
  <c r="L21" i="7"/>
  <c r="I21" i="7"/>
  <c r="I20" i="7"/>
  <c r="E20" i="7"/>
  <c r="AI20" i="1" s="1"/>
  <c r="D20" i="7"/>
  <c r="F20" i="7" s="1"/>
  <c r="I17" i="7"/>
  <c r="L16" i="7"/>
  <c r="D14" i="7"/>
  <c r="AH14" i="1" s="1"/>
  <c r="L11" i="7"/>
  <c r="I11" i="7"/>
  <c r="D11" i="7"/>
  <c r="D9" i="7"/>
  <c r="D8" i="7"/>
  <c r="F8" i="7" s="1"/>
  <c r="I6" i="7"/>
  <c r="E6" i="7"/>
  <c r="E5" i="7"/>
  <c r="F40" i="6"/>
  <c r="E39" i="6"/>
  <c r="F39" i="6" s="1"/>
  <c r="F29" i="6"/>
  <c r="L26" i="6"/>
  <c r="F24" i="6"/>
  <c r="I23" i="6"/>
  <c r="I20" i="6"/>
  <c r="D20" i="6"/>
  <c r="F19" i="6"/>
  <c r="O18" i="6"/>
  <c r="E14" i="6" s="1"/>
  <c r="AG14" i="1" s="1"/>
  <c r="E17" i="6"/>
  <c r="AG17" i="1" s="1"/>
  <c r="O15" i="6"/>
  <c r="O20" i="6" s="1"/>
  <c r="L11" i="6"/>
  <c r="I11" i="6"/>
  <c r="F9" i="6"/>
  <c r="I6" i="6"/>
  <c r="D6" i="6"/>
  <c r="I38" i="5"/>
  <c r="I36" i="5"/>
  <c r="I35" i="5"/>
  <c r="I39" i="5" s="1"/>
  <c r="F34" i="5"/>
  <c r="I26" i="5"/>
  <c r="E26" i="5"/>
  <c r="F24" i="5"/>
  <c r="I21" i="5"/>
  <c r="I16" i="5"/>
  <c r="F14" i="5"/>
  <c r="I11" i="5"/>
  <c r="E11" i="5"/>
  <c r="I6" i="5"/>
  <c r="L31" i="4"/>
  <c r="I24" i="4"/>
  <c r="I21" i="4"/>
  <c r="I20" i="4"/>
  <c r="I23" i="4" s="1"/>
  <c r="L11" i="4"/>
  <c r="I11" i="4"/>
  <c r="E7" i="4"/>
  <c r="I6" i="4"/>
  <c r="M35" i="3"/>
  <c r="M34" i="3"/>
  <c r="F34" i="3"/>
  <c r="K32" i="3"/>
  <c r="L30" i="3"/>
  <c r="S21" i="3"/>
  <c r="P21" i="3"/>
  <c r="P20" i="3"/>
  <c r="E18" i="3"/>
  <c r="AA18" i="1" s="1"/>
  <c r="P17" i="3"/>
  <c r="E15" i="3"/>
  <c r="AA15" i="1" s="1"/>
  <c r="D12" i="3"/>
  <c r="L10" i="3"/>
  <c r="E8" i="3"/>
  <c r="K7" i="3"/>
  <c r="M7" i="3" s="1"/>
  <c r="P6" i="3"/>
  <c r="E6" i="3"/>
  <c r="L5" i="3"/>
  <c r="V3" i="3"/>
  <c r="S116" i="1"/>
  <c r="R116" i="1"/>
  <c r="S115" i="1"/>
  <c r="R115" i="1"/>
  <c r="S114" i="1"/>
  <c r="R114" i="1"/>
  <c r="S113" i="1"/>
  <c r="R113" i="1"/>
  <c r="S112" i="1"/>
  <c r="R112" i="1"/>
  <c r="S111" i="1"/>
  <c r="R111" i="1"/>
  <c r="S110" i="1"/>
  <c r="R110" i="1"/>
  <c r="S105" i="1"/>
  <c r="R105" i="1"/>
  <c r="W104" i="1"/>
  <c r="V104" i="1"/>
  <c r="S104" i="1"/>
  <c r="R104" i="1"/>
  <c r="AR103" i="1"/>
  <c r="W103" i="1"/>
  <c r="V103" i="1"/>
  <c r="S103" i="1"/>
  <c r="R103" i="1"/>
  <c r="AS102" i="1"/>
  <c r="W102" i="1"/>
  <c r="V102" i="1"/>
  <c r="S102" i="1"/>
  <c r="R102" i="1"/>
  <c r="W101" i="1"/>
  <c r="V101" i="1"/>
  <c r="S101" i="1"/>
  <c r="R101" i="1"/>
  <c r="W100" i="1"/>
  <c r="V100" i="1"/>
  <c r="R100" i="1"/>
  <c r="W99" i="1"/>
  <c r="V99" i="1"/>
  <c r="S99" i="1"/>
  <c r="R99" i="1"/>
  <c r="AR98" i="1"/>
  <c r="W98" i="1"/>
  <c r="V98" i="1"/>
  <c r="S98" i="1"/>
  <c r="R98" i="1"/>
  <c r="AS97" i="1"/>
  <c r="W97" i="1"/>
  <c r="V97" i="1"/>
  <c r="S97" i="1"/>
  <c r="R97" i="1"/>
  <c r="W96" i="1"/>
  <c r="V96" i="1"/>
  <c r="S96" i="1"/>
  <c r="R96" i="1"/>
  <c r="W95" i="1"/>
  <c r="V95" i="1"/>
  <c r="S95" i="1"/>
  <c r="R95" i="1"/>
  <c r="W94" i="1"/>
  <c r="V94" i="1"/>
  <c r="S94" i="1"/>
  <c r="R94" i="1"/>
  <c r="AR93" i="1"/>
  <c r="W93" i="1"/>
  <c r="V93" i="1"/>
  <c r="S93" i="1"/>
  <c r="R93" i="1"/>
  <c r="W92" i="1"/>
  <c r="V92" i="1"/>
  <c r="S92" i="1"/>
  <c r="R92" i="1"/>
  <c r="W91" i="1"/>
  <c r="V91" i="1"/>
  <c r="S91" i="1"/>
  <c r="R91" i="1"/>
  <c r="W90" i="1"/>
  <c r="V90" i="1"/>
  <c r="S90" i="1"/>
  <c r="R90" i="1"/>
  <c r="W89" i="1"/>
  <c r="V89" i="1"/>
  <c r="S89" i="1"/>
  <c r="R89" i="1"/>
  <c r="W88" i="1"/>
  <c r="V88" i="1"/>
  <c r="S88" i="1"/>
  <c r="R88" i="1"/>
  <c r="AS87" i="1"/>
  <c r="W87" i="1"/>
  <c r="V87" i="1"/>
  <c r="S87" i="1"/>
  <c r="R87" i="1"/>
  <c r="W86" i="1"/>
  <c r="V86" i="1"/>
  <c r="S86" i="1"/>
  <c r="R86" i="1"/>
  <c r="W85" i="1"/>
  <c r="V85" i="1"/>
  <c r="S85" i="1"/>
  <c r="R85" i="1"/>
  <c r="AU84" i="1"/>
  <c r="AT84" i="1"/>
  <c r="AS84" i="1"/>
  <c r="W84" i="1"/>
  <c r="V84" i="1"/>
  <c r="S84" i="1"/>
  <c r="R84" i="1"/>
  <c r="AT83" i="1"/>
  <c r="W83" i="1"/>
  <c r="V83" i="1"/>
  <c r="S83" i="1"/>
  <c r="R83" i="1"/>
  <c r="AT82" i="1"/>
  <c r="W82" i="1"/>
  <c r="V82" i="1"/>
  <c r="S82" i="1"/>
  <c r="R82" i="1"/>
  <c r="AT81" i="1"/>
  <c r="W81" i="1"/>
  <c r="V81" i="1"/>
  <c r="S81" i="1"/>
  <c r="R81" i="1"/>
  <c r="AT80" i="1"/>
  <c r="W80" i="1"/>
  <c r="V80" i="1"/>
  <c r="S80" i="1"/>
  <c r="R80" i="1"/>
  <c r="AT79" i="1"/>
  <c r="W79" i="1"/>
  <c r="V79" i="1"/>
  <c r="S79" i="1"/>
  <c r="R79" i="1"/>
  <c r="AT78" i="1"/>
  <c r="AR78" i="1"/>
  <c r="W78" i="1"/>
  <c r="V78" i="1"/>
  <c r="S78" i="1"/>
  <c r="R78" i="1"/>
  <c r="AT77" i="1"/>
  <c r="AS77" i="1"/>
  <c r="W77" i="1"/>
  <c r="V77" i="1"/>
  <c r="S77" i="1"/>
  <c r="R77" i="1"/>
  <c r="AU76" i="1"/>
  <c r="AT76" i="1"/>
  <c r="W76" i="1"/>
  <c r="V76" i="1"/>
  <c r="S76" i="1"/>
  <c r="R76" i="1"/>
  <c r="AT75" i="1"/>
  <c r="W75" i="1"/>
  <c r="V75" i="1"/>
  <c r="S75" i="1"/>
  <c r="R75" i="1"/>
  <c r="AT74" i="1"/>
  <c r="AS74" i="1"/>
  <c r="W74" i="1"/>
  <c r="V74" i="1"/>
  <c r="S74" i="1"/>
  <c r="R74" i="1"/>
  <c r="AS73" i="1"/>
  <c r="W73" i="1"/>
  <c r="S73" i="1"/>
  <c r="R73" i="1"/>
  <c r="W72" i="1"/>
  <c r="V72" i="1"/>
  <c r="S72" i="1"/>
  <c r="R72" i="1"/>
  <c r="AT71" i="1"/>
  <c r="W71" i="1"/>
  <c r="V71" i="1"/>
  <c r="S71" i="1"/>
  <c r="R71" i="1"/>
  <c r="W70" i="1"/>
  <c r="V70" i="1"/>
  <c r="R70" i="1"/>
  <c r="AT69" i="1"/>
  <c r="W69" i="1"/>
  <c r="V69" i="1"/>
  <c r="S69" i="1"/>
  <c r="R69" i="1"/>
  <c r="AS68" i="1"/>
  <c r="W68" i="1"/>
  <c r="V68" i="1"/>
  <c r="S68" i="1"/>
  <c r="R68" i="1"/>
  <c r="AS67" i="1"/>
  <c r="W67" i="1"/>
  <c r="V67" i="1"/>
  <c r="S67" i="1"/>
  <c r="R67" i="1"/>
  <c r="AT66" i="1"/>
  <c r="W66" i="1"/>
  <c r="V66" i="1"/>
  <c r="S66" i="1"/>
  <c r="R66" i="1"/>
  <c r="W65" i="1"/>
  <c r="V65" i="1"/>
  <c r="S65" i="1"/>
  <c r="R65" i="1"/>
  <c r="AT64" i="1"/>
  <c r="W64" i="1"/>
  <c r="V64" i="1"/>
  <c r="S64" i="1"/>
  <c r="R64" i="1"/>
  <c r="W63" i="1"/>
  <c r="S63" i="1"/>
  <c r="R63" i="1"/>
  <c r="W62" i="1"/>
  <c r="V62" i="1"/>
  <c r="S62" i="1"/>
  <c r="R62" i="1"/>
  <c r="AT61" i="1"/>
  <c r="W61" i="1"/>
  <c r="V61" i="1"/>
  <c r="S61" i="1"/>
  <c r="R61" i="1"/>
  <c r="AU60" i="1"/>
  <c r="AT60" i="1"/>
  <c r="W60" i="1"/>
  <c r="V60" i="1"/>
  <c r="S60" i="1"/>
  <c r="R60" i="1"/>
  <c r="AT59" i="1"/>
  <c r="W59" i="1"/>
  <c r="V59" i="1"/>
  <c r="S59" i="1"/>
  <c r="R59" i="1"/>
  <c r="AR58" i="1"/>
  <c r="W58" i="1"/>
  <c r="V58" i="1"/>
  <c r="S58" i="1"/>
  <c r="R58" i="1"/>
  <c r="AT57" i="1"/>
  <c r="AS57" i="1"/>
  <c r="AQ57" i="1"/>
  <c r="AP57" i="1"/>
  <c r="W57" i="1"/>
  <c r="V57" i="1"/>
  <c r="S57" i="1"/>
  <c r="R57" i="1"/>
  <c r="AT56" i="1"/>
  <c r="W56" i="1"/>
  <c r="V56" i="1"/>
  <c r="S56" i="1"/>
  <c r="R56" i="1"/>
  <c r="W55" i="1"/>
  <c r="V55" i="1"/>
  <c r="S55" i="1"/>
  <c r="R55" i="1"/>
  <c r="AU54" i="1"/>
  <c r="AT54" i="1"/>
  <c r="W54" i="1"/>
  <c r="V54" i="1"/>
  <c r="S54" i="1"/>
  <c r="R54" i="1"/>
  <c r="AR53" i="1"/>
  <c r="AQ53" i="1"/>
  <c r="AP53" i="1"/>
  <c r="Y53" i="1"/>
  <c r="X53" i="1"/>
  <c r="W53" i="1"/>
  <c r="V53" i="1"/>
  <c r="S53" i="1"/>
  <c r="R53" i="1"/>
  <c r="AQ52" i="1"/>
  <c r="AP52" i="1"/>
  <c r="X52" i="1"/>
  <c r="W52" i="1"/>
  <c r="V52" i="1"/>
  <c r="S52" i="1"/>
  <c r="R52" i="1"/>
  <c r="AT51" i="1"/>
  <c r="AQ51" i="1"/>
  <c r="AP51" i="1"/>
  <c r="Y51" i="1"/>
  <c r="X51" i="1"/>
  <c r="W51" i="1"/>
  <c r="V51" i="1"/>
  <c r="S51" i="1"/>
  <c r="R51" i="1"/>
  <c r="AR50" i="1"/>
  <c r="AQ50" i="1"/>
  <c r="AP50" i="1"/>
  <c r="Y50" i="1"/>
  <c r="X50" i="1"/>
  <c r="W50" i="1"/>
  <c r="V50" i="1"/>
  <c r="S50" i="1"/>
  <c r="R50" i="1"/>
  <c r="AT49" i="1"/>
  <c r="Y49" i="1"/>
  <c r="X49" i="1"/>
  <c r="W49" i="1"/>
  <c r="V49" i="1"/>
  <c r="S49" i="1"/>
  <c r="R49" i="1"/>
  <c r="AU48" i="1"/>
  <c r="AQ48" i="1"/>
  <c r="AP48" i="1"/>
  <c r="Y48" i="1"/>
  <c r="X48" i="1"/>
  <c r="W48" i="1"/>
  <c r="V48" i="1"/>
  <c r="S48" i="1"/>
  <c r="R48" i="1"/>
  <c r="AS47" i="1"/>
  <c r="Y47" i="1"/>
  <c r="X47" i="1"/>
  <c r="W47" i="1"/>
  <c r="V47" i="1"/>
  <c r="R47" i="1"/>
  <c r="AU46" i="1"/>
  <c r="AT46" i="1"/>
  <c r="AP46" i="1"/>
  <c r="X46" i="1"/>
  <c r="W46" i="1"/>
  <c r="V46" i="1"/>
  <c r="S46" i="1"/>
  <c r="R46" i="1"/>
  <c r="Y45" i="1"/>
  <c r="X45" i="1"/>
  <c r="W45" i="1"/>
  <c r="V45" i="1"/>
  <c r="R45" i="1"/>
  <c r="AT44" i="1"/>
  <c r="AP44" i="1"/>
  <c r="AK44" i="1"/>
  <c r="AJ44" i="1"/>
  <c r="Y44" i="1"/>
  <c r="X44" i="1"/>
  <c r="W44" i="1"/>
  <c r="V44" i="1"/>
  <c r="S44" i="1"/>
  <c r="R44" i="1"/>
  <c r="AS43" i="1"/>
  <c r="AR43" i="1"/>
  <c r="AM43" i="1"/>
  <c r="AL43" i="1"/>
  <c r="AK43" i="1"/>
  <c r="AJ43" i="1"/>
  <c r="Y43" i="1"/>
  <c r="X43" i="1"/>
  <c r="W43" i="1"/>
  <c r="V43" i="1"/>
  <c r="S43" i="1"/>
  <c r="R43" i="1"/>
  <c r="AP42" i="1"/>
  <c r="AM42" i="1"/>
  <c r="AL42" i="1"/>
  <c r="AK42" i="1"/>
  <c r="AJ42" i="1"/>
  <c r="Y42" i="1"/>
  <c r="X42" i="1"/>
  <c r="W42" i="1"/>
  <c r="V42" i="1"/>
  <c r="S42" i="1"/>
  <c r="R42" i="1"/>
  <c r="AT41" i="1"/>
  <c r="AM41" i="1"/>
  <c r="AL41" i="1"/>
  <c r="AK41" i="1"/>
  <c r="AJ41" i="1"/>
  <c r="W41" i="1"/>
  <c r="V41" i="1"/>
  <c r="S41" i="1"/>
  <c r="R41" i="1"/>
  <c r="AT40" i="1"/>
  <c r="AP40" i="1"/>
  <c r="AM40" i="1"/>
  <c r="AL40" i="1"/>
  <c r="AK40" i="1"/>
  <c r="AJ40" i="1"/>
  <c r="AG40" i="1"/>
  <c r="AF40" i="1"/>
  <c r="Y40" i="1"/>
  <c r="X40" i="1"/>
  <c r="W40" i="1"/>
  <c r="V40" i="1"/>
  <c r="S40" i="1"/>
  <c r="R40" i="1"/>
  <c r="Q40" i="1"/>
  <c r="P40" i="1"/>
  <c r="AT39" i="1"/>
  <c r="AM39" i="1"/>
  <c r="AL39" i="1"/>
  <c r="AK39" i="1"/>
  <c r="AJ39" i="1"/>
  <c r="AH39" i="1"/>
  <c r="AF39" i="1"/>
  <c r="AD39" i="1"/>
  <c r="X39" i="1"/>
  <c r="W39" i="1"/>
  <c r="V39" i="1"/>
  <c r="S39" i="1"/>
  <c r="R39" i="1"/>
  <c r="Q39" i="1"/>
  <c r="P39" i="1"/>
  <c r="AU38" i="1"/>
  <c r="AS38" i="1"/>
  <c r="AQ38" i="1"/>
  <c r="AP38" i="1"/>
  <c r="AL38" i="1"/>
  <c r="AK38" i="1"/>
  <c r="AJ38" i="1"/>
  <c r="AI38" i="1"/>
  <c r="AF38" i="1"/>
  <c r="AE38" i="1"/>
  <c r="X38" i="1"/>
  <c r="W38" i="1"/>
  <c r="V38" i="1"/>
  <c r="S38" i="1"/>
  <c r="R38" i="1"/>
  <c r="AT37" i="1"/>
  <c r="AS37" i="1"/>
  <c r="AQ37" i="1"/>
  <c r="AP37" i="1"/>
  <c r="AM37" i="1"/>
  <c r="AL37" i="1"/>
  <c r="AK37" i="1"/>
  <c r="AJ37" i="1"/>
  <c r="AI37" i="1"/>
  <c r="AH37" i="1"/>
  <c r="Y37" i="1"/>
  <c r="X37" i="1"/>
  <c r="W37" i="1"/>
  <c r="V37" i="1"/>
  <c r="S37" i="1"/>
  <c r="R37" i="1"/>
  <c r="Q37" i="1"/>
  <c r="P37" i="1"/>
  <c r="AT36" i="1"/>
  <c r="AP36" i="1"/>
  <c r="AM36" i="1"/>
  <c r="AL36" i="1"/>
  <c r="AK36" i="1"/>
  <c r="AJ36" i="1"/>
  <c r="AH36" i="1"/>
  <c r="Y36" i="1"/>
  <c r="X36" i="1"/>
  <c r="W36" i="1"/>
  <c r="V36" i="1"/>
  <c r="S36" i="1"/>
  <c r="R36" i="1"/>
  <c r="Q36" i="1"/>
  <c r="P36" i="1"/>
  <c r="AM35" i="1"/>
  <c r="AK35" i="1"/>
  <c r="AJ35" i="1"/>
  <c r="X35" i="1"/>
  <c r="W35" i="1"/>
  <c r="V35" i="1"/>
  <c r="S35" i="1"/>
  <c r="R35" i="1"/>
  <c r="AU34" i="1"/>
  <c r="AT34" i="1"/>
  <c r="AQ34" i="1"/>
  <c r="AP34" i="1"/>
  <c r="AM34" i="1"/>
  <c r="AL34" i="1"/>
  <c r="AK34" i="1"/>
  <c r="AJ34" i="1"/>
  <c r="AH34" i="1"/>
  <c r="AG34" i="1"/>
  <c r="AE34" i="1"/>
  <c r="AD34" i="1"/>
  <c r="AA34" i="1"/>
  <c r="Z34" i="1"/>
  <c r="Y34" i="1"/>
  <c r="X34" i="1"/>
  <c r="W34" i="1"/>
  <c r="V34" i="1"/>
  <c r="S34" i="1"/>
  <c r="R34" i="1"/>
  <c r="Q34" i="1"/>
  <c r="P34" i="1"/>
  <c r="AQ33" i="1"/>
  <c r="AP33" i="1"/>
  <c r="AM33" i="1"/>
  <c r="AK33" i="1"/>
  <c r="AJ33" i="1"/>
  <c r="Y33" i="1"/>
  <c r="W33" i="1"/>
  <c r="V33" i="1"/>
  <c r="S33" i="1"/>
  <c r="R33" i="1"/>
  <c r="AT32" i="1"/>
  <c r="AP32" i="1"/>
  <c r="AM32" i="1"/>
  <c r="AL32" i="1"/>
  <c r="AK32" i="1"/>
  <c r="AJ32" i="1"/>
  <c r="AI32" i="1"/>
  <c r="AG32" i="1"/>
  <c r="X32" i="1"/>
  <c r="V32" i="1"/>
  <c r="S32" i="1"/>
  <c r="R32" i="1"/>
  <c r="Q32" i="1"/>
  <c r="AQ31" i="1"/>
  <c r="AP31" i="1"/>
  <c r="AM31" i="1"/>
  <c r="AL31" i="1"/>
  <c r="AJ31" i="1"/>
  <c r="Y31" i="1"/>
  <c r="X31" i="1"/>
  <c r="W31" i="1"/>
  <c r="V31" i="1"/>
  <c r="S31" i="1"/>
  <c r="R31" i="1"/>
  <c r="Q31" i="1"/>
  <c r="P31" i="1"/>
  <c r="AR30" i="1"/>
  <c r="AP30" i="1"/>
  <c r="AM30" i="1"/>
  <c r="AL30" i="1"/>
  <c r="AK30" i="1"/>
  <c r="AJ30" i="1"/>
  <c r="Y30" i="1"/>
  <c r="X30" i="1"/>
  <c r="W30" i="1"/>
  <c r="V30" i="1"/>
  <c r="S30" i="1"/>
  <c r="R30" i="1"/>
  <c r="AJ29" i="1"/>
  <c r="AG29" i="1"/>
  <c r="AF29" i="1"/>
  <c r="AE29" i="1"/>
  <c r="X29" i="1"/>
  <c r="W29" i="1"/>
  <c r="V29" i="1"/>
  <c r="S29" i="1"/>
  <c r="R29" i="1"/>
  <c r="P29" i="1"/>
  <c r="AR28" i="1"/>
  <c r="AQ28" i="1"/>
  <c r="AP28" i="1"/>
  <c r="AM28" i="1"/>
  <c r="AL28" i="1"/>
  <c r="AK28" i="1"/>
  <c r="Y28" i="1"/>
  <c r="X28" i="1"/>
  <c r="W28" i="1"/>
  <c r="V28" i="1"/>
  <c r="S28" i="1"/>
  <c r="R28" i="1"/>
  <c r="Q28" i="1"/>
  <c r="P28" i="1"/>
  <c r="AS27" i="1"/>
  <c r="AM27" i="1"/>
  <c r="AK27" i="1"/>
  <c r="AJ27" i="1"/>
  <c r="AI27" i="1"/>
  <c r="AA27" i="1"/>
  <c r="Y27" i="1"/>
  <c r="W27" i="1"/>
  <c r="V27" i="1"/>
  <c r="S27" i="1"/>
  <c r="R27" i="1"/>
  <c r="Q27" i="1"/>
  <c r="AQ26" i="1"/>
  <c r="AP26" i="1"/>
  <c r="AM26" i="1"/>
  <c r="AK26" i="1"/>
  <c r="AE26" i="1"/>
  <c r="X26" i="1"/>
  <c r="W26" i="1"/>
  <c r="V26" i="1"/>
  <c r="S26" i="1"/>
  <c r="R26" i="1"/>
  <c r="P26" i="1"/>
  <c r="AM25" i="1"/>
  <c r="AL25" i="1"/>
  <c r="AK25" i="1"/>
  <c r="AJ25" i="1"/>
  <c r="Y25" i="1"/>
  <c r="X25" i="1"/>
  <c r="W25" i="1"/>
  <c r="V25" i="1"/>
  <c r="S25" i="1"/>
  <c r="R25" i="1"/>
  <c r="Q25" i="1"/>
  <c r="AP24" i="1"/>
  <c r="AM24" i="1"/>
  <c r="AL24" i="1"/>
  <c r="AK24" i="1"/>
  <c r="AJ24" i="1"/>
  <c r="AH24" i="1"/>
  <c r="AG24" i="1"/>
  <c r="AF24" i="1"/>
  <c r="AE24" i="1"/>
  <c r="AD24" i="1"/>
  <c r="X24" i="1"/>
  <c r="W24" i="1"/>
  <c r="V24" i="1"/>
  <c r="S24" i="1"/>
  <c r="R24" i="1"/>
  <c r="Q24" i="1"/>
  <c r="P24" i="1"/>
  <c r="AU23" i="1"/>
  <c r="AP23" i="1"/>
  <c r="AM23" i="1"/>
  <c r="AL23" i="1"/>
  <c r="AJ23" i="1"/>
  <c r="AH23" i="1"/>
  <c r="Y23" i="1"/>
  <c r="X23" i="1"/>
  <c r="W23" i="1"/>
  <c r="V23" i="1"/>
  <c r="S23" i="1"/>
  <c r="R23" i="1"/>
  <c r="Q23" i="1"/>
  <c r="P23" i="1"/>
  <c r="AP22" i="1"/>
  <c r="AM22" i="1"/>
  <c r="AL22" i="1"/>
  <c r="AK22" i="1"/>
  <c r="AE22" i="1"/>
  <c r="X22" i="1"/>
  <c r="W22" i="1"/>
  <c r="V22" i="1"/>
  <c r="T22" i="1"/>
  <c r="S22" i="1"/>
  <c r="R22" i="1"/>
  <c r="I22" i="1"/>
  <c r="G22" i="1"/>
  <c r="C22" i="1"/>
  <c r="AU21" i="1"/>
  <c r="AT21" i="1"/>
  <c r="AQ21" i="1"/>
  <c r="AP21" i="1"/>
  <c r="AM21" i="1"/>
  <c r="AL21" i="1"/>
  <c r="AK21" i="1"/>
  <c r="AJ21" i="1"/>
  <c r="AI21" i="1"/>
  <c r="Y21" i="1"/>
  <c r="W21" i="1"/>
  <c r="V21" i="1"/>
  <c r="S21" i="1"/>
  <c r="R21" i="1"/>
  <c r="Q21" i="1"/>
  <c r="P21" i="1"/>
  <c r="I21" i="1"/>
  <c r="G21" i="1"/>
  <c r="C21" i="1"/>
  <c r="AP20" i="1"/>
  <c r="AM20" i="1"/>
  <c r="AL20" i="1"/>
  <c r="AK20" i="1"/>
  <c r="AJ20" i="1"/>
  <c r="AH20" i="1"/>
  <c r="AF20" i="1"/>
  <c r="X20" i="1"/>
  <c r="W20" i="1"/>
  <c r="V20" i="1"/>
  <c r="T20" i="1"/>
  <c r="S20" i="1"/>
  <c r="R20" i="1"/>
  <c r="I20" i="1"/>
  <c r="G20" i="1"/>
  <c r="C20" i="1"/>
  <c r="AL19" i="1"/>
  <c r="AK19" i="1"/>
  <c r="AJ19" i="1"/>
  <c r="AG19" i="1"/>
  <c r="AF19" i="1"/>
  <c r="Y19" i="1"/>
  <c r="X19" i="1"/>
  <c r="W19" i="1"/>
  <c r="V19" i="1"/>
  <c r="T19" i="1"/>
  <c r="S19" i="1"/>
  <c r="R19" i="1"/>
  <c r="Q19" i="1"/>
  <c r="I19" i="1"/>
  <c r="G19" i="1"/>
  <c r="C19" i="1"/>
  <c r="AP18" i="1"/>
  <c r="AM18" i="1"/>
  <c r="AK18" i="1"/>
  <c r="AJ18" i="1"/>
  <c r="Y18" i="1"/>
  <c r="X18" i="1"/>
  <c r="W18" i="1"/>
  <c r="V18" i="1"/>
  <c r="U18" i="1"/>
  <c r="S18" i="1"/>
  <c r="R18" i="1"/>
  <c r="Q18" i="1"/>
  <c r="AS17" i="1"/>
  <c r="AL17" i="1"/>
  <c r="AK17" i="1"/>
  <c r="AJ17" i="1"/>
  <c r="AA17" i="1"/>
  <c r="Y17" i="1"/>
  <c r="X17" i="1"/>
  <c r="W17" i="1"/>
  <c r="V17" i="1"/>
  <c r="T17" i="1"/>
  <c r="S17" i="1"/>
  <c r="R17" i="1"/>
  <c r="Q17" i="1"/>
  <c r="AT16" i="1"/>
  <c r="AQ16" i="1"/>
  <c r="AP16" i="1"/>
  <c r="AM16" i="1"/>
  <c r="AL16" i="1"/>
  <c r="AK16" i="1"/>
  <c r="AH16" i="1"/>
  <c r="AG16" i="1"/>
  <c r="X16" i="1"/>
  <c r="W16" i="1"/>
  <c r="V16" i="1"/>
  <c r="S16" i="1"/>
  <c r="R16" i="1"/>
  <c r="Q16" i="1"/>
  <c r="P16" i="1"/>
  <c r="AU15" i="1"/>
  <c r="AT15" i="1"/>
  <c r="AM15" i="1"/>
  <c r="AL15" i="1"/>
  <c r="AK15" i="1"/>
  <c r="AJ15" i="1"/>
  <c r="Y15" i="1"/>
  <c r="W15" i="1"/>
  <c r="V15" i="1"/>
  <c r="T15" i="1"/>
  <c r="S15" i="1"/>
  <c r="R15" i="1"/>
  <c r="P15" i="1"/>
  <c r="G15" i="1"/>
  <c r="F15" i="1"/>
  <c r="E15" i="1"/>
  <c r="H15" i="1" s="1"/>
  <c r="AQ14" i="1"/>
  <c r="AP14" i="1"/>
  <c r="AO14" i="1"/>
  <c r="AM14" i="1"/>
  <c r="AK14" i="1"/>
  <c r="AJ14" i="1"/>
  <c r="AI14" i="1"/>
  <c r="AE14" i="1"/>
  <c r="AD14" i="1"/>
  <c r="Y14" i="1"/>
  <c r="X14" i="1"/>
  <c r="W14" i="1"/>
  <c r="V14" i="1"/>
  <c r="T14" i="1"/>
  <c r="R14" i="1"/>
  <c r="Q14" i="1"/>
  <c r="P14" i="1"/>
  <c r="G14" i="1"/>
  <c r="F14" i="1"/>
  <c r="E14" i="1"/>
  <c r="H14" i="1" s="1"/>
  <c r="AS13" i="1"/>
  <c r="AQ13" i="1"/>
  <c r="AP13" i="1"/>
  <c r="AM13" i="1"/>
  <c r="AL13" i="1"/>
  <c r="AK13" i="1"/>
  <c r="AJ13" i="1"/>
  <c r="X13" i="1"/>
  <c r="W13" i="1"/>
  <c r="V13" i="1"/>
  <c r="S13" i="1"/>
  <c r="R13" i="1"/>
  <c r="Q13" i="1"/>
  <c r="G13" i="1"/>
  <c r="F13" i="1"/>
  <c r="E13" i="1"/>
  <c r="H13" i="1" s="1"/>
  <c r="AT12" i="1"/>
  <c r="AP12" i="1"/>
  <c r="AM12" i="1"/>
  <c r="AL12" i="1"/>
  <c r="AJ12" i="1"/>
  <c r="Z12" i="1"/>
  <c r="Y12" i="1"/>
  <c r="X12" i="1"/>
  <c r="W12" i="1"/>
  <c r="V12" i="1"/>
  <c r="T12" i="1"/>
  <c r="S12" i="1"/>
  <c r="R12" i="1"/>
  <c r="Q12" i="1"/>
  <c r="G12" i="1"/>
  <c r="F12" i="1"/>
  <c r="E12" i="1"/>
  <c r="H12" i="1" s="1"/>
  <c r="AU11" i="1"/>
  <c r="AM11" i="1"/>
  <c r="AL11" i="1"/>
  <c r="AK11" i="1"/>
  <c r="AJ11" i="1"/>
  <c r="AE11" i="1"/>
  <c r="X11" i="1"/>
  <c r="W11" i="1"/>
  <c r="V11" i="1"/>
  <c r="T11" i="1"/>
  <c r="S11" i="1"/>
  <c r="R11" i="1"/>
  <c r="Q11" i="1"/>
  <c r="G11" i="1"/>
  <c r="F11" i="1"/>
  <c r="E11" i="1"/>
  <c r="H11" i="1" s="1"/>
  <c r="AR10" i="1"/>
  <c r="AP10" i="1"/>
  <c r="AN10" i="1"/>
  <c r="AM10" i="1"/>
  <c r="AL10" i="1"/>
  <c r="AJ10" i="1"/>
  <c r="AE10" i="1"/>
  <c r="Y10" i="1"/>
  <c r="X10" i="1"/>
  <c r="V10" i="1"/>
  <c r="T10" i="1"/>
  <c r="S10" i="1"/>
  <c r="R10" i="1"/>
  <c r="Q10" i="1"/>
  <c r="P10" i="1"/>
  <c r="AM9" i="1"/>
  <c r="AL9" i="1"/>
  <c r="AJ9" i="1"/>
  <c r="AH9" i="1"/>
  <c r="AG9" i="1"/>
  <c r="AF9" i="1"/>
  <c r="AA9" i="1"/>
  <c r="X9" i="1"/>
  <c r="W9" i="1"/>
  <c r="V9" i="1"/>
  <c r="S9" i="1"/>
  <c r="R9" i="1"/>
  <c r="Q9" i="1"/>
  <c r="P9" i="1"/>
  <c r="AR8" i="1"/>
  <c r="AQ8" i="1"/>
  <c r="AP8" i="1"/>
  <c r="AM8" i="1"/>
  <c r="AL8" i="1"/>
  <c r="AK8" i="1"/>
  <c r="AJ8" i="1"/>
  <c r="AI8" i="1"/>
  <c r="AH8" i="1"/>
  <c r="AG8" i="1"/>
  <c r="AA8" i="1"/>
  <c r="Y8" i="1"/>
  <c r="X8" i="1"/>
  <c r="W8" i="1"/>
  <c r="V8" i="1"/>
  <c r="S8" i="1"/>
  <c r="R8" i="1"/>
  <c r="AN7" i="1"/>
  <c r="AM7" i="1"/>
  <c r="AL7" i="1"/>
  <c r="AK7" i="1"/>
  <c r="AJ7" i="1"/>
  <c r="AC7" i="1"/>
  <c r="Y7" i="1"/>
  <c r="X7" i="1"/>
  <c r="W7" i="1"/>
  <c r="V7" i="1"/>
  <c r="S7" i="1"/>
  <c r="R7" i="1"/>
  <c r="Q7" i="1"/>
  <c r="P7" i="1"/>
  <c r="AP6" i="1"/>
  <c r="AN6" i="1"/>
  <c r="AM6" i="1"/>
  <c r="AL6" i="1"/>
  <c r="AK6" i="1"/>
  <c r="AJ6" i="1"/>
  <c r="AI6" i="1"/>
  <c r="AF6" i="1"/>
  <c r="AA6" i="1"/>
  <c r="X6" i="1"/>
  <c r="W6" i="1"/>
  <c r="V6" i="1"/>
  <c r="T6" i="1"/>
  <c r="S6" i="1"/>
  <c r="R6" i="1"/>
  <c r="P6" i="1"/>
  <c r="AT5" i="1"/>
  <c r="AS5" i="1"/>
  <c r="AM5" i="1"/>
  <c r="AL5" i="1"/>
  <c r="AK5" i="1"/>
  <c r="AJ5" i="1"/>
  <c r="AI5" i="1"/>
  <c r="AG5" i="1"/>
  <c r="AE5" i="1"/>
  <c r="Y5" i="1"/>
  <c r="X5" i="1"/>
  <c r="W5" i="1"/>
  <c r="V5" i="1"/>
  <c r="S5" i="1"/>
  <c r="R5" i="1"/>
  <c r="Q5" i="1"/>
  <c r="P5" i="1"/>
  <c r="AT4" i="1"/>
  <c r="AP4" i="1"/>
  <c r="AO4" i="1"/>
  <c r="AN4" i="1"/>
  <c r="AM4" i="1"/>
  <c r="AL4" i="1"/>
  <c r="AJ4" i="1"/>
  <c r="X4" i="1"/>
  <c r="W4" i="1"/>
  <c r="V4" i="1"/>
  <c r="T4" i="1"/>
  <c r="S4" i="1"/>
  <c r="R4" i="1"/>
  <c r="Q4" i="1"/>
  <c r="P4" i="1"/>
  <c r="R109" i="1" l="1"/>
  <c r="R106" i="1"/>
  <c r="R107" i="1"/>
  <c r="L16" i="5"/>
  <c r="L21" i="5"/>
  <c r="L6" i="5"/>
  <c r="L26" i="5"/>
  <c r="L36" i="5"/>
  <c r="L31" i="5"/>
  <c r="E20" i="5"/>
  <c r="AE20" i="1" s="1"/>
  <c r="E16" i="5"/>
  <c r="AE16" i="1" s="1"/>
  <c r="E37" i="5"/>
  <c r="AE37" i="1" s="1"/>
  <c r="D32" i="5"/>
  <c r="E30" i="5"/>
  <c r="AE30" i="1" s="1"/>
  <c r="D37" i="5"/>
  <c r="E35" i="5"/>
  <c r="AE35" i="1" s="1"/>
  <c r="D8" i="5"/>
  <c r="D12" i="5"/>
  <c r="L63" i="10"/>
  <c r="D18" i="4"/>
  <c r="E13" i="4"/>
  <c r="AC13" i="1" s="1"/>
  <c r="E8" i="5"/>
  <c r="AE8" i="1" s="1"/>
  <c r="L11" i="5"/>
  <c r="E17" i="5"/>
  <c r="AE17" i="1" s="1"/>
  <c r="E31" i="5"/>
  <c r="AE31" i="1" s="1"/>
  <c r="D5" i="6"/>
  <c r="D26" i="6"/>
  <c r="D18" i="6"/>
  <c r="E33" i="6"/>
  <c r="AG33" i="1" s="1"/>
  <c r="D12" i="6"/>
  <c r="F6" i="9"/>
  <c r="AL27" i="1"/>
  <c r="F27" i="10"/>
  <c r="D32" i="3"/>
  <c r="E30" i="3"/>
  <c r="AA30" i="1" s="1"/>
  <c r="E22" i="3"/>
  <c r="AA22" i="1" s="1"/>
  <c r="D28" i="3"/>
  <c r="L12" i="3"/>
  <c r="L25" i="3"/>
  <c r="L22" i="3"/>
  <c r="K28" i="3"/>
  <c r="D13" i="4"/>
  <c r="D27" i="5"/>
  <c r="I32" i="5"/>
  <c r="F14" i="7"/>
  <c r="E25" i="3"/>
  <c r="AA25" i="1" s="1"/>
  <c r="E20" i="4"/>
  <c r="AC20" i="1" s="1"/>
  <c r="E27" i="5"/>
  <c r="AE27" i="1" s="1"/>
  <c r="E36" i="6"/>
  <c r="AG36" i="1" s="1"/>
  <c r="E23" i="6"/>
  <c r="AG23" i="1" s="1"/>
  <c r="D6" i="7"/>
  <c r="D15" i="7"/>
  <c r="E18" i="7"/>
  <c r="AI18" i="1" s="1"/>
  <c r="D18" i="7"/>
  <c r="F33" i="10"/>
  <c r="AL33" i="1"/>
  <c r="AH30" i="1"/>
  <c r="AK31" i="1"/>
  <c r="D33" i="3"/>
  <c r="V11" i="3"/>
  <c r="K13" i="3"/>
  <c r="D13" i="3"/>
  <c r="D27" i="3"/>
  <c r="E6" i="5"/>
  <c r="AE6" i="1" s="1"/>
  <c r="E33" i="5"/>
  <c r="AE33" i="1" s="1"/>
  <c r="E39" i="7"/>
  <c r="AH11" i="1"/>
  <c r="AH25" i="1"/>
  <c r="AK29" i="1"/>
  <c r="AL35" i="1"/>
  <c r="AG39" i="1"/>
  <c r="E5" i="3"/>
  <c r="AA5" i="1" s="1"/>
  <c r="E12" i="3"/>
  <c r="P24" i="3"/>
  <c r="P23" i="3"/>
  <c r="L41" i="4"/>
  <c r="I17" i="4"/>
  <c r="D5" i="4" s="1"/>
  <c r="L36" i="4"/>
  <c r="D22" i="4" s="1"/>
  <c r="L6" i="4"/>
  <c r="L26" i="4"/>
  <c r="L21" i="4"/>
  <c r="L16" i="4"/>
  <c r="D11" i="4"/>
  <c r="D9" i="4"/>
  <c r="D21" i="4"/>
  <c r="D14" i="4"/>
  <c r="D12" i="4"/>
  <c r="D8" i="4"/>
  <c r="D6" i="4"/>
  <c r="E11" i="6"/>
  <c r="AG11" i="1" s="1"/>
  <c r="E15" i="6"/>
  <c r="AG15" i="1" s="1"/>
  <c r="E25" i="6"/>
  <c r="AG25" i="1" s="1"/>
  <c r="D4" i="6"/>
  <c r="E22" i="7"/>
  <c r="AI22" i="1" s="1"/>
  <c r="E17" i="7"/>
  <c r="AI17" i="1" s="1"/>
  <c r="E9" i="7"/>
  <c r="AI9" i="1" s="1"/>
  <c r="E13" i="7"/>
  <c r="AI13" i="1" s="1"/>
  <c r="D5" i="7"/>
  <c r="E10" i="7"/>
  <c r="AI10" i="1" s="1"/>
  <c r="D31" i="7"/>
  <c r="D12" i="7"/>
  <c r="E4" i="7"/>
  <c r="E34" i="7"/>
  <c r="E23" i="7"/>
  <c r="D27" i="7"/>
  <c r="D33" i="7"/>
  <c r="F9" i="13"/>
  <c r="F6" i="14"/>
  <c r="S26" i="3"/>
  <c r="D9" i="3"/>
  <c r="S31" i="3"/>
  <c r="D29" i="3"/>
  <c r="K19" i="3"/>
  <c r="K16" i="3"/>
  <c r="S11" i="3"/>
  <c r="S6" i="3"/>
  <c r="V9" i="3"/>
  <c r="K12" i="3"/>
  <c r="M12" i="3" s="1"/>
  <c r="S16" i="3"/>
  <c r="L31" i="6"/>
  <c r="D21" i="6" s="1"/>
  <c r="D30" i="6"/>
  <c r="E27" i="6"/>
  <c r="AG27" i="1" s="1"/>
  <c r="L21" i="6"/>
  <c r="D10" i="6"/>
  <c r="L16" i="6"/>
  <c r="D15" i="6"/>
  <c r="L6" i="6"/>
  <c r="L36" i="6"/>
  <c r="E26" i="6" s="1"/>
  <c r="AG26" i="1" s="1"/>
  <c r="E26" i="7"/>
  <c r="AI26" i="1" s="1"/>
  <c r="E15" i="7"/>
  <c r="AI15" i="1" s="1"/>
  <c r="D13" i="7"/>
  <c r="E7" i="7"/>
  <c r="AI7" i="1" s="1"/>
  <c r="E36" i="7"/>
  <c r="E31" i="7"/>
  <c r="AI31" i="1" s="1"/>
  <c r="D7" i="7"/>
  <c r="D35" i="7"/>
  <c r="D10" i="7"/>
  <c r="E9" i="9"/>
  <c r="E23" i="9"/>
  <c r="D26" i="9"/>
  <c r="D7" i="3"/>
  <c r="E7" i="6"/>
  <c r="AG7" i="1" s="1"/>
  <c r="E12" i="6"/>
  <c r="AG12" i="1" s="1"/>
  <c r="I17" i="6"/>
  <c r="E22" i="6"/>
  <c r="AG22" i="1" s="1"/>
  <c r="D25" i="6"/>
  <c r="L6" i="7"/>
  <c r="E12" i="7"/>
  <c r="AI12" i="1" s="1"/>
  <c r="D21" i="7"/>
  <c r="D32" i="7"/>
  <c r="D28" i="9"/>
  <c r="D22" i="9"/>
  <c r="D16" i="3"/>
  <c r="D19" i="3"/>
  <c r="E31" i="6"/>
  <c r="AG31" i="1" s="1"/>
  <c r="D35" i="6"/>
  <c r="E37" i="6"/>
  <c r="AG37" i="1" s="1"/>
  <c r="E19" i="7"/>
  <c r="AI19" i="1" s="1"/>
  <c r="D28" i="7"/>
  <c r="D19" i="7"/>
  <c r="D4" i="7"/>
  <c r="E29" i="7"/>
  <c r="AI29" i="1" s="1"/>
  <c r="D26" i="7"/>
  <c r="E24" i="7"/>
  <c r="D17" i="7"/>
  <c r="E11" i="7"/>
  <c r="AI11" i="1" s="1"/>
  <c r="D38" i="7"/>
  <c r="L26" i="7"/>
  <c r="F15" i="12"/>
  <c r="D73" i="15"/>
  <c r="E10" i="15"/>
  <c r="D27" i="20"/>
  <c r="E29" i="20"/>
  <c r="AS29" i="1" s="1"/>
  <c r="D37" i="20"/>
  <c r="E19" i="20"/>
  <c r="AS19" i="1" s="1"/>
  <c r="E39" i="20"/>
  <c r="AS39" i="1" s="1"/>
  <c r="D17" i="20"/>
  <c r="L91" i="21"/>
  <c r="D18" i="10"/>
  <c r="D26" i="10"/>
  <c r="F4" i="12"/>
  <c r="E6" i="12"/>
  <c r="Q6" i="1" s="1"/>
  <c r="D12" i="12"/>
  <c r="D19" i="12"/>
  <c r="E70" i="13"/>
  <c r="D107" i="13"/>
  <c r="F23" i="19"/>
  <c r="D55" i="10"/>
  <c r="E22" i="14"/>
  <c r="E20" i="14"/>
  <c r="D16" i="14"/>
  <c r="E7" i="14"/>
  <c r="U7" i="1" s="1"/>
  <c r="E11" i="14"/>
  <c r="U11" i="1" s="1"/>
  <c r="D7" i="14"/>
  <c r="D23" i="14"/>
  <c r="D21" i="14"/>
  <c r="E14" i="14"/>
  <c r="U14" i="1" s="1"/>
  <c r="E12" i="14"/>
  <c r="E10" i="14"/>
  <c r="D8" i="14"/>
  <c r="E6" i="14"/>
  <c r="U6" i="1" s="1"/>
  <c r="F11" i="14"/>
  <c r="E15" i="14"/>
  <c r="E19" i="14"/>
  <c r="U19" i="1" s="1"/>
  <c r="E23" i="14"/>
  <c r="U23" i="1" s="1"/>
  <c r="F9" i="16"/>
  <c r="F6" i="18"/>
  <c r="F93" i="20"/>
  <c r="E29" i="21"/>
  <c r="AU29" i="1" s="1"/>
  <c r="D29" i="21"/>
  <c r="E26" i="21"/>
  <c r="AU26" i="1" s="1"/>
  <c r="E19" i="21"/>
  <c r="AU19" i="1" s="1"/>
  <c r="E58" i="21"/>
  <c r="AU58" i="1" s="1"/>
  <c r="E36" i="21"/>
  <c r="D14" i="21"/>
  <c r="E38" i="12"/>
  <c r="Q38" i="1" s="1"/>
  <c r="E22" i="12"/>
  <c r="Q22" i="1" s="1"/>
  <c r="E20" i="12"/>
  <c r="Q20" i="1" s="1"/>
  <c r="D11" i="12"/>
  <c r="E8" i="12"/>
  <c r="Q8" i="1" s="1"/>
  <c r="D38" i="12"/>
  <c r="E35" i="12"/>
  <c r="Q35" i="1" s="1"/>
  <c r="E33" i="12"/>
  <c r="Q33" i="1" s="1"/>
  <c r="D22" i="12"/>
  <c r="D20" i="12"/>
  <c r="E15" i="12"/>
  <c r="Q15" i="1" s="1"/>
  <c r="D8" i="12"/>
  <c r="E26" i="12"/>
  <c r="Q26" i="1" s="1"/>
  <c r="D32" i="12"/>
  <c r="D35" i="12"/>
  <c r="E45" i="13"/>
  <c r="F54" i="13"/>
  <c r="E4" i="14"/>
  <c r="D18" i="14"/>
  <c r="D9" i="14"/>
  <c r="E16" i="14"/>
  <c r="U16" i="1" s="1"/>
  <c r="D15" i="18"/>
  <c r="E12" i="18"/>
  <c r="AO12" i="1" s="1"/>
  <c r="I21" i="6"/>
  <c r="I24" i="6" s="1"/>
  <c r="E29" i="10"/>
  <c r="AM29" i="1" s="1"/>
  <c r="D17" i="12"/>
  <c r="D30" i="12"/>
  <c r="E8" i="14"/>
  <c r="U8" i="1" s="1"/>
  <c r="E9" i="14"/>
  <c r="U9" i="1" s="1"/>
  <c r="E13" i="14"/>
  <c r="U13" i="1" s="1"/>
  <c r="E5" i="14"/>
  <c r="U5" i="1" s="1"/>
  <c r="E21" i="14"/>
  <c r="U21" i="1" s="1"/>
  <c r="E39" i="16"/>
  <c r="E20" i="16"/>
  <c r="E11" i="16"/>
  <c r="I16" i="19"/>
  <c r="L26" i="19"/>
  <c r="E7" i="19"/>
  <c r="AQ7" i="1" s="1"/>
  <c r="L21" i="19"/>
  <c r="E10" i="19" s="1"/>
  <c r="O18" i="19"/>
  <c r="L16" i="19"/>
  <c r="I21" i="19"/>
  <c r="L36" i="19"/>
  <c r="L31" i="19"/>
  <c r="L11" i="19"/>
  <c r="E30" i="19" s="1"/>
  <c r="I11" i="19"/>
  <c r="D7" i="19"/>
  <c r="L41" i="19"/>
  <c r="E46" i="19" s="1"/>
  <c r="I26" i="19"/>
  <c r="E23" i="19"/>
  <c r="AQ23" i="1" s="1"/>
  <c r="L6" i="19"/>
  <c r="D77" i="20"/>
  <c r="E79" i="20"/>
  <c r="AS79" i="1" s="1"/>
  <c r="D57" i="20"/>
  <c r="E99" i="20"/>
  <c r="AS99" i="1" s="1"/>
  <c r="E89" i="20"/>
  <c r="AS89" i="1" s="1"/>
  <c r="E59" i="20"/>
  <c r="AS59" i="1" s="1"/>
  <c r="E49" i="20"/>
  <c r="AS49" i="1" s="1"/>
  <c r="D67" i="20"/>
  <c r="D47" i="20"/>
  <c r="D97" i="20"/>
  <c r="E69" i="20"/>
  <c r="AS69" i="1" s="1"/>
  <c r="D87" i="20"/>
  <c r="E53" i="20"/>
  <c r="AS53" i="1" s="1"/>
  <c r="E23" i="20"/>
  <c r="AS23" i="1" s="1"/>
  <c r="E48" i="20"/>
  <c r="AS48" i="1" s="1"/>
  <c r="E98" i="20"/>
  <c r="D83" i="20"/>
  <c r="E4" i="9"/>
  <c r="L11" i="9"/>
  <c r="E10" i="9" s="1"/>
  <c r="L16" i="9"/>
  <c r="E12" i="9" s="1"/>
  <c r="L26" i="9"/>
  <c r="D16" i="9" s="1"/>
  <c r="D54" i="9" s="1"/>
  <c r="L56" i="10"/>
  <c r="D29" i="10" s="1"/>
  <c r="E38" i="10"/>
  <c r="D14" i="10"/>
  <c r="E17" i="10"/>
  <c r="L61" i="10"/>
  <c r="E19" i="10" s="1"/>
  <c r="AM19" i="1" s="1"/>
  <c r="E30" i="12"/>
  <c r="Q30" i="1" s="1"/>
  <c r="D33" i="12"/>
  <c r="E100" i="13"/>
  <c r="E47" i="13"/>
  <c r="E14" i="13"/>
  <c r="E106" i="13" s="1"/>
  <c r="D5" i="14"/>
  <c r="D13" i="14"/>
  <c r="E17" i="14"/>
  <c r="E6" i="16"/>
  <c r="E9" i="16"/>
  <c r="Y9" i="1" s="1"/>
  <c r="E16" i="16"/>
  <c r="E32" i="16"/>
  <c r="D41" i="16"/>
  <c r="E13" i="16"/>
  <c r="E24" i="16"/>
  <c r="E41" i="16"/>
  <c r="Y41" i="1" s="1"/>
  <c r="O23" i="21"/>
  <c r="D22" i="21"/>
  <c r="O15" i="21"/>
  <c r="E55" i="21"/>
  <c r="AU55" i="1" s="1"/>
  <c r="I31" i="21"/>
  <c r="I16" i="21"/>
  <c r="O7" i="21"/>
  <c r="D4" i="22"/>
  <c r="E4" i="22" s="1"/>
  <c r="E35" i="16"/>
  <c r="D27" i="16"/>
  <c r="D21" i="16"/>
  <c r="E29" i="16"/>
  <c r="D33" i="16"/>
  <c r="E38" i="16"/>
  <c r="E46" i="16"/>
  <c r="L31" i="18"/>
  <c r="F53" i="20"/>
  <c r="E63" i="20"/>
  <c r="AS63" i="1" s="1"/>
  <c r="E33" i="20"/>
  <c r="AS33" i="1" s="1"/>
  <c r="E40" i="21"/>
  <c r="E80" i="21"/>
  <c r="L71" i="21"/>
  <c r="D28" i="21" s="1"/>
  <c r="D43" i="21"/>
  <c r="L7" i="15"/>
  <c r="E4" i="16"/>
  <c r="E52" i="16"/>
  <c r="L11" i="18"/>
  <c r="E8" i="18"/>
  <c r="AO8" i="1" s="1"/>
  <c r="L6" i="18"/>
  <c r="L51" i="18"/>
  <c r="L16" i="18"/>
  <c r="L36" i="18"/>
  <c r="E6" i="18" s="1"/>
  <c r="AO6" i="1" s="1"/>
  <c r="D90" i="20"/>
  <c r="D60" i="20"/>
  <c r="E44" i="20"/>
  <c r="AS44" i="1" s="1"/>
  <c r="I25" i="20"/>
  <c r="E54" i="20"/>
  <c r="AS54" i="1" s="1"/>
  <c r="L46" i="20"/>
  <c r="I31" i="20"/>
  <c r="D20" i="20"/>
  <c r="D80" i="20"/>
  <c r="D70" i="20"/>
  <c r="E64" i="20"/>
  <c r="AS64" i="1" s="1"/>
  <c r="L41" i="20"/>
  <c r="D40" i="20"/>
  <c r="E14" i="20"/>
  <c r="AS14" i="1" s="1"/>
  <c r="I11" i="20"/>
  <c r="I21" i="20"/>
  <c r="L26" i="20"/>
  <c r="E94" i="20"/>
  <c r="AS94" i="1" s="1"/>
  <c r="L81" i="21"/>
  <c r="L51" i="21"/>
  <c r="L26" i="21"/>
  <c r="L101" i="21"/>
  <c r="E82" i="21" s="1"/>
  <c r="L46" i="21"/>
  <c r="E8" i="21" s="1"/>
  <c r="AU8" i="1" s="1"/>
  <c r="L36" i="21"/>
  <c r="L31" i="21"/>
  <c r="I26" i="21"/>
  <c r="L96" i="21"/>
  <c r="L41" i="21"/>
  <c r="L121" i="21"/>
  <c r="E75" i="21" s="1"/>
  <c r="L21" i="21"/>
  <c r="I21" i="21"/>
  <c r="D13" i="12"/>
  <c r="D42" i="12" s="1"/>
  <c r="D18" i="12"/>
  <c r="D25" i="12"/>
  <c r="D27" i="12"/>
  <c r="E29" i="12"/>
  <c r="D15" i="16"/>
  <c r="E22" i="16"/>
  <c r="E26" i="16"/>
  <c r="E5" i="18"/>
  <c r="AO5" i="1" s="1"/>
  <c r="O6" i="18"/>
  <c r="O8" i="18" s="1"/>
  <c r="E15" i="18"/>
  <c r="AO15" i="1" s="1"/>
  <c r="L41" i="18"/>
  <c r="O38" i="19"/>
  <c r="L6" i="20"/>
  <c r="L11" i="20"/>
  <c r="I16" i="20"/>
  <c r="L21" i="20"/>
  <c r="E93" i="20" s="1"/>
  <c r="AS93" i="1" s="1"/>
  <c r="E24" i="20"/>
  <c r="AS24" i="1" s="1"/>
  <c r="E34" i="20"/>
  <c r="AS34" i="1" s="1"/>
  <c r="L36" i="20"/>
  <c r="D100" i="20"/>
  <c r="L61" i="21"/>
  <c r="D30" i="21" s="1"/>
  <c r="E83" i="20"/>
  <c r="AS83" i="1" s="1"/>
  <c r="D8" i="18" l="1"/>
  <c r="E11" i="18"/>
  <c r="AO11" i="1" s="1"/>
  <c r="Q109" i="1"/>
  <c r="D12" i="18"/>
  <c r="D14" i="18"/>
  <c r="F5" i="14"/>
  <c r="T5" i="1"/>
  <c r="E42" i="12"/>
  <c r="AB9" i="1"/>
  <c r="F27" i="3"/>
  <c r="Z27" i="1"/>
  <c r="E32" i="5"/>
  <c r="AE32" i="1" s="1"/>
  <c r="E12" i="5"/>
  <c r="AE12" i="1" s="1"/>
  <c r="D29" i="5"/>
  <c r="E21" i="5"/>
  <c r="AE21" i="1" s="1"/>
  <c r="F46" i="16"/>
  <c r="Y46" i="1"/>
  <c r="E44" i="21"/>
  <c r="E51" i="21"/>
  <c r="AF35" i="1"/>
  <c r="D7" i="6"/>
  <c r="D36" i="6"/>
  <c r="D28" i="6"/>
  <c r="D22" i="6"/>
  <c r="D14" i="6"/>
  <c r="E30" i="6"/>
  <c r="AG30" i="1" s="1"/>
  <c r="F27" i="7"/>
  <c r="AH27" i="1"/>
  <c r="AB12" i="1"/>
  <c r="F28" i="3"/>
  <c r="Z28" i="1"/>
  <c r="AF18" i="1"/>
  <c r="D55" i="21"/>
  <c r="O14" i="21"/>
  <c r="O22" i="21"/>
  <c r="D70" i="21"/>
  <c r="E52" i="21"/>
  <c r="AU52" i="1" s="1"/>
  <c r="O6" i="21"/>
  <c r="F38" i="16"/>
  <c r="Y38" i="1"/>
  <c r="F47" i="20"/>
  <c r="AR47" i="1"/>
  <c r="AB14" i="1"/>
  <c r="F15" i="7"/>
  <c r="AH15" i="1"/>
  <c r="F19" i="10"/>
  <c r="F37" i="5"/>
  <c r="AD37" i="1"/>
  <c r="D9" i="5"/>
  <c r="D28" i="5"/>
  <c r="D5" i="5"/>
  <c r="D18" i="5"/>
  <c r="D13" i="5"/>
  <c r="D33" i="5"/>
  <c r="D23" i="5"/>
  <c r="R108" i="1"/>
  <c r="D35" i="21"/>
  <c r="D13" i="21"/>
  <c r="E54" i="16"/>
  <c r="E55" i="16"/>
  <c r="Y4" i="1"/>
  <c r="F97" i="20"/>
  <c r="AR97" i="1"/>
  <c r="E17" i="19"/>
  <c r="AQ17" i="1" s="1"/>
  <c r="D17" i="19"/>
  <c r="F20" i="12"/>
  <c r="P20" i="1"/>
  <c r="F26" i="9"/>
  <c r="AJ26" i="1"/>
  <c r="AB22" i="1"/>
  <c r="Z33" i="1"/>
  <c r="F15" i="16"/>
  <c r="X15" i="1"/>
  <c r="L53" i="18"/>
  <c r="D11" i="18"/>
  <c r="F22" i="12"/>
  <c r="P22" i="1"/>
  <c r="F12" i="12"/>
  <c r="P12" i="1"/>
  <c r="F23" i="9"/>
  <c r="AK23" i="1"/>
  <c r="K14" i="3"/>
  <c r="M14" i="3" s="1"/>
  <c r="L28" i="3"/>
  <c r="D14" i="3"/>
  <c r="AB5" i="1"/>
  <c r="Z13" i="1"/>
  <c r="F29" i="12"/>
  <c r="Q29" i="1"/>
  <c r="F47" i="13"/>
  <c r="S47" i="1"/>
  <c r="F74" i="15"/>
  <c r="V73" i="1"/>
  <c r="AH19" i="1"/>
  <c r="F19" i="7"/>
  <c r="Z19" i="1"/>
  <c r="F21" i="7"/>
  <c r="AH21" i="1"/>
  <c r="L48" i="9"/>
  <c r="F36" i="7"/>
  <c r="AI36" i="1"/>
  <c r="E13" i="6"/>
  <c r="AG13" i="1" s="1"/>
  <c r="D11" i="6"/>
  <c r="D31" i="6"/>
  <c r="L38" i="6"/>
  <c r="E21" i="6"/>
  <c r="AG21" i="1" s="1"/>
  <c r="AF30" i="1"/>
  <c r="F30" i="6"/>
  <c r="S33" i="3"/>
  <c r="L18" i="3"/>
  <c r="D23" i="3"/>
  <c r="K18" i="3"/>
  <c r="M18" i="3" s="1"/>
  <c r="K23" i="3"/>
  <c r="D18" i="3"/>
  <c r="F9" i="3"/>
  <c r="Z9" i="1"/>
  <c r="AI34" i="1"/>
  <c r="F34" i="7"/>
  <c r="E20" i="6"/>
  <c r="AB8" i="1"/>
  <c r="D16" i="4"/>
  <c r="E23" i="4"/>
  <c r="AC23" i="1" s="1"/>
  <c r="E4" i="4"/>
  <c r="E10" i="4"/>
  <c r="AC10" i="1" s="1"/>
  <c r="AH6" i="1"/>
  <c r="F6" i="7"/>
  <c r="M28" i="3"/>
  <c r="F5" i="6"/>
  <c r="AF5" i="1"/>
  <c r="D4" i="4"/>
  <c r="F12" i="5"/>
  <c r="AD12" i="1"/>
  <c r="E39" i="5"/>
  <c r="E7" i="5"/>
  <c r="AE7" i="1" s="1"/>
  <c r="E19" i="5"/>
  <c r="AE19" i="1" s="1"/>
  <c r="E5" i="4"/>
  <c r="AC5" i="1" s="1"/>
  <c r="F22" i="16"/>
  <c r="Y22" i="1"/>
  <c r="F35" i="16"/>
  <c r="Y35" i="1"/>
  <c r="E36" i="19"/>
  <c r="E18" i="19"/>
  <c r="E6" i="19"/>
  <c r="E22" i="19"/>
  <c r="E44" i="19"/>
  <c r="F11" i="12"/>
  <c r="P11" i="1"/>
  <c r="F19" i="12"/>
  <c r="P19" i="1"/>
  <c r="Z29" i="1"/>
  <c r="AT30" i="1"/>
  <c r="E67" i="21"/>
  <c r="AU67" i="1" s="1"/>
  <c r="E65" i="21"/>
  <c r="AU65" i="1" s="1"/>
  <c r="E12" i="21"/>
  <c r="D9" i="21"/>
  <c r="D25" i="21"/>
  <c r="E6" i="21"/>
  <c r="AU6" i="1" s="1"/>
  <c r="E35" i="21"/>
  <c r="AU35" i="1" s="1"/>
  <c r="E24" i="21"/>
  <c r="AU24" i="1" s="1"/>
  <c r="D6" i="21"/>
  <c r="D24" i="21"/>
  <c r="E45" i="21"/>
  <c r="AU45" i="1" s="1"/>
  <c r="D26" i="21"/>
  <c r="D45" i="21"/>
  <c r="D18" i="21"/>
  <c r="E9" i="21"/>
  <c r="AU9" i="1" s="1"/>
  <c r="E66" i="21"/>
  <c r="E17" i="21"/>
  <c r="AU17" i="1" s="1"/>
  <c r="D62" i="21"/>
  <c r="D27" i="21"/>
  <c r="F60" i="20"/>
  <c r="AR60" i="1"/>
  <c r="F14" i="13"/>
  <c r="F106" i="13" s="1"/>
  <c r="S14" i="1"/>
  <c r="F46" i="19"/>
  <c r="AQ46" i="1"/>
  <c r="F20" i="14"/>
  <c r="U20" i="1"/>
  <c r="F17" i="20"/>
  <c r="AR17" i="1"/>
  <c r="F4" i="7"/>
  <c r="AH4" i="1"/>
  <c r="E4" i="6"/>
  <c r="D23" i="6"/>
  <c r="D33" i="6"/>
  <c r="D8" i="6"/>
  <c r="F23" i="7"/>
  <c r="AI23" i="1"/>
  <c r="AB6" i="1"/>
  <c r="F13" i="4"/>
  <c r="AB13" i="1"/>
  <c r="D8" i="21"/>
  <c r="D33" i="21"/>
  <c r="D69" i="20"/>
  <c r="D99" i="20"/>
  <c r="D89" i="20"/>
  <c r="D59" i="20"/>
  <c r="D79" i="20"/>
  <c r="AT43" i="1"/>
  <c r="F23" i="14"/>
  <c r="T23" i="1"/>
  <c r="D88" i="20"/>
  <c r="E42" i="20"/>
  <c r="AS42" i="1" s="1"/>
  <c r="D18" i="20"/>
  <c r="E92" i="20"/>
  <c r="AS92" i="1" s="1"/>
  <c r="E12" i="20"/>
  <c r="AS12" i="1" s="1"/>
  <c r="E32" i="20"/>
  <c r="AS32" i="1" s="1"/>
  <c r="E82" i="20"/>
  <c r="AS82" i="1" s="1"/>
  <c r="E72" i="20"/>
  <c r="AS72" i="1" s="1"/>
  <c r="E52" i="20"/>
  <c r="AS52" i="1" s="1"/>
  <c r="E22" i="20"/>
  <c r="AS22" i="1" s="1"/>
  <c r="D68" i="20"/>
  <c r="D48" i="20"/>
  <c r="D96" i="20"/>
  <c r="E50" i="20"/>
  <c r="E100" i="20"/>
  <c r="AS100" i="1" s="1"/>
  <c r="E80" i="20"/>
  <c r="AS80" i="1" s="1"/>
  <c r="E70" i="20"/>
  <c r="AS70" i="1" s="1"/>
  <c r="E40" i="20"/>
  <c r="AS40" i="1" s="1"/>
  <c r="D36" i="20"/>
  <c r="D86" i="20"/>
  <c r="D76" i="20"/>
  <c r="D56" i="20"/>
  <c r="D16" i="20"/>
  <c r="E90" i="20"/>
  <c r="AS90" i="1" s="1"/>
  <c r="D66" i="20"/>
  <c r="D46" i="20"/>
  <c r="E30" i="20"/>
  <c r="D26" i="20"/>
  <c r="E10" i="20"/>
  <c r="D7" i="20"/>
  <c r="E20" i="20"/>
  <c r="AS20" i="1" s="1"/>
  <c r="E60" i="20"/>
  <c r="AS60" i="1" s="1"/>
  <c r="E10" i="18"/>
  <c r="F14" i="10"/>
  <c r="AL14" i="1"/>
  <c r="F77" i="20"/>
  <c r="AR77" i="1"/>
  <c r="F18" i="14"/>
  <c r="T18" i="1"/>
  <c r="F7" i="14"/>
  <c r="T7" i="1"/>
  <c r="F17" i="7"/>
  <c r="AH17" i="1"/>
  <c r="Z16" i="1"/>
  <c r="F9" i="9"/>
  <c r="AK9" i="1"/>
  <c r="F15" i="6"/>
  <c r="AF15" i="1"/>
  <c r="E28" i="3"/>
  <c r="AA28" i="1" s="1"/>
  <c r="D26" i="3"/>
  <c r="L16" i="3"/>
  <c r="L13" i="3"/>
  <c r="M13" i="3" s="1"/>
  <c r="E11" i="3"/>
  <c r="AA11" i="1" s="1"/>
  <c r="D8" i="3"/>
  <c r="K5" i="3"/>
  <c r="M5" i="3" s="1"/>
  <c r="D31" i="3"/>
  <c r="D22" i="3"/>
  <c r="K17" i="3"/>
  <c r="M17" i="3" s="1"/>
  <c r="D10" i="3"/>
  <c r="K10" i="3"/>
  <c r="M10" i="3" s="1"/>
  <c r="D5" i="3"/>
  <c r="L21" i="3"/>
  <c r="D17" i="3"/>
  <c r="V12" i="3"/>
  <c r="L11" i="3"/>
  <c r="K8" i="3"/>
  <c r="M8" i="3" s="1"/>
  <c r="L32" i="3"/>
  <c r="M32" i="3" s="1"/>
  <c r="K31" i="3"/>
  <c r="K22" i="3"/>
  <c r="M22" i="3" s="1"/>
  <c r="E21" i="3"/>
  <c r="AA21" i="1" s="1"/>
  <c r="V5" i="3"/>
  <c r="V6" i="3" s="1"/>
  <c r="E14" i="3" s="1"/>
  <c r="AA14" i="1" s="1"/>
  <c r="K29" i="3"/>
  <c r="E32" i="3"/>
  <c r="AA32" i="1" s="1"/>
  <c r="E16" i="3"/>
  <c r="AA16" i="1" s="1"/>
  <c r="E13" i="3"/>
  <c r="AA13" i="1" s="1"/>
  <c r="K26" i="3"/>
  <c r="D24" i="3"/>
  <c r="E107" i="13"/>
  <c r="AI4" i="1"/>
  <c r="D37" i="6"/>
  <c r="D17" i="6"/>
  <c r="D19" i="4"/>
  <c r="AB21" i="1"/>
  <c r="E14" i="4"/>
  <c r="AC14" i="1" s="1"/>
  <c r="E12" i="4"/>
  <c r="AC12" i="1" s="1"/>
  <c r="E18" i="4"/>
  <c r="AC18" i="1" s="1"/>
  <c r="E33" i="3"/>
  <c r="D4" i="3"/>
  <c r="K33" i="3"/>
  <c r="K27" i="3"/>
  <c r="M27" i="3" s="1"/>
  <c r="E26" i="3"/>
  <c r="AA26" i="1" s="1"/>
  <c r="K20" i="3"/>
  <c r="F11" i="7"/>
  <c r="Z32" i="1"/>
  <c r="F32" i="3"/>
  <c r="E16" i="4"/>
  <c r="AC16" i="1" s="1"/>
  <c r="E23" i="5"/>
  <c r="AE23" i="1" s="1"/>
  <c r="F32" i="5"/>
  <c r="AD32" i="1"/>
  <c r="E28" i="5"/>
  <c r="AE28" i="1" s="1"/>
  <c r="E18" i="5"/>
  <c r="AE18" i="1" s="1"/>
  <c r="D19" i="5"/>
  <c r="E9" i="5"/>
  <c r="AE9" i="1" s="1"/>
  <c r="Q107" i="1"/>
  <c r="D17" i="21"/>
  <c r="E69" i="21"/>
  <c r="D13" i="18"/>
  <c r="E13" i="18"/>
  <c r="AO13" i="1" s="1"/>
  <c r="F16" i="9"/>
  <c r="AJ16" i="1"/>
  <c r="D41" i="19"/>
  <c r="E41" i="19"/>
  <c r="AQ41" i="1" s="1"/>
  <c r="F4" i="16"/>
  <c r="F15" i="14"/>
  <c r="U15" i="1"/>
  <c r="F7" i="7"/>
  <c r="AH7" i="1"/>
  <c r="F4" i="6"/>
  <c r="AF4" i="1"/>
  <c r="E63" i="21"/>
  <c r="AU63" i="1" s="1"/>
  <c r="E13" i="21"/>
  <c r="AU13" i="1" s="1"/>
  <c r="E4" i="21"/>
  <c r="AR20" i="1"/>
  <c r="E32" i="15"/>
  <c r="D63" i="15"/>
  <c r="F22" i="21"/>
  <c r="AT22" i="1"/>
  <c r="F12" i="9"/>
  <c r="AK12" i="1"/>
  <c r="F57" i="20"/>
  <c r="AR57" i="1"/>
  <c r="D45" i="19"/>
  <c r="D25" i="19"/>
  <c r="E29" i="19"/>
  <c r="AQ29" i="1" s="1"/>
  <c r="D29" i="19"/>
  <c r="E9" i="19"/>
  <c r="AQ9" i="1" s="1"/>
  <c r="E25" i="19"/>
  <c r="AQ25" i="1" s="1"/>
  <c r="D9" i="19"/>
  <c r="E5" i="19"/>
  <c r="AQ5" i="1" s="1"/>
  <c r="D5" i="19"/>
  <c r="E49" i="19"/>
  <c r="AQ49" i="1" s="1"/>
  <c r="E39" i="19"/>
  <c r="AQ39" i="1" s="1"/>
  <c r="E15" i="19"/>
  <c r="AQ15" i="1" s="1"/>
  <c r="D49" i="19"/>
  <c r="E45" i="19"/>
  <c r="AQ45" i="1" s="1"/>
  <c r="D39" i="19"/>
  <c r="E35" i="19"/>
  <c r="AQ35" i="1" s="1"/>
  <c r="E19" i="19"/>
  <c r="AQ19" i="1" s="1"/>
  <c r="D15" i="19"/>
  <c r="D19" i="19"/>
  <c r="D35" i="19"/>
  <c r="F30" i="12"/>
  <c r="P30" i="1"/>
  <c r="F21" i="14"/>
  <c r="T21" i="1"/>
  <c r="E105" i="15"/>
  <c r="F10" i="15"/>
  <c r="W10" i="1"/>
  <c r="F5" i="7"/>
  <c r="AH5" i="1"/>
  <c r="D27" i="6"/>
  <c r="E30" i="21"/>
  <c r="AU30" i="1" s="1"/>
  <c r="E56" i="21"/>
  <c r="E16" i="21"/>
  <c r="D7" i="21"/>
  <c r="D31" i="21"/>
  <c r="D75" i="20"/>
  <c r="D35" i="20"/>
  <c r="D65" i="20"/>
  <c r="D25" i="20"/>
  <c r="D95" i="20"/>
  <c r="D85" i="20"/>
  <c r="D55" i="20"/>
  <c r="D6" i="20"/>
  <c r="D15" i="20"/>
  <c r="D45" i="20"/>
  <c r="F17" i="10"/>
  <c r="AM17" i="1"/>
  <c r="F7" i="19"/>
  <c r="AP7" i="1"/>
  <c r="F75" i="21"/>
  <c r="AU75" i="1"/>
  <c r="AT28" i="1"/>
  <c r="D63" i="21"/>
  <c r="D58" i="21"/>
  <c r="O20" i="21"/>
  <c r="D19" i="21"/>
  <c r="O13" i="21"/>
  <c r="D11" i="21"/>
  <c r="O4" i="21"/>
  <c r="O8" i="21" s="1"/>
  <c r="D67" i="21"/>
  <c r="D65" i="21"/>
  <c r="E49" i="21"/>
  <c r="O21" i="21"/>
  <c r="E81" i="21"/>
  <c r="E78" i="21"/>
  <c r="L66" i="21"/>
  <c r="E73" i="21" s="1"/>
  <c r="AU73" i="1" s="1"/>
  <c r="E57" i="21"/>
  <c r="D53" i="21"/>
  <c r="D68" i="21"/>
  <c r="D52" i="21"/>
  <c r="D38" i="21"/>
  <c r="D10" i="21"/>
  <c r="O5" i="21"/>
  <c r="L86" i="21"/>
  <c r="E50" i="21"/>
  <c r="AU50" i="1" s="1"/>
  <c r="O12" i="21"/>
  <c r="O16" i="21" s="1"/>
  <c r="D72" i="21"/>
  <c r="D50" i="21"/>
  <c r="E22" i="21"/>
  <c r="AU22" i="1" s="1"/>
  <c r="D23" i="21"/>
  <c r="D20" i="21"/>
  <c r="E47" i="19"/>
  <c r="AQ47" i="1" s="1"/>
  <c r="D47" i="19"/>
  <c r="F28" i="7"/>
  <c r="AH28" i="1"/>
  <c r="AF21" i="1"/>
  <c r="F21" i="6"/>
  <c r="D94" i="20"/>
  <c r="D92" i="20"/>
  <c r="D54" i="20"/>
  <c r="D52" i="20"/>
  <c r="E46" i="20"/>
  <c r="AS46" i="1" s="1"/>
  <c r="E81" i="20"/>
  <c r="AS81" i="1" s="1"/>
  <c r="D102" i="20"/>
  <c r="E86" i="20"/>
  <c r="AS86" i="1" s="1"/>
  <c r="E76" i="20"/>
  <c r="AS76" i="1" s="1"/>
  <c r="D62" i="20"/>
  <c r="E56" i="20"/>
  <c r="AS56" i="1" s="1"/>
  <c r="D42" i="20"/>
  <c r="E16" i="20"/>
  <c r="AS16" i="1" s="1"/>
  <c r="E51" i="20"/>
  <c r="AS51" i="1" s="1"/>
  <c r="D44" i="20"/>
  <c r="E31" i="20"/>
  <c r="AS31" i="1" s="1"/>
  <c r="E21" i="20"/>
  <c r="AS21" i="1" s="1"/>
  <c r="E11" i="20"/>
  <c r="AS11" i="1" s="1"/>
  <c r="E7" i="20"/>
  <c r="AS7" i="1" s="1"/>
  <c r="E66" i="20"/>
  <c r="AS66" i="1" s="1"/>
  <c r="E41" i="20"/>
  <c r="AS41" i="1" s="1"/>
  <c r="D14" i="20"/>
  <c r="E71" i="20"/>
  <c r="AS71" i="1" s="1"/>
  <c r="E62" i="20"/>
  <c r="AS62" i="1" s="1"/>
  <c r="D34" i="20"/>
  <c r="D24" i="20"/>
  <c r="E26" i="20"/>
  <c r="AS26" i="1" s="1"/>
  <c r="D84" i="20"/>
  <c r="D74" i="20"/>
  <c r="E36" i="20"/>
  <c r="AS36" i="1" s="1"/>
  <c r="E101" i="20"/>
  <c r="AS101" i="1" s="1"/>
  <c r="E91" i="20"/>
  <c r="AS91" i="1" s="1"/>
  <c r="D64" i="20"/>
  <c r="D32" i="20"/>
  <c r="D12" i="20"/>
  <c r="D82" i="20"/>
  <c r="E96" i="20"/>
  <c r="AS96" i="1" s="1"/>
  <c r="D22" i="20"/>
  <c r="D5" i="20"/>
  <c r="D72" i="20"/>
  <c r="D47" i="21"/>
  <c r="E37" i="21"/>
  <c r="E25" i="21"/>
  <c r="AU25" i="1" s="1"/>
  <c r="E71" i="21"/>
  <c r="D42" i="21"/>
  <c r="E7" i="21"/>
  <c r="AU7" i="1" s="1"/>
  <c r="E47" i="21"/>
  <c r="AU47" i="1" s="1"/>
  <c r="E70" i="21"/>
  <c r="AU70" i="1" s="1"/>
  <c r="D63" i="20"/>
  <c r="E88" i="20"/>
  <c r="AS88" i="1" s="1"/>
  <c r="E28" i="20"/>
  <c r="F80" i="21"/>
  <c r="AU80" i="1"/>
  <c r="F21" i="16"/>
  <c r="X21" i="1"/>
  <c r="F24" i="16"/>
  <c r="Y24" i="1"/>
  <c r="F16" i="16"/>
  <c r="Y16" i="1"/>
  <c r="F17" i="14"/>
  <c r="U17" i="1"/>
  <c r="F38" i="10"/>
  <c r="AM38" i="1"/>
  <c r="F83" i="20"/>
  <c r="AR83" i="1"/>
  <c r="F87" i="20"/>
  <c r="AR87" i="1"/>
  <c r="L43" i="19"/>
  <c r="E12" i="19"/>
  <c r="F30" i="19"/>
  <c r="AQ30" i="1"/>
  <c r="F10" i="19"/>
  <c r="AQ10" i="1"/>
  <c r="F20" i="16"/>
  <c r="Y20" i="1"/>
  <c r="F15" i="18"/>
  <c r="AN15" i="1"/>
  <c r="E24" i="14"/>
  <c r="E25" i="14"/>
  <c r="U4" i="1"/>
  <c r="F8" i="12"/>
  <c r="P8" i="1"/>
  <c r="F38" i="12"/>
  <c r="P38" i="1"/>
  <c r="E55" i="10"/>
  <c r="F29" i="21"/>
  <c r="AT29" i="1"/>
  <c r="F10" i="14"/>
  <c r="U10" i="1"/>
  <c r="D24" i="14"/>
  <c r="F70" i="13"/>
  <c r="S70" i="1"/>
  <c r="F26" i="10"/>
  <c r="AL26" i="1"/>
  <c r="F37" i="20"/>
  <c r="AR37" i="1"/>
  <c r="F24" i="7"/>
  <c r="AI24" i="1"/>
  <c r="L8" i="3"/>
  <c r="D22" i="7"/>
  <c r="L28" i="7"/>
  <c r="E16" i="7"/>
  <c r="E35" i="7"/>
  <c r="AI35" i="1" s="1"/>
  <c r="E33" i="7"/>
  <c r="AI33" i="1" s="1"/>
  <c r="Z7" i="1"/>
  <c r="F10" i="7"/>
  <c r="AH10" i="1"/>
  <c r="AH13" i="1"/>
  <c r="F13" i="7"/>
  <c r="E18" i="6"/>
  <c r="AG18" i="1" s="1"/>
  <c r="E6" i="6"/>
  <c r="E35" i="6"/>
  <c r="AG35" i="1" s="1"/>
  <c r="D32" i="6"/>
  <c r="D16" i="6"/>
  <c r="D34" i="6"/>
  <c r="M16" i="3"/>
  <c r="F14" i="14"/>
  <c r="F12" i="7"/>
  <c r="AH12" i="1"/>
  <c r="E28" i="6"/>
  <c r="AG28" i="1" s="1"/>
  <c r="E38" i="6"/>
  <c r="D17" i="4"/>
  <c r="D24" i="4"/>
  <c r="E8" i="4"/>
  <c r="AC8" i="1" s="1"/>
  <c r="D15" i="4"/>
  <c r="D10" i="4"/>
  <c r="D23" i="4"/>
  <c r="E17" i="4"/>
  <c r="AC17" i="1" s="1"/>
  <c r="K4" i="3"/>
  <c r="F9" i="7"/>
  <c r="F12" i="6"/>
  <c r="AF12" i="1"/>
  <c r="AB18" i="1"/>
  <c r="F8" i="5"/>
  <c r="AD8" i="1"/>
  <c r="E36" i="5"/>
  <c r="AE36" i="1" s="1"/>
  <c r="E15" i="5"/>
  <c r="AE15" i="1" s="1"/>
  <c r="D38" i="5"/>
  <c r="E25" i="5"/>
  <c r="AE25" i="1" s="1"/>
  <c r="Q106" i="1"/>
  <c r="F13" i="12"/>
  <c r="F41" i="12" s="1"/>
  <c r="P13" i="1"/>
  <c r="F80" i="20"/>
  <c r="AR80" i="1"/>
  <c r="F6" i="16"/>
  <c r="Y6" i="1"/>
  <c r="F45" i="13"/>
  <c r="F107" i="13" s="1"/>
  <c r="S45" i="1"/>
  <c r="F36" i="21"/>
  <c r="AU36" i="1"/>
  <c r="F16" i="14"/>
  <c r="T16" i="1"/>
  <c r="F27" i="20"/>
  <c r="AR27" i="1"/>
  <c r="F28" i="9"/>
  <c r="AJ28" i="1"/>
  <c r="F27" i="5"/>
  <c r="AD27" i="1"/>
  <c r="F40" i="20"/>
  <c r="AR40" i="1"/>
  <c r="D54" i="16"/>
  <c r="F35" i="12"/>
  <c r="P35" i="1"/>
  <c r="F38" i="7"/>
  <c r="AH38" i="1"/>
  <c r="F32" i="7"/>
  <c r="AH32" i="1"/>
  <c r="V13" i="3"/>
  <c r="E24" i="3" s="1"/>
  <c r="AA24" i="1" s="1"/>
  <c r="E10" i="6"/>
  <c r="AG10" i="1" s="1"/>
  <c r="AB11" i="1"/>
  <c r="AF26" i="1"/>
  <c r="F26" i="6"/>
  <c r="D71" i="20"/>
  <c r="E65" i="20"/>
  <c r="AS65" i="1" s="1"/>
  <c r="D41" i="20"/>
  <c r="E85" i="20"/>
  <c r="AS85" i="1" s="1"/>
  <c r="E61" i="20"/>
  <c r="AS61" i="1" s="1"/>
  <c r="E95" i="20"/>
  <c r="AS95" i="1" s="1"/>
  <c r="E6" i="20"/>
  <c r="AS6" i="1" s="1"/>
  <c r="E4" i="20"/>
  <c r="D81" i="20"/>
  <c r="D51" i="20"/>
  <c r="D31" i="20"/>
  <c r="E75" i="20"/>
  <c r="AS75" i="1" s="1"/>
  <c r="D61" i="20"/>
  <c r="D21" i="20"/>
  <c r="D11" i="20"/>
  <c r="E45" i="20"/>
  <c r="AS45" i="1" s="1"/>
  <c r="E35" i="20"/>
  <c r="AS35" i="1" s="1"/>
  <c r="E15" i="20"/>
  <c r="AS15" i="1" s="1"/>
  <c r="D101" i="20"/>
  <c r="E25" i="20"/>
  <c r="AS25" i="1" s="1"/>
  <c r="D91" i="20"/>
  <c r="E55" i="20"/>
  <c r="AS55" i="1" s="1"/>
  <c r="F33" i="16"/>
  <c r="X33" i="1"/>
  <c r="F41" i="16"/>
  <c r="X41" i="1"/>
  <c r="F10" i="9"/>
  <c r="AK10" i="1"/>
  <c r="F67" i="20"/>
  <c r="AR67" i="1"/>
  <c r="E20" i="19"/>
  <c r="E11" i="19"/>
  <c r="AQ11" i="1" s="1"/>
  <c r="E32" i="19"/>
  <c r="D11" i="19"/>
  <c r="E42" i="19"/>
  <c r="F17" i="12"/>
  <c r="P17" i="1"/>
  <c r="F9" i="14"/>
  <c r="T9" i="1"/>
  <c r="F32" i="12"/>
  <c r="P32" i="1"/>
  <c r="F22" i="14"/>
  <c r="U22" i="1"/>
  <c r="F100" i="20"/>
  <c r="AR100" i="1"/>
  <c r="F27" i="12"/>
  <c r="P27" i="1"/>
  <c r="D23" i="20"/>
  <c r="E9" i="20"/>
  <c r="AS9" i="1" s="1"/>
  <c r="E18" i="20"/>
  <c r="AS18" i="1" s="1"/>
  <c r="D38" i="20"/>
  <c r="F90" i="20"/>
  <c r="AR90" i="1"/>
  <c r="E9" i="18"/>
  <c r="AO9" i="1" s="1"/>
  <c r="D9" i="18"/>
  <c r="F29" i="16"/>
  <c r="Y29" i="1"/>
  <c r="F32" i="16"/>
  <c r="Y32" i="1"/>
  <c r="F100" i="13"/>
  <c r="S100" i="1"/>
  <c r="E54" i="9"/>
  <c r="F4" i="9"/>
  <c r="AK4" i="1"/>
  <c r="E24" i="19"/>
  <c r="E4" i="19"/>
  <c r="F11" i="16"/>
  <c r="Y11" i="1"/>
  <c r="F8" i="14"/>
  <c r="T8" i="1"/>
  <c r="D25" i="14"/>
  <c r="D39" i="20"/>
  <c r="D49" i="20"/>
  <c r="D29" i="20"/>
  <c r="D9" i="20"/>
  <c r="D19" i="20"/>
  <c r="F25" i="12"/>
  <c r="P25" i="1"/>
  <c r="F82" i="21"/>
  <c r="AU82" i="1"/>
  <c r="L106" i="21"/>
  <c r="E33" i="21" s="1"/>
  <c r="AU33" i="1" s="1"/>
  <c r="L116" i="21"/>
  <c r="L111" i="21"/>
  <c r="D43" i="19"/>
  <c r="E40" i="19"/>
  <c r="E43" i="19"/>
  <c r="AQ43" i="1" s="1"/>
  <c r="F26" i="16"/>
  <c r="Y26" i="1"/>
  <c r="F18" i="12"/>
  <c r="P18" i="1"/>
  <c r="E53" i="21"/>
  <c r="AU53" i="1" s="1"/>
  <c r="E62" i="21"/>
  <c r="AU62" i="1" s="1"/>
  <c r="E74" i="21"/>
  <c r="E79" i="21"/>
  <c r="D73" i="21"/>
  <c r="E59" i="21"/>
  <c r="E72" i="21"/>
  <c r="AU72" i="1" s="1"/>
  <c r="E18" i="21"/>
  <c r="AU18" i="1" s="1"/>
  <c r="D48" i="21"/>
  <c r="E5" i="21"/>
  <c r="E64" i="21"/>
  <c r="E41" i="21"/>
  <c r="E27" i="21"/>
  <c r="AU27" i="1" s="1"/>
  <c r="D73" i="20"/>
  <c r="D33" i="20"/>
  <c r="D4" i="20"/>
  <c r="E58" i="20"/>
  <c r="E8" i="20"/>
  <c r="D13" i="20"/>
  <c r="E78" i="20"/>
  <c r="F70" i="20"/>
  <c r="AR70" i="1"/>
  <c r="I26" i="20"/>
  <c r="L65" i="20"/>
  <c r="L66" i="20" s="1"/>
  <c r="E103" i="20" s="1"/>
  <c r="L60" i="20"/>
  <c r="L61" i="20" s="1"/>
  <c r="L68" i="20" s="1"/>
  <c r="D5" i="18"/>
  <c r="E7" i="18"/>
  <c r="F52" i="16"/>
  <c r="Y52" i="1"/>
  <c r="F40" i="21"/>
  <c r="AU40" i="1"/>
  <c r="D55" i="16"/>
  <c r="F27" i="16"/>
  <c r="X27" i="1"/>
  <c r="F13" i="16"/>
  <c r="Y13" i="1"/>
  <c r="F13" i="14"/>
  <c r="T13" i="1"/>
  <c r="F33" i="12"/>
  <c r="P33" i="1"/>
  <c r="F29" i="10"/>
  <c r="AL29" i="1"/>
  <c r="F98" i="20"/>
  <c r="AS98" i="1"/>
  <c r="D27" i="19"/>
  <c r="E27" i="19"/>
  <c r="AQ27" i="1" s="1"/>
  <c r="F39" i="16"/>
  <c r="Y39" i="1"/>
  <c r="F4" i="14"/>
  <c r="AT14" i="1"/>
  <c r="F12" i="14"/>
  <c r="U12" i="1"/>
  <c r="E41" i="12"/>
  <c r="D41" i="12"/>
  <c r="F18" i="10"/>
  <c r="F55" i="10" s="1"/>
  <c r="AL18" i="1"/>
  <c r="F6" i="12"/>
  <c r="F42" i="12" s="1"/>
  <c r="AH26" i="1"/>
  <c r="F26" i="7"/>
  <c r="F22" i="9"/>
  <c r="AJ22" i="1"/>
  <c r="F25" i="6"/>
  <c r="AF25" i="1"/>
  <c r="F19" i="14"/>
  <c r="F35" i="7"/>
  <c r="AH35" i="1"/>
  <c r="F10" i="6"/>
  <c r="AF10" i="1"/>
  <c r="E31" i="3"/>
  <c r="AA31" i="1" s="1"/>
  <c r="D25" i="3"/>
  <c r="E23" i="3"/>
  <c r="AA23" i="1" s="1"/>
  <c r="K21" i="3"/>
  <c r="M21" i="3" s="1"/>
  <c r="L20" i="3"/>
  <c r="L15" i="3"/>
  <c r="E10" i="3"/>
  <c r="AA10" i="1" s="1"/>
  <c r="D30" i="3"/>
  <c r="K15" i="3"/>
  <c r="D11" i="3"/>
  <c r="K30" i="3"/>
  <c r="M30" i="3" s="1"/>
  <c r="E7" i="3"/>
  <c r="AA7" i="1" s="1"/>
  <c r="L31" i="3"/>
  <c r="K25" i="3"/>
  <c r="M25" i="3" s="1"/>
  <c r="E20" i="3"/>
  <c r="AA20" i="1" s="1"/>
  <c r="D6" i="3"/>
  <c r="L26" i="3"/>
  <c r="K11" i="3"/>
  <c r="M11" i="3" s="1"/>
  <c r="D15" i="3"/>
  <c r="K9" i="3"/>
  <c r="M9" i="3" s="1"/>
  <c r="K6" i="3"/>
  <c r="K24" i="3"/>
  <c r="M24" i="3" s="1"/>
  <c r="E19" i="3"/>
  <c r="F19" i="3" s="1"/>
  <c r="L23" i="3"/>
  <c r="D21" i="3"/>
  <c r="E29" i="3"/>
  <c r="F29" i="3" s="1"/>
  <c r="F33" i="7"/>
  <c r="AH33" i="1"/>
  <c r="F31" i="7"/>
  <c r="AH31" i="1"/>
  <c r="D13" i="6"/>
  <c r="D20" i="4"/>
  <c r="D7" i="4"/>
  <c r="E24" i="4"/>
  <c r="AC24" i="1" s="1"/>
  <c r="E21" i="4"/>
  <c r="AC21" i="1" s="1"/>
  <c r="E22" i="4"/>
  <c r="AC22" i="1" s="1"/>
  <c r="E19" i="4"/>
  <c r="AC19" i="1" s="1"/>
  <c r="E9" i="4"/>
  <c r="AC9" i="1" s="1"/>
  <c r="E6" i="4"/>
  <c r="AC6" i="1" s="1"/>
  <c r="E11" i="4"/>
  <c r="AC11" i="1" s="1"/>
  <c r="E15" i="4"/>
  <c r="AC15" i="1" s="1"/>
  <c r="L43" i="4"/>
  <c r="AA12" i="1"/>
  <c r="F12" i="3"/>
  <c r="F39" i="7"/>
  <c r="AI39" i="1"/>
  <c r="D20" i="3"/>
  <c r="F18" i="7"/>
  <c r="AH18" i="1"/>
  <c r="E4" i="5"/>
  <c r="D4" i="5"/>
  <c r="D17" i="5"/>
  <c r="F26" i="12"/>
  <c r="D7" i="5"/>
  <c r="D36" i="5"/>
  <c r="D11" i="5"/>
  <c r="D21" i="5"/>
  <c r="D16" i="5"/>
  <c r="D26" i="5"/>
  <c r="D31" i="5"/>
  <c r="E13" i="5"/>
  <c r="AE13" i="1" s="1"/>
  <c r="D22" i="5"/>
  <c r="D25" i="5"/>
  <c r="D15" i="5"/>
  <c r="D6" i="5"/>
  <c r="D35" i="5"/>
  <c r="L38" i="5"/>
  <c r="D10" i="5"/>
  <c r="D30" i="5"/>
  <c r="D20" i="5"/>
  <c r="F24" i="19" l="1"/>
  <c r="AQ24" i="1"/>
  <c r="F42" i="19"/>
  <c r="AQ42" i="1"/>
  <c r="F31" i="20"/>
  <c r="AR31" i="1"/>
  <c r="F15" i="4"/>
  <c r="AB15" i="1"/>
  <c r="AF32" i="1"/>
  <c r="F32" i="6"/>
  <c r="D29" i="7"/>
  <c r="F16" i="7"/>
  <c r="AI16" i="1"/>
  <c r="F63" i="20"/>
  <c r="AR63" i="1"/>
  <c r="F34" i="20"/>
  <c r="AR34" i="1"/>
  <c r="F102" i="20"/>
  <c r="AR102" i="1"/>
  <c r="F92" i="20"/>
  <c r="AR92" i="1"/>
  <c r="F47" i="19"/>
  <c r="AP47" i="1"/>
  <c r="F72" i="21"/>
  <c r="AT72" i="1"/>
  <c r="F38" i="21"/>
  <c r="AT38" i="1"/>
  <c r="F78" i="21"/>
  <c r="AU78" i="1"/>
  <c r="E61" i="21"/>
  <c r="E42" i="21"/>
  <c r="AU42" i="1" s="1"/>
  <c r="E10" i="21"/>
  <c r="AU10" i="1" s="1"/>
  <c r="E14" i="21"/>
  <c r="E31" i="21"/>
  <c r="AU31" i="1" s="1"/>
  <c r="E20" i="21"/>
  <c r="AU20" i="1" s="1"/>
  <c r="F63" i="21"/>
  <c r="AT63" i="1"/>
  <c r="F55" i="20"/>
  <c r="AR55" i="1"/>
  <c r="F75" i="20"/>
  <c r="AR75" i="1"/>
  <c r="AF27" i="1"/>
  <c r="F27" i="6"/>
  <c r="F19" i="19"/>
  <c r="AP19" i="1"/>
  <c r="F49" i="19"/>
  <c r="AP49" i="1"/>
  <c r="F9" i="19"/>
  <c r="AP9" i="1"/>
  <c r="F45" i="19"/>
  <c r="AP45" i="1"/>
  <c r="F41" i="19"/>
  <c r="AP41" i="1"/>
  <c r="F17" i="21"/>
  <c r="AT17" i="1"/>
  <c r="AA33" i="1"/>
  <c r="L33" i="3"/>
  <c r="M33" i="3" s="1"/>
  <c r="F19" i="4"/>
  <c r="AB19" i="1"/>
  <c r="F8" i="3"/>
  <c r="Z8" i="1"/>
  <c r="F66" i="20"/>
  <c r="AR66" i="1"/>
  <c r="F36" i="20"/>
  <c r="AR36" i="1"/>
  <c r="F96" i="20"/>
  <c r="AR96" i="1"/>
  <c r="F88" i="20"/>
  <c r="AR88" i="1"/>
  <c r="F59" i="20"/>
  <c r="AR59" i="1"/>
  <c r="L128" i="21"/>
  <c r="F18" i="21"/>
  <c r="AT18" i="1"/>
  <c r="F6" i="19"/>
  <c r="AQ6" i="1"/>
  <c r="E4" i="3"/>
  <c r="L4" i="3"/>
  <c r="F11" i="6"/>
  <c r="AF11" i="1"/>
  <c r="F11" i="18"/>
  <c r="AN11" i="1"/>
  <c r="F17" i="19"/>
  <c r="AP17" i="1"/>
  <c r="F13" i="5"/>
  <c r="AD13" i="1"/>
  <c r="F70" i="21"/>
  <c r="AT70" i="1"/>
  <c r="F9" i="4"/>
  <c r="F12" i="18"/>
  <c r="AN12" i="1"/>
  <c r="F6" i="5"/>
  <c r="AD6" i="1"/>
  <c r="F20" i="5"/>
  <c r="AD20" i="1"/>
  <c r="F37" i="21"/>
  <c r="AU37" i="1"/>
  <c r="F82" i="20"/>
  <c r="AR82" i="1"/>
  <c r="F42" i="20"/>
  <c r="AR42" i="1"/>
  <c r="F94" i="20"/>
  <c r="AR94" i="1"/>
  <c r="F52" i="21"/>
  <c r="AT52" i="1"/>
  <c r="F81" i="21"/>
  <c r="AU81" i="1"/>
  <c r="F11" i="21"/>
  <c r="AT11" i="1"/>
  <c r="AM106" i="1"/>
  <c r="AM107" i="1"/>
  <c r="AM109" i="1"/>
  <c r="F85" i="20"/>
  <c r="AR85" i="1"/>
  <c r="AT31" i="1"/>
  <c r="F15" i="19"/>
  <c r="AP15" i="1"/>
  <c r="D105" i="15"/>
  <c r="F64" i="15"/>
  <c r="D106" i="15"/>
  <c r="V63" i="1"/>
  <c r="AJ109" i="1"/>
  <c r="AJ106" i="1"/>
  <c r="AJ107" i="1"/>
  <c r="M20" i="3"/>
  <c r="F17" i="6"/>
  <c r="AF17" i="1"/>
  <c r="F24" i="3"/>
  <c r="Z24" i="1"/>
  <c r="F10" i="3"/>
  <c r="Z10" i="1"/>
  <c r="F7" i="20"/>
  <c r="AR7" i="1"/>
  <c r="F48" i="20"/>
  <c r="AR48" i="1"/>
  <c r="F89" i="20"/>
  <c r="AR89" i="1"/>
  <c r="AF8" i="1"/>
  <c r="F8" i="6"/>
  <c r="F27" i="21"/>
  <c r="AT27" i="1"/>
  <c r="F45" i="21"/>
  <c r="AT45" i="1"/>
  <c r="F18" i="19"/>
  <c r="AQ18" i="1"/>
  <c r="D26" i="4"/>
  <c r="D25" i="4"/>
  <c r="AB4" i="1"/>
  <c r="F4" i="4"/>
  <c r="F8" i="4"/>
  <c r="F18" i="3"/>
  <c r="Z18" i="1"/>
  <c r="F22" i="4"/>
  <c r="F13" i="21"/>
  <c r="AT13" i="1"/>
  <c r="F18" i="5"/>
  <c r="AD18" i="1"/>
  <c r="F14" i="6"/>
  <c r="AF14" i="1"/>
  <c r="F35" i="6"/>
  <c r="F29" i="5"/>
  <c r="AD29" i="1"/>
  <c r="F26" i="5"/>
  <c r="AD26" i="1"/>
  <c r="F33" i="20"/>
  <c r="AR33" i="1"/>
  <c r="F9" i="20"/>
  <c r="AR9" i="1"/>
  <c r="AK106" i="1"/>
  <c r="AK108" i="1" s="1"/>
  <c r="AK107" i="1"/>
  <c r="AK109" i="1"/>
  <c r="F51" i="20"/>
  <c r="AR51" i="1"/>
  <c r="F6" i="3"/>
  <c r="Z6" i="1"/>
  <c r="F25" i="14"/>
  <c r="F24" i="14"/>
  <c r="F32" i="19"/>
  <c r="AQ32" i="1"/>
  <c r="F91" i="20"/>
  <c r="AR91" i="1"/>
  <c r="F81" i="20"/>
  <c r="AR81" i="1"/>
  <c r="Q108" i="1"/>
  <c r="K36" i="3"/>
  <c r="M4" i="3"/>
  <c r="F24" i="4"/>
  <c r="AB24" i="1"/>
  <c r="AG6" i="1"/>
  <c r="F6" i="6"/>
  <c r="F42" i="6" s="1"/>
  <c r="F7" i="3"/>
  <c r="F22" i="7"/>
  <c r="AH22" i="1"/>
  <c r="P109" i="1"/>
  <c r="P107" i="1"/>
  <c r="P106" i="1"/>
  <c r="F47" i="21"/>
  <c r="AT47" i="1"/>
  <c r="F12" i="20"/>
  <c r="AR12" i="1"/>
  <c r="F74" i="20"/>
  <c r="AR74" i="1"/>
  <c r="F20" i="21"/>
  <c r="AT20" i="1"/>
  <c r="AT68" i="1"/>
  <c r="F95" i="20"/>
  <c r="AR95" i="1"/>
  <c r="F7" i="21"/>
  <c r="AT7" i="1"/>
  <c r="F32" i="15"/>
  <c r="W32" i="1"/>
  <c r="D42" i="6"/>
  <c r="F37" i="6"/>
  <c r="AF37" i="1"/>
  <c r="M26" i="3"/>
  <c r="AL107" i="1"/>
  <c r="AL106" i="1"/>
  <c r="AL108" i="1" s="1"/>
  <c r="AL109" i="1"/>
  <c r="AS10" i="1"/>
  <c r="F10" i="20"/>
  <c r="F16" i="20"/>
  <c r="AR16" i="1"/>
  <c r="F68" i="20"/>
  <c r="AR68" i="1"/>
  <c r="F99" i="20"/>
  <c r="AR99" i="1"/>
  <c r="F33" i="6"/>
  <c r="AF33" i="1"/>
  <c r="F62" i="21"/>
  <c r="AT62" i="1"/>
  <c r="F26" i="21"/>
  <c r="AT26" i="1"/>
  <c r="F36" i="19"/>
  <c r="AQ36" i="1"/>
  <c r="AG20" i="1"/>
  <c r="F20" i="6"/>
  <c r="M23" i="3"/>
  <c r="F5" i="4"/>
  <c r="X109" i="1"/>
  <c r="X106" i="1"/>
  <c r="X107" i="1"/>
  <c r="F35" i="21"/>
  <c r="AT35" i="1"/>
  <c r="F5" i="5"/>
  <c r="AD5" i="1"/>
  <c r="F12" i="4"/>
  <c r="F22" i="6"/>
  <c r="AF22" i="1"/>
  <c r="F51" i="21"/>
  <c r="AU51" i="1"/>
  <c r="F15" i="5"/>
  <c r="AD15" i="1"/>
  <c r="F5" i="18"/>
  <c r="D16" i="18"/>
  <c r="AN5" i="1"/>
  <c r="D17" i="18"/>
  <c r="F73" i="20"/>
  <c r="AR73" i="1"/>
  <c r="F29" i="20"/>
  <c r="AR29" i="1"/>
  <c r="AD25" i="1"/>
  <c r="F25" i="5"/>
  <c r="Z11" i="1"/>
  <c r="F11" i="3"/>
  <c r="F40" i="19"/>
  <c r="AQ40" i="1"/>
  <c r="F38" i="20"/>
  <c r="AR38" i="1"/>
  <c r="F11" i="20"/>
  <c r="AR11" i="1"/>
  <c r="M15" i="3"/>
  <c r="F103" i="20"/>
  <c r="AS103" i="1"/>
  <c r="AS8" i="1"/>
  <c r="F8" i="20"/>
  <c r="F41" i="21"/>
  <c r="AU41" i="1"/>
  <c r="F59" i="21"/>
  <c r="AU59" i="1"/>
  <c r="F43" i="19"/>
  <c r="AP43" i="1"/>
  <c r="F39" i="20"/>
  <c r="AR39" i="1"/>
  <c r="F21" i="20"/>
  <c r="AR21" i="1"/>
  <c r="E105" i="20"/>
  <c r="E104" i="20"/>
  <c r="AS4" i="1"/>
  <c r="F17" i="4"/>
  <c r="AB17" i="1"/>
  <c r="F12" i="19"/>
  <c r="AQ12" i="1"/>
  <c r="F72" i="20"/>
  <c r="AR72" i="1"/>
  <c r="F32" i="20"/>
  <c r="AR32" i="1"/>
  <c r="F84" i="20"/>
  <c r="AR84" i="1"/>
  <c r="F14" i="20"/>
  <c r="AR14" i="1"/>
  <c r="F62" i="20"/>
  <c r="AR62" i="1"/>
  <c r="F23" i="21"/>
  <c r="AT23" i="1"/>
  <c r="E32" i="21"/>
  <c r="E39" i="21"/>
  <c r="F53" i="21"/>
  <c r="AT53" i="1"/>
  <c r="F49" i="21"/>
  <c r="AU49" i="1"/>
  <c r="F19" i="21"/>
  <c r="AT19" i="1"/>
  <c r="F45" i="20"/>
  <c r="AR45" i="1"/>
  <c r="F25" i="20"/>
  <c r="AR25" i="1"/>
  <c r="F16" i="21"/>
  <c r="AU16" i="1"/>
  <c r="W109" i="1"/>
  <c r="W106" i="1"/>
  <c r="W107" i="1"/>
  <c r="F29" i="19"/>
  <c r="AP29" i="1"/>
  <c r="F19" i="5"/>
  <c r="AD19" i="1"/>
  <c r="AI109" i="1"/>
  <c r="AI106" i="1"/>
  <c r="AI107" i="1"/>
  <c r="F17" i="3"/>
  <c r="Z17" i="1"/>
  <c r="F22" i="3"/>
  <c r="Z22" i="1"/>
  <c r="F26" i="20"/>
  <c r="AR26" i="1"/>
  <c r="F56" i="20"/>
  <c r="AR56" i="1"/>
  <c r="F69" i="20"/>
  <c r="AR69" i="1"/>
  <c r="F23" i="6"/>
  <c r="AF23" i="1"/>
  <c r="S106" i="1"/>
  <c r="S107" i="1"/>
  <c r="S109" i="1"/>
  <c r="F25" i="21"/>
  <c r="AT25" i="1"/>
  <c r="F30" i="21"/>
  <c r="E26" i="4"/>
  <c r="E25" i="4"/>
  <c r="AC4" i="1"/>
  <c r="F14" i="3"/>
  <c r="Z14" i="1"/>
  <c r="AD28" i="1"/>
  <c r="F28" i="5"/>
  <c r="F55" i="21"/>
  <c r="AT55" i="1"/>
  <c r="F28" i="6"/>
  <c r="AF28" i="1"/>
  <c r="F44" i="21"/>
  <c r="AU44" i="1"/>
  <c r="T106" i="1"/>
  <c r="T108" i="1" s="1"/>
  <c r="T109" i="1"/>
  <c r="T107" i="1"/>
  <c r="F20" i="3"/>
  <c r="Z20" i="1"/>
  <c r="F27" i="19"/>
  <c r="AP27" i="1"/>
  <c r="F74" i="21"/>
  <c r="AU74" i="1"/>
  <c r="AD17" i="1"/>
  <c r="F17" i="5"/>
  <c r="L19" i="3"/>
  <c r="M19" i="3" s="1"/>
  <c r="AA19" i="1"/>
  <c r="F78" i="20"/>
  <c r="AS78" i="1"/>
  <c r="F30" i="5"/>
  <c r="AD30" i="1"/>
  <c r="D41" i="5"/>
  <c r="D40" i="5"/>
  <c r="F4" i="5"/>
  <c r="AD4" i="1"/>
  <c r="AB7" i="1"/>
  <c r="F7" i="4"/>
  <c r="F49" i="20"/>
  <c r="AR49" i="1"/>
  <c r="F41" i="20"/>
  <c r="AR41" i="1"/>
  <c r="F10" i="5"/>
  <c r="AD10" i="1"/>
  <c r="E41" i="5"/>
  <c r="E40" i="5"/>
  <c r="AE4" i="1"/>
  <c r="F20" i="4"/>
  <c r="AB20" i="1"/>
  <c r="AD36" i="1"/>
  <c r="F36" i="5"/>
  <c r="F25" i="3"/>
  <c r="Z25" i="1"/>
  <c r="F58" i="20"/>
  <c r="AS58" i="1"/>
  <c r="F64" i="21"/>
  <c r="AU64" i="1"/>
  <c r="F73" i="21"/>
  <c r="AT73" i="1"/>
  <c r="E28" i="21"/>
  <c r="E68" i="21"/>
  <c r="AU68" i="1" s="1"/>
  <c r="F9" i="18"/>
  <c r="AN9" i="1"/>
  <c r="F20" i="19"/>
  <c r="AQ20" i="1"/>
  <c r="F101" i="20"/>
  <c r="AR101" i="1"/>
  <c r="F61" i="20"/>
  <c r="AR61" i="1"/>
  <c r="F71" i="20"/>
  <c r="AR71" i="1"/>
  <c r="AD38" i="1"/>
  <c r="F38" i="5"/>
  <c r="F18" i="4"/>
  <c r="F23" i="4"/>
  <c r="AB23" i="1"/>
  <c r="F38" i="6"/>
  <c r="AG38" i="1"/>
  <c r="F34" i="6"/>
  <c r="AF34" i="1"/>
  <c r="U107" i="1"/>
  <c r="U109" i="1"/>
  <c r="U106" i="1"/>
  <c r="F28" i="20"/>
  <c r="AS28" i="1"/>
  <c r="F42" i="21"/>
  <c r="AT42" i="1"/>
  <c r="F5" i="20"/>
  <c r="AR5" i="1"/>
  <c r="F64" i="20"/>
  <c r="AR64" i="1"/>
  <c r="F44" i="20"/>
  <c r="AR44" i="1"/>
  <c r="F52" i="20"/>
  <c r="AR52" i="1"/>
  <c r="F57" i="21"/>
  <c r="AU57" i="1"/>
  <c r="F65" i="21"/>
  <c r="AT65" i="1"/>
  <c r="O24" i="21"/>
  <c r="E77" i="21" s="1"/>
  <c r="F15" i="20"/>
  <c r="AR15" i="1"/>
  <c r="F65" i="20"/>
  <c r="AR65" i="1"/>
  <c r="F56" i="21"/>
  <c r="AU56" i="1"/>
  <c r="E106" i="15"/>
  <c r="F39" i="19"/>
  <c r="AP39" i="1"/>
  <c r="F5" i="19"/>
  <c r="D55" i="19"/>
  <c r="D54" i="19"/>
  <c r="AP5" i="1"/>
  <c r="F20" i="20"/>
  <c r="F55" i="16"/>
  <c r="F54" i="16"/>
  <c r="F13" i="18"/>
  <c r="AN13" i="1"/>
  <c r="E40" i="7"/>
  <c r="M31" i="3"/>
  <c r="Z31" i="1"/>
  <c r="F31" i="3"/>
  <c r="Z26" i="1"/>
  <c r="F26" i="3"/>
  <c r="F16" i="3"/>
  <c r="F10" i="18"/>
  <c r="AO10" i="1"/>
  <c r="AS30" i="1"/>
  <c r="F30" i="20"/>
  <c r="F76" i="20"/>
  <c r="AR76" i="1"/>
  <c r="F18" i="20"/>
  <c r="AR18" i="1"/>
  <c r="F33" i="21"/>
  <c r="AT33" i="1"/>
  <c r="F6" i="4"/>
  <c r="E41" i="6"/>
  <c r="AG4" i="1"/>
  <c r="E42" i="6"/>
  <c r="F66" i="21"/>
  <c r="AU66" i="1"/>
  <c r="F24" i="21"/>
  <c r="AT24" i="1"/>
  <c r="F9" i="21"/>
  <c r="AT9" i="1"/>
  <c r="F44" i="19"/>
  <c r="AQ44" i="1"/>
  <c r="F39" i="5"/>
  <c r="AE39" i="1"/>
  <c r="F23" i="3"/>
  <c r="Z23" i="1"/>
  <c r="Y109" i="1"/>
  <c r="Y106" i="1"/>
  <c r="Y107" i="1"/>
  <c r="AD23" i="1"/>
  <c r="F23" i="5"/>
  <c r="AD9" i="1"/>
  <c r="F9" i="5"/>
  <c r="AF36" i="1"/>
  <c r="F36" i="6"/>
  <c r="F8" i="18"/>
  <c r="AN8" i="1"/>
  <c r="F7" i="18"/>
  <c r="AO7" i="1"/>
  <c r="E17" i="18"/>
  <c r="E16" i="18"/>
  <c r="F48" i="21"/>
  <c r="AT48" i="1"/>
  <c r="F16" i="5"/>
  <c r="AD16" i="1"/>
  <c r="F11" i="19"/>
  <c r="AP11" i="1"/>
  <c r="F21" i="5"/>
  <c r="AD21" i="1"/>
  <c r="F13" i="20"/>
  <c r="AR13" i="1"/>
  <c r="F54" i="9"/>
  <c r="F11" i="4"/>
  <c r="AD22" i="1"/>
  <c r="F22" i="5"/>
  <c r="F11" i="5"/>
  <c r="AD11" i="1"/>
  <c r="L6" i="3"/>
  <c r="M6" i="3" s="1"/>
  <c r="AA29" i="1"/>
  <c r="L29" i="3"/>
  <c r="M29" i="3" s="1"/>
  <c r="AF13" i="1"/>
  <c r="F13" i="6"/>
  <c r="F30" i="3"/>
  <c r="Z30" i="1"/>
  <c r="AD35" i="1"/>
  <c r="F35" i="5"/>
  <c r="AD31" i="1"/>
  <c r="F31" i="5"/>
  <c r="F7" i="5"/>
  <c r="AD7" i="1"/>
  <c r="F21" i="3"/>
  <c r="Z21" i="1"/>
  <c r="F15" i="3"/>
  <c r="Z15" i="1"/>
  <c r="D105" i="20"/>
  <c r="F4" i="20"/>
  <c r="D104" i="20"/>
  <c r="AR4" i="1"/>
  <c r="F5" i="21"/>
  <c r="AU5" i="1"/>
  <c r="F79" i="21"/>
  <c r="AU79" i="1"/>
  <c r="E83" i="21"/>
  <c r="E43" i="21"/>
  <c r="F19" i="20"/>
  <c r="AR19" i="1"/>
  <c r="E54" i="19"/>
  <c r="E55" i="19"/>
  <c r="F4" i="19"/>
  <c r="AQ4" i="1"/>
  <c r="F23" i="20"/>
  <c r="AR23" i="1"/>
  <c r="F10" i="4"/>
  <c r="AB10" i="1"/>
  <c r="AF16" i="1"/>
  <c r="F16" i="6"/>
  <c r="F71" i="21"/>
  <c r="AU71" i="1"/>
  <c r="F22" i="20"/>
  <c r="AR22" i="1"/>
  <c r="F24" i="20"/>
  <c r="AR24" i="1"/>
  <c r="F54" i="20"/>
  <c r="AR54" i="1"/>
  <c r="F50" i="21"/>
  <c r="AT50" i="1"/>
  <c r="F10" i="21"/>
  <c r="AT10" i="1"/>
  <c r="F67" i="21"/>
  <c r="AT67" i="1"/>
  <c r="F58" i="21"/>
  <c r="AT58" i="1"/>
  <c r="F6" i="20"/>
  <c r="AR6" i="1"/>
  <c r="F35" i="20"/>
  <c r="AR35" i="1"/>
  <c r="F106" i="15"/>
  <c r="F105" i="15"/>
  <c r="F35" i="19"/>
  <c r="AP35" i="1"/>
  <c r="F25" i="19"/>
  <c r="AP25" i="1"/>
  <c r="AU4" i="1"/>
  <c r="F4" i="21"/>
  <c r="D41" i="6"/>
  <c r="F69" i="21"/>
  <c r="AU69" i="1"/>
  <c r="F4" i="3"/>
  <c r="D35" i="3"/>
  <c r="Z4" i="1"/>
  <c r="D36" i="3"/>
  <c r="F21" i="4"/>
  <c r="E41" i="7"/>
  <c r="F5" i="3"/>
  <c r="Z5" i="1"/>
  <c r="F46" i="20"/>
  <c r="AR46" i="1"/>
  <c r="F86" i="20"/>
  <c r="AR86" i="1"/>
  <c r="AS50" i="1"/>
  <c r="F50" i="20"/>
  <c r="F79" i="20"/>
  <c r="AR79" i="1"/>
  <c r="F8" i="21"/>
  <c r="AT8" i="1"/>
  <c r="F6" i="21"/>
  <c r="AT6" i="1"/>
  <c r="D85" i="21"/>
  <c r="D86" i="21"/>
  <c r="F12" i="21"/>
  <c r="AU12" i="1"/>
  <c r="F22" i="19"/>
  <c r="AQ22" i="1"/>
  <c r="F16" i="4"/>
  <c r="AB16" i="1"/>
  <c r="F31" i="6"/>
  <c r="AF31" i="1"/>
  <c r="F13" i="3"/>
  <c r="F33" i="3"/>
  <c r="F33" i="5"/>
  <c r="AD33" i="1"/>
  <c r="F14" i="4"/>
  <c r="F18" i="6"/>
  <c r="F7" i="6"/>
  <c r="F41" i="6" s="1"/>
  <c r="AF7" i="1"/>
  <c r="AF106" i="1" s="1"/>
  <c r="F14" i="18"/>
  <c r="AN14" i="1"/>
  <c r="M36" i="3" l="1"/>
  <c r="F40" i="7"/>
  <c r="AJ108" i="1"/>
  <c r="D6" i="1"/>
  <c r="E6" i="1"/>
  <c r="F29" i="7"/>
  <c r="F41" i="7" s="1"/>
  <c r="AH29" i="1"/>
  <c r="W108" i="1"/>
  <c r="AU43" i="1"/>
  <c r="F43" i="21"/>
  <c r="F25" i="4"/>
  <c r="F26" i="4"/>
  <c r="V109" i="1"/>
  <c r="V107" i="1"/>
  <c r="V106" i="1"/>
  <c r="V108" i="1" s="1"/>
  <c r="AM108" i="1"/>
  <c r="AU14" i="1"/>
  <c r="F14" i="21"/>
  <c r="AT106" i="1"/>
  <c r="AT107" i="1"/>
  <c r="AT109" i="1"/>
  <c r="S108" i="1"/>
  <c r="F54" i="19"/>
  <c r="F55" i="19"/>
  <c r="F83" i="21"/>
  <c r="AU83" i="1"/>
  <c r="AI108" i="1"/>
  <c r="AF109" i="1"/>
  <c r="F39" i="21"/>
  <c r="AU39" i="1"/>
  <c r="AS107" i="1"/>
  <c r="AS106" i="1"/>
  <c r="AS109" i="1"/>
  <c r="F17" i="18"/>
  <c r="F16" i="18"/>
  <c r="C4" i="1"/>
  <c r="L5" i="1" s="1"/>
  <c r="B4" i="1"/>
  <c r="AB107" i="1"/>
  <c r="AB106" i="1"/>
  <c r="AB108" i="1" s="1"/>
  <c r="AB109" i="1"/>
  <c r="F31" i="21"/>
  <c r="F77" i="21"/>
  <c r="AU77" i="1"/>
  <c r="AN106" i="1"/>
  <c r="AN107" i="1"/>
  <c r="AN109" i="1"/>
  <c r="Z106" i="1"/>
  <c r="Z109" i="1"/>
  <c r="Z107" i="1"/>
  <c r="AQ109" i="1"/>
  <c r="AQ106" i="1"/>
  <c r="AQ107" i="1"/>
  <c r="AF107" i="1"/>
  <c r="AF108" i="1" s="1"/>
  <c r="E4" i="1"/>
  <c r="F36" i="3"/>
  <c r="E85" i="21"/>
  <c r="F104" i="20"/>
  <c r="F105" i="20"/>
  <c r="Y108" i="1"/>
  <c r="AU28" i="1"/>
  <c r="AU109" i="1" s="1"/>
  <c r="F28" i="21"/>
  <c r="F85" i="21" s="1"/>
  <c r="AD109" i="1"/>
  <c r="AD106" i="1"/>
  <c r="AD107" i="1"/>
  <c r="F32" i="21"/>
  <c r="AU32" i="1"/>
  <c r="X108" i="1"/>
  <c r="D40" i="7"/>
  <c r="L36" i="3"/>
  <c r="AG107" i="1"/>
  <c r="AG106" i="1"/>
  <c r="AG108" i="1" s="1"/>
  <c r="AG109" i="1"/>
  <c r="AR106" i="1"/>
  <c r="AR109" i="1"/>
  <c r="AR107" i="1"/>
  <c r="P108" i="1"/>
  <c r="D4" i="1"/>
  <c r="E86" i="21"/>
  <c r="AO106" i="1"/>
  <c r="AO107" i="1"/>
  <c r="AO109" i="1"/>
  <c r="AP107" i="1"/>
  <c r="AP109" i="1"/>
  <c r="AP106" i="1"/>
  <c r="U108" i="1"/>
  <c r="AE109" i="1"/>
  <c r="AE107" i="1"/>
  <c r="AE106" i="1"/>
  <c r="AE108" i="1" s="1"/>
  <c r="F41" i="5"/>
  <c r="F40" i="5"/>
  <c r="AC109" i="1"/>
  <c r="AC106" i="1"/>
  <c r="AC107" i="1"/>
  <c r="F68" i="21"/>
  <c r="C6" i="1"/>
  <c r="L6" i="1" s="1"/>
  <c r="B6" i="1"/>
  <c r="E35" i="3"/>
  <c r="F35" i="3" s="1"/>
  <c r="AA4" i="1"/>
  <c r="E36" i="3"/>
  <c r="F61" i="21"/>
  <c r="F86" i="21" s="1"/>
  <c r="AU61" i="1"/>
  <c r="D41" i="7"/>
  <c r="Z108" i="1" l="1"/>
  <c r="G4" i="1"/>
  <c r="F4" i="1"/>
  <c r="I4" i="1" s="1"/>
  <c r="AU107" i="1"/>
  <c r="AT108" i="1"/>
  <c r="AH107" i="1"/>
  <c r="AH106" i="1"/>
  <c r="AH108" i="1" s="1"/>
  <c r="AH109" i="1"/>
  <c r="B5" i="1"/>
  <c r="C5" i="1"/>
  <c r="L7" i="1" s="1"/>
  <c r="F6" i="1"/>
  <c r="I6" i="1" s="1"/>
  <c r="G6" i="1"/>
  <c r="H4" i="1"/>
  <c r="AC108" i="1"/>
  <c r="AO108" i="1"/>
  <c r="E7" i="1"/>
  <c r="AR108" i="1"/>
  <c r="AD108" i="1"/>
  <c r="AQ108" i="1"/>
  <c r="AU106" i="1"/>
  <c r="C7" i="1"/>
  <c r="L4" i="1" s="1"/>
  <c r="B7" i="1"/>
  <c r="AA107" i="1"/>
  <c r="AA106" i="1"/>
  <c r="AA109" i="1"/>
  <c r="AP108" i="1"/>
  <c r="D7" i="1"/>
  <c r="AN108" i="1"/>
  <c r="AS108" i="1"/>
  <c r="H6" i="1"/>
  <c r="H7" i="1" l="1"/>
  <c r="M7" i="1"/>
  <c r="M6" i="1"/>
  <c r="M5" i="1"/>
  <c r="D5" i="1"/>
  <c r="F7" i="1"/>
  <c r="I7" i="1" s="1"/>
  <c r="G7" i="1"/>
  <c r="AU108" i="1"/>
  <c r="AA108" i="1"/>
  <c r="E5" i="1"/>
  <c r="H5" i="1" s="1"/>
  <c r="F5" i="1" l="1"/>
  <c r="I5" i="1" s="1"/>
  <c r="G5" i="1"/>
</calcChain>
</file>

<file path=xl/sharedStrings.xml><?xml version="1.0" encoding="utf-8"?>
<sst xmlns="http://schemas.openxmlformats.org/spreadsheetml/2006/main" count="5210" uniqueCount="1598">
  <si>
    <t>REWARDS SUMMARY &amp; ANALYSIS</t>
  </si>
  <si>
    <t>REWARDS BY APP &amp; GENRE</t>
  </si>
  <si>
    <t>Summary (by genre)</t>
  </si>
  <si>
    <t>Average Mission Levels (by genre)</t>
  </si>
  <si>
    <t>Casino</t>
  </si>
  <si>
    <t>Puzzle</t>
  </si>
  <si>
    <t>Sims</t>
  </si>
  <si>
    <t>RPG</t>
  </si>
  <si>
    <t>Genre</t>
  </si>
  <si>
    <t>Total Mission Levels</t>
  </si>
  <si>
    <t>Average Mission Levels</t>
  </si>
  <si>
    <t>Total Free Rewards</t>
  </si>
  <si>
    <t>Total Premium Rewards</t>
  </si>
  <si>
    <t>Total Rewards</t>
  </si>
  <si>
    <t>Average Free Reward
(per level)</t>
  </si>
  <si>
    <t>Average Premium Reward
(per level)</t>
  </si>
  <si>
    <t>Average Total Reward
(per level)</t>
  </si>
  <si>
    <t>% more</t>
  </si>
  <si>
    <t>Level</t>
  </si>
  <si>
    <t>Bingo Party (Free)</t>
  </si>
  <si>
    <t>Bingo Party (Premium)</t>
  </si>
  <si>
    <t>Cash Frenzy (Free)</t>
  </si>
  <si>
    <t>Cash Frenzy (Premium)</t>
  </si>
  <si>
    <t>Huuuge Casino (Free)</t>
  </si>
  <si>
    <t>Huuuge Casino (Premium)</t>
  </si>
  <si>
    <t>Lotsa Slots (Free)</t>
  </si>
  <si>
    <t>Lotsa Slots (Premium)</t>
  </si>
  <si>
    <t>Scatter Slots (Free)</t>
  </si>
  <si>
    <t>Scatter Slots (Premium)</t>
  </si>
  <si>
    <t>Gardenscapes (Free)</t>
  </si>
  <si>
    <t>Gardenscapes (Premium)</t>
  </si>
  <si>
    <t>Candy Crush Soda (Free)</t>
  </si>
  <si>
    <t>Candy Crush Soda (Premium)</t>
  </si>
  <si>
    <t>Fishdom (Free)</t>
  </si>
  <si>
    <t>Fishdom (Premium)</t>
  </si>
  <si>
    <t>Homescapes (Free)</t>
  </si>
  <si>
    <t>Homescapes (Premium)</t>
  </si>
  <si>
    <t>Matchington (Free)</t>
  </si>
  <si>
    <t>Matchington (Premium)</t>
  </si>
  <si>
    <t>Hay Day (Free)</t>
  </si>
  <si>
    <t>Hay Day (Premium)</t>
  </si>
  <si>
    <t>Township (Free)</t>
  </si>
  <si>
    <t>Township (Premium)</t>
  </si>
  <si>
    <t>AFK
(Free)</t>
  </si>
  <si>
    <t>AFK
(Premium)</t>
  </si>
  <si>
    <t>Empires &amp; Puzzle
(Free)</t>
  </si>
  <si>
    <t>Empires &amp; Puzzle  (Premium)</t>
  </si>
  <si>
    <t>RAID: Shadow Legends
(Free)</t>
  </si>
  <si>
    <t>RAID: Shadow Legends
(Premium)</t>
  </si>
  <si>
    <t>Rise of Kingdoms (Free)</t>
  </si>
  <si>
    <t>Rise of Kingdoms (Premium)</t>
  </si>
  <si>
    <t>Puzzle Summary (by app)</t>
  </si>
  <si>
    <t>Game</t>
  </si>
  <si>
    <t>Mission Levels</t>
  </si>
  <si>
    <t>Free Rewards</t>
  </si>
  <si>
    <t>Premium Rewards</t>
  </si>
  <si>
    <t xml:space="preserve">Average Free Reward
</t>
  </si>
  <si>
    <t>Average Premium Reward</t>
  </si>
  <si>
    <t>Average Total Reward</t>
  </si>
  <si>
    <t>Homescapes</t>
  </si>
  <si>
    <t>Fishdom</t>
  </si>
  <si>
    <t>Matchington Mansion</t>
  </si>
  <si>
    <t>Gardenscapes</t>
  </si>
  <si>
    <t>Candy Crush Soda Saga</t>
  </si>
  <si>
    <t>Homescapes 
% more</t>
  </si>
  <si>
    <t>% less than CCSS</t>
  </si>
  <si>
    <t>Totals</t>
  </si>
  <si>
    <t>Number of Levels</t>
  </si>
  <si>
    <t>Average reward
(per level, by type)</t>
  </si>
  <si>
    <t>GARDENSCAPES BATTLE PASS REWARDS</t>
  </si>
  <si>
    <t>GARDENSCAPES CONVERSION DATA</t>
  </si>
  <si>
    <t>Foxy Season (3/9/20)</t>
  </si>
  <si>
    <t>Disco Season (8/3/20)</t>
  </si>
  <si>
    <t>CURRENCIES</t>
  </si>
  <si>
    <t>BOOSTS</t>
  </si>
  <si>
    <t>Mystery Box (average valuation)</t>
  </si>
  <si>
    <t>Notes &amp; References:</t>
  </si>
  <si>
    <t>Free Reward</t>
  </si>
  <si>
    <t>Premium Reward</t>
  </si>
  <si>
    <t>Free Reward Value</t>
  </si>
  <si>
    <t>Premium Reward Value</t>
  </si>
  <si>
    <t>Total Value</t>
  </si>
  <si>
    <t>Primary Currency</t>
  </si>
  <si>
    <t>Coins</t>
  </si>
  <si>
    <t>Boost 1</t>
  </si>
  <si>
    <t>Shovel</t>
  </si>
  <si>
    <t>300-700 coins</t>
  </si>
  <si>
    <t>Disco Gift Box: Unknown rewards, value based on similar item from previous Foxy Season</t>
  </si>
  <si>
    <t>30min lives</t>
  </si>
  <si>
    <t>8 lives, xboost, custom design item</t>
  </si>
  <si>
    <t>8 lives, rainbow blast &amp; bomb, custom design item</t>
  </si>
  <si>
    <t>Amount of currency (non-sale)</t>
  </si>
  <si>
    <t>Amount</t>
  </si>
  <si>
    <t>1-2 wild clear</t>
  </si>
  <si>
    <t>Unknown value of final Prize Chest</t>
  </si>
  <si>
    <t>1 bomb</t>
  </si>
  <si>
    <t>1 tnt/ wild clear</t>
  </si>
  <si>
    <t>Cost of currency (~$1)</t>
  </si>
  <si>
    <t>Cost (in terms of primary)</t>
  </si>
  <si>
    <t>1-2 bombs</t>
  </si>
  <si>
    <t>Unlimited Item Data: Based on Sensor Tower Usage Intellegience for L&amp;G Tracked apps, assuming an average of 2mins per level (see Usage Data tab)</t>
  </si>
  <si>
    <t>15 min wild clear</t>
  </si>
  <si>
    <t>2 stars</t>
  </si>
  <si>
    <t>gift box</t>
  </si>
  <si>
    <t>Cost each</t>
  </si>
  <si>
    <t>total</t>
  </si>
  <si>
    <t>100 coins</t>
  </si>
  <si>
    <t>30 min wild clear</t>
  </si>
  <si>
    <t>1000 coins</t>
  </si>
  <si>
    <t>gift box: 200 coins, 1 tnt/ wild clear, 1 wild clear, 1 shovel</t>
  </si>
  <si>
    <t>Secondary Currency</t>
  </si>
  <si>
    <t>N/A</t>
  </si>
  <si>
    <t>Boost 2</t>
  </si>
  <si>
    <t>Bombs</t>
  </si>
  <si>
    <t>gift box: 200 coins, 1 wild clear, 1 bomb, 500 cash</t>
  </si>
  <si>
    <t>Pet: Alice the fox</t>
  </si>
  <si>
    <t>custom design item</t>
  </si>
  <si>
    <t>Amount of currency</t>
  </si>
  <si>
    <t>500-1000 coins</t>
  </si>
  <si>
    <t>2 wild clear</t>
  </si>
  <si>
    <t>5500 coins</t>
  </si>
  <si>
    <t>Cost of currency (in terms of $ or primary)</t>
  </si>
  <si>
    <t>2-3 wild clear</t>
  </si>
  <si>
    <t>1 wild clear</t>
  </si>
  <si>
    <t>2 bombs</t>
  </si>
  <si>
    <t>30min-1hr lives</t>
  </si>
  <si>
    <t>2 tnt/ wild clear</t>
  </si>
  <si>
    <t>1-3 bomb</t>
  </si>
  <si>
    <t>30 min lives</t>
  </si>
  <si>
    <t>30 min bomb</t>
  </si>
  <si>
    <t>LIVES/ENERGY</t>
  </si>
  <si>
    <t>Boost 3</t>
  </si>
  <si>
    <t>Rainbow Blast</t>
  </si>
  <si>
    <t>1 glove</t>
  </si>
  <si>
    <t>mystery box: 300-750 coins, 1-2 wild clear, 300-750 cash, 1-2 bombs</t>
  </si>
  <si>
    <t>Lives/Energy</t>
  </si>
  <si>
    <t>Lives</t>
  </si>
  <si>
    <t>500 coins</t>
  </si>
  <si>
    <t>2 bomb</t>
  </si>
  <si>
    <t>Cost of currency (in terms of primary)</t>
  </si>
  <si>
    <t>3 stars</t>
  </si>
  <si>
    <t>1 shovel</t>
  </si>
  <si>
    <t>2 shovel</t>
  </si>
  <si>
    <t>Boost 4</t>
  </si>
  <si>
    <t>Rainbow Blast &amp; Dynamite</t>
  </si>
  <si>
    <t>gift box: 500 coins, 1 wild clear, 1 shovel, 1 hr lives, 1000 cash</t>
  </si>
  <si>
    <t>mystery box</t>
  </si>
  <si>
    <t>UNLIMITED ITEM DATA</t>
  </si>
  <si>
    <t>Average Session Length (minutes)</t>
  </si>
  <si>
    <t>Average Sessions (per day)</t>
  </si>
  <si>
    <t>Average mins (per level)</t>
  </si>
  <si>
    <t>30min tnt/ wild clear</t>
  </si>
  <si>
    <t>Unlimited value (per 1hr)</t>
  </si>
  <si>
    <t>Boost 5</t>
  </si>
  <si>
    <t>5 Moves</t>
  </si>
  <si>
    <t>mystery box: 500-1000 coins, 2-3 wild clear, 30 min-1hr lives, 300-1000 cash 1-3 bomb</t>
  </si>
  <si>
    <t>Unlimited value (per 24hrs)</t>
  </si>
  <si>
    <t>1 hr lives</t>
  </si>
  <si>
    <t>Cost of each</t>
  </si>
  <si>
    <t>5 stars</t>
  </si>
  <si>
    <t>2 glove</t>
  </si>
  <si>
    <t>Boost 6</t>
  </si>
  <si>
    <t>Glove</t>
  </si>
  <si>
    <t>gift box: 200 coins, 1 bomb, 1glove, 500 cash</t>
  </si>
  <si>
    <t>gift box: 1000 coins, 2 wild clear, 1 bomb, 1 tnt/ wild clear, 1000 cash</t>
  </si>
  <si>
    <t>gift box: 1 hr lives, 500 coins, 1 tnt/ wild clear, 1 bomb, 1 wild clear</t>
  </si>
  <si>
    <t>gift box: 1hr bomb, 1 hr wild clear, 1000 coins, 1 glove, 1 shovel</t>
  </si>
  <si>
    <t>gift box:1hr lives, 500 coins, 1000 cash, 1 tnt/ wild clear, 1 bomb, 1 wild clear</t>
  </si>
  <si>
    <t>Average value of boosts</t>
  </si>
  <si>
    <t>profile picture</t>
  </si>
  <si>
    <t>fox house</t>
  </si>
  <si>
    <t>Final Prize</t>
  </si>
  <si>
    <t>-</t>
  </si>
  <si>
    <t>Prize Chest</t>
  </si>
  <si>
    <t>Average Value</t>
  </si>
  <si>
    <t>CANDY CRUSH SODA SAGA BATTLE PASS REWARDS</t>
  </si>
  <si>
    <t>CANDY CRUSH SODA SAGA CONVERSION DATA</t>
  </si>
  <si>
    <t>The Noble Path Update (11/2/20)</t>
  </si>
  <si>
    <t>Gold Bars</t>
  </si>
  <si>
    <t>Lollipop Hammer</t>
  </si>
  <si>
    <t>1 Striped Lollipop Hammer, 15m Color Bomb, 15m Unlimited Lives</t>
  </si>
  <si>
    <t>3 Color Bomb, 3 Lollipop Hammer, 48h Unlimited Lives, 3 Wrapped Candy</t>
  </si>
  <si>
    <t>30m Unlimited Lives, 30m Unlimited Jelly Fish, 30m Unlimited Striped Candy</t>
  </si>
  <si>
    <t>2 Jelly Fish, 2 Striped Lollipop Hammer, 2 Color Bomb, 2 Wrapped Candy</t>
  </si>
  <si>
    <t>15m Unlimited Coloring Candy</t>
  </si>
  <si>
    <t>1 Lollipop Hammer, 2 Striped Candy</t>
  </si>
  <si>
    <t>15m Unlimited Wrapped Candy</t>
  </si>
  <si>
    <t>1 Striped Lollipop Hammer, 2 Jelly Fish</t>
  </si>
  <si>
    <t>15m Unlimited Striped Candy</t>
  </si>
  <si>
    <t>2 Coloring Candy, 1 Free Switch, 1 Striped Candy</t>
  </si>
  <si>
    <t>Jelly Fish</t>
  </si>
  <si>
    <t>15m Unlimited Lives, 15m Unlimited Jelly Fish</t>
  </si>
  <si>
    <t>1 Lollipop Hammer, 2 Wrapped Candy</t>
  </si>
  <si>
    <t>1 Striped Lollipop Hammer, 2 Color Bomb</t>
  </si>
  <si>
    <t>1 Coloring Candy, 1 Lollipop Hammer, 2 Striped Candy</t>
  </si>
  <si>
    <t>1 Free Switch, 2 Coloring Candy</t>
  </si>
  <si>
    <t>15m Unlimited Jelly Fish</t>
  </si>
  <si>
    <t>Color Bomb</t>
  </si>
  <si>
    <t>30m Unlimited Lives, 30m Unlimited Coloring Candy, 30m Unlimited Striped Candy</t>
  </si>
  <si>
    <t>2 Free Switch, 2 Coloring Candy, 2 Jelly Fish, 2 Wrapped Candy</t>
  </si>
  <si>
    <t>15m Unlimited Color Bomb</t>
  </si>
  <si>
    <t>Free Switch</t>
  </si>
  <si>
    <t>15m Unlimited Lives, 15m Unlimited Coloring Candy</t>
  </si>
  <si>
    <t>2 Jelly Fish, 2 Striped Lollipop Hammer, 2 Coloring Candy, 2 Striped Candy</t>
  </si>
  <si>
    <t>3 Color Bomb, 3 Lollipop Hammer, 3 Coloring Candy, 3 Striped Candy</t>
  </si>
  <si>
    <t>Coloring Candy</t>
  </si>
  <si>
    <t>2h Unlimited Lives, 2h Unlimited Color Bomb, 2h Unlimited Jelly Fish, 2h Unlimited Wrapped Candy</t>
  </si>
  <si>
    <t>7 Lollipop Hammer, 7 Striped Lollipop Hammer, 7 Free Switch, 24h Unlimited Lives</t>
  </si>
  <si>
    <t>Striped Lollipop Hammer</t>
  </si>
  <si>
    <t>Boost 7</t>
  </si>
  <si>
    <t>Wrapped Candy</t>
  </si>
  <si>
    <t>Boost 8</t>
  </si>
  <si>
    <t>Striped Candy</t>
  </si>
  <si>
    <t>FISHDOM BATTLE PASS REWARDS</t>
  </si>
  <si>
    <t>FISHDOM CONVERSION DATA</t>
  </si>
  <si>
    <t>Ghost Season (10/2/20)</t>
  </si>
  <si>
    <t>Diamonds</t>
  </si>
  <si>
    <t>Bomb</t>
  </si>
  <si>
    <t>1h Unlimited Lives</t>
  </si>
  <si>
    <t>8 Lives, 1 Lightning</t>
  </si>
  <si>
    <t>1 Lightning</t>
  </si>
  <si>
    <t>Pet</t>
  </si>
  <si>
    <t>1 Bomb</t>
  </si>
  <si>
    <t>15m Unlimited Bomb</t>
  </si>
  <si>
    <t>1 Dynamite and Lightning</t>
  </si>
  <si>
    <t>(1) 5 Moves</t>
  </si>
  <si>
    <t>60 Gold Vouchers</t>
  </si>
  <si>
    <t>Gold Vouchers</t>
  </si>
  <si>
    <t>Dynamite and Lightning</t>
  </si>
  <si>
    <t>2 Diving Glove</t>
  </si>
  <si>
    <t>20,000 Coins</t>
  </si>
  <si>
    <t>30 Silver Vouchers</t>
  </si>
  <si>
    <t>2h Unlimited Lives</t>
  </si>
  <si>
    <t>2 Hammer</t>
  </si>
  <si>
    <t>1 lightning</t>
  </si>
  <si>
    <t>30m Unlimited Lightning</t>
  </si>
  <si>
    <t>Other Currency</t>
  </si>
  <si>
    <t>Silver Vouchers</t>
  </si>
  <si>
    <t>Lightning</t>
  </si>
  <si>
    <t>10,000 Coins</t>
  </si>
  <si>
    <t>Decoration</t>
  </si>
  <si>
    <t>1 Torpedo</t>
  </si>
  <si>
    <t>10 Gold Vouchers</t>
  </si>
  <si>
    <t>Bronze Vouchers</t>
  </si>
  <si>
    <t>Hammer</t>
  </si>
  <si>
    <t>1 Diving Glove</t>
  </si>
  <si>
    <t>(2) 5 Moves</t>
  </si>
  <si>
    <t>100 Gold Vouchers</t>
  </si>
  <si>
    <t>25,000 Coins</t>
  </si>
  <si>
    <t>Torpedo</t>
  </si>
  <si>
    <t xml:space="preserve">15,000 Coins </t>
  </si>
  <si>
    <t>50 Silver Vouchers</t>
  </si>
  <si>
    <t>30m Unlimited Bomb</t>
  </si>
  <si>
    <t>1 Hammer</t>
  </si>
  <si>
    <t>30m Unlimited Dynamite and Lightning</t>
  </si>
  <si>
    <t>30 Gold Vouchers</t>
  </si>
  <si>
    <t>3 Hammers</t>
  </si>
  <si>
    <t>1h Unlimited Lightning</t>
  </si>
  <si>
    <t>Diving Glove</t>
  </si>
  <si>
    <t>Outfit</t>
  </si>
  <si>
    <t>1h Unlimited Bomb</t>
  </si>
  <si>
    <t>3h Unlimited Lives</t>
  </si>
  <si>
    <t>1h Unlimited Dynamite and Lightning</t>
  </si>
  <si>
    <t>30,000 Coins</t>
  </si>
  <si>
    <t>Avatar</t>
  </si>
  <si>
    <t>(3) 5 Moves</t>
  </si>
  <si>
    <t>HOMESCAPES BATTLE PASS REWARDS</t>
  </si>
  <si>
    <t>HOMESCAPES CONVERSION DATA</t>
  </si>
  <si>
    <t>Tech Season (8/21/20)</t>
  </si>
  <si>
    <t>Gardenscapes Mystery Box (average valuation)</t>
  </si>
  <si>
    <t>Chest: Unknown rewards, value based on similar item from previous season</t>
  </si>
  <si>
    <t>30m Unlimited Lives</t>
  </si>
  <si>
    <t>8 Lives</t>
  </si>
  <si>
    <t>Bomb &amp; Rocket</t>
  </si>
  <si>
    <t>Picture</t>
  </si>
  <si>
    <t>100 Coins</t>
  </si>
  <si>
    <t>30m Unlimited Rainbow Ball</t>
  </si>
  <si>
    <t>1 Double Plane</t>
  </si>
  <si>
    <t>500 Coins</t>
  </si>
  <si>
    <t>15m Unlimited Lives</t>
  </si>
  <si>
    <t>1 Star</t>
  </si>
  <si>
    <t>30m Unlimited Double Plane</t>
  </si>
  <si>
    <t>1 Bomb &amp; Rocket</t>
  </si>
  <si>
    <t>Rainbow Ball</t>
  </si>
  <si>
    <t>Chest</t>
  </si>
  <si>
    <t>150 Coins</t>
  </si>
  <si>
    <t>30m Unlimited Bomb &amp; Rocket</t>
  </si>
  <si>
    <t xml:space="preserve">Percentage of increase of Gardenscapes Mystery Box </t>
  </si>
  <si>
    <t>1 Rainbow Ball</t>
  </si>
  <si>
    <t>750 Coins</t>
  </si>
  <si>
    <t>Assumed Homescapes Chest Increase</t>
  </si>
  <si>
    <t>3 Rainbow Ball</t>
  </si>
  <si>
    <t>Double Plane</t>
  </si>
  <si>
    <t>1h Unlimited Double Plane</t>
  </si>
  <si>
    <t>1 Glove</t>
  </si>
  <si>
    <t>30m Unlimited Hearts</t>
  </si>
  <si>
    <t>200 Coins</t>
  </si>
  <si>
    <t>1h Unlimited Bomb &amp; Rocket</t>
  </si>
  <si>
    <t>1 Sledgehammer</t>
  </si>
  <si>
    <t>1000 Coins</t>
  </si>
  <si>
    <t>1h Unlimited Rainbow Ball</t>
  </si>
  <si>
    <t xml:space="preserve">1 Star </t>
  </si>
  <si>
    <t>300 Coins</t>
  </si>
  <si>
    <t>3 Double Plane</t>
  </si>
  <si>
    <t>4 Stars</t>
  </si>
  <si>
    <t>3 Bomb &amp; Rocket</t>
  </si>
  <si>
    <t>Sledgehammer</t>
  </si>
  <si>
    <t>Chest: 300 coins, 1 Rainbow Ball, 1 Bomb &amp; Rocket, 1 Airplane, 1hr Unlimited Lives</t>
  </si>
  <si>
    <t>Charging Station</t>
  </si>
  <si>
    <t>2000 Coins</t>
  </si>
  <si>
    <t>2 Stars</t>
  </si>
  <si>
    <t>MATCHINGTON MANSION BATTLE PASS REWARDS</t>
  </si>
  <si>
    <t>MATCHINGTON MANSION CONVERSION DATA</t>
  </si>
  <si>
    <t>Lovely Pony Battle Pass (9/4/20)</t>
  </si>
  <si>
    <t>Silver Spoon</t>
  </si>
  <si>
    <t>Mystery Box: Unknown rewards, value assuming same value of previous mystery box</t>
  </si>
  <si>
    <t>1 Firecracker</t>
  </si>
  <si>
    <t>(1) 5 Moves, 15m Unlimited Rainbow</t>
  </si>
  <si>
    <t>1 Big Firecracker</t>
  </si>
  <si>
    <t>15m Unlimited Firecracker, 15m Unlimited Big Firecracker</t>
  </si>
  <si>
    <t>50 Coins</t>
  </si>
  <si>
    <t>10m Unlimited Firecracker</t>
  </si>
  <si>
    <t>Firecracker</t>
  </si>
  <si>
    <t>10m Unlimited Rainbow</t>
  </si>
  <si>
    <t>1 Firecracker, 1 Big Firecracker</t>
  </si>
  <si>
    <t>1 Firecracker, 1 Rainbow</t>
  </si>
  <si>
    <t>15m Unlimited Big Firecracker</t>
  </si>
  <si>
    <t>30m Unlimited Big Firecracker, 30m Unlimited Lives</t>
  </si>
  <si>
    <t>Mystery Box: 200 Coins, 1 Rainbow, 1 Spoon</t>
  </si>
  <si>
    <t>30m Unlimited Firecracker, 30m Unlimited Rainbow</t>
  </si>
  <si>
    <t>Big Firecracker</t>
  </si>
  <si>
    <t>Mystery Box: 100 Coins, 1 Firecracker, 1 Rainbow</t>
  </si>
  <si>
    <t>1 Silver Spoon</t>
  </si>
  <si>
    <t>15m Unlimited Firecracker</t>
  </si>
  <si>
    <t>Rainbow</t>
  </si>
  <si>
    <t>Mystery Box: 300 coins, 1 Firecracker, 1 Big Firecracker, 1 Rainbow</t>
  </si>
  <si>
    <t>2 Star</t>
  </si>
  <si>
    <t>1 Rainbow, 30m Unlimited Firecracker</t>
  </si>
  <si>
    <t>1 Broom</t>
  </si>
  <si>
    <t>15min Firecracker</t>
  </si>
  <si>
    <t>15m Unlimited Rainbow</t>
  </si>
  <si>
    <t>2 Firecracker, 2 Big Firecracker</t>
  </si>
  <si>
    <t>30m Unlimited Firecracker, 30m Unlimited Lives</t>
  </si>
  <si>
    <t>Mystery Box: 500 Coins, 30m Unlimited Firecracker, 30m Unlimited Big Firecracker, 1 Silver Spoon</t>
  </si>
  <si>
    <t>1 Rainbow, 1h Unlimited Lives</t>
  </si>
  <si>
    <t>200 Coins, 1 Firecracker, 1 Big Firecracker, 1 Rainbow</t>
  </si>
  <si>
    <t>Mystery Box: 500 Coins, 1 Firecracker, 1 Big Firecracker, 1 Rainbow, 30min Big Firecracker, 30 min Rainbow</t>
  </si>
  <si>
    <t>HAY DAY BATTLE PASS REWARDS</t>
  </si>
  <si>
    <t>HAY DAY CONVERSION DATA</t>
  </si>
  <si>
    <t>Farm Pass Season 1 (12/1/20)</t>
  </si>
  <si>
    <t>Items</t>
  </si>
  <si>
    <t>Item 1</t>
  </si>
  <si>
    <t>Screw</t>
  </si>
  <si>
    <t>Valuations for the Mallet, Marker Stake, and Land Deed are based on Elder account data due to level unlock requirements</t>
  </si>
  <si>
    <t>3,800 XP</t>
  </si>
  <si>
    <t>2 Extra Production Slots</t>
  </si>
  <si>
    <t>Cost of extra Production Slots increase as players expand with valuations based on the first &amp; second expansions</t>
  </si>
  <si>
    <t>Reactivate Derby Task</t>
  </si>
  <si>
    <t>Cost (in terms of secondary)</t>
  </si>
  <si>
    <t>1,700 Coins</t>
  </si>
  <si>
    <t>3,400 Coins</t>
  </si>
  <si>
    <t>Misc Valuations</t>
  </si>
  <si>
    <t>Exta Truck Help</t>
  </si>
  <si>
    <t>Wheel of Fortune Spin (1 gem)</t>
  </si>
  <si>
    <t>Free Wheel of Fortune Spin</t>
  </si>
  <si>
    <t>5 Land Deed</t>
  </si>
  <si>
    <t>Gems</t>
  </si>
  <si>
    <t>Item 2</t>
  </si>
  <si>
    <t>Bolt</t>
  </si>
  <si>
    <t>Production Slot First Upgrdade (6 gems)</t>
  </si>
  <si>
    <t>5 Screw</t>
  </si>
  <si>
    <t>Production Slot Second Upgrdade (9 gems)</t>
  </si>
  <si>
    <t>5 Bolt</t>
  </si>
  <si>
    <t>Extra Boat Help</t>
  </si>
  <si>
    <t>2 Duct Tape</t>
  </si>
  <si>
    <t>5 Nails</t>
  </si>
  <si>
    <t>Item 3</t>
  </si>
  <si>
    <t>Nail</t>
  </si>
  <si>
    <t>2,600 Coins</t>
  </si>
  <si>
    <t>Extra Town Visitor Help</t>
  </si>
  <si>
    <t>Extra Neighborhood Requests</t>
  </si>
  <si>
    <t>2 Mallets</t>
  </si>
  <si>
    <t>5 Duct Tape</t>
  </si>
  <si>
    <t>11,000 XP</t>
  </si>
  <si>
    <t>2 Wood Panel</t>
  </si>
  <si>
    <t>Green Beanie</t>
  </si>
  <si>
    <t>Item 4</t>
  </si>
  <si>
    <t>Duct Tape</t>
  </si>
  <si>
    <t>1 Expansion Permit</t>
  </si>
  <si>
    <t>Gift Diamonds</t>
  </si>
  <si>
    <t>2 Marker Stake</t>
  </si>
  <si>
    <t>Free Valley of Fuel Spins</t>
  </si>
  <si>
    <t>5 Screws</t>
  </si>
  <si>
    <t>Item 5</t>
  </si>
  <si>
    <t>Mallet</t>
  </si>
  <si>
    <t>5 Wood Panel</t>
  </si>
  <si>
    <t>Extra Truck Help</t>
  </si>
  <si>
    <t>2 Screws</t>
  </si>
  <si>
    <t>5 Planks</t>
  </si>
  <si>
    <t>Item 6</t>
  </si>
  <si>
    <t>Marker Stake</t>
  </si>
  <si>
    <t>3,400 Coins, 15,000 XP</t>
  </si>
  <si>
    <t>2 Expansion Permit, 6,900 Coins, 23,000 XP</t>
  </si>
  <si>
    <t>Item 7</t>
  </si>
  <si>
    <t>Wood Panel</t>
  </si>
  <si>
    <t>Item 8</t>
  </si>
  <si>
    <t>Land Deed</t>
  </si>
  <si>
    <t>Item 9</t>
  </si>
  <si>
    <t>Planks</t>
  </si>
  <si>
    <t>Average value of Items</t>
  </si>
  <si>
    <t>TOWNSHIP BATTLE PASS REWARDS</t>
  </si>
  <si>
    <t>TOWNSHIP APP CONVERSION DATA</t>
  </si>
  <si>
    <t>The Professor's Expeiments Holiday (11/30/20)</t>
  </si>
  <si>
    <t>ITEMS</t>
  </si>
  <si>
    <t>Airbonus (average valuation)</t>
  </si>
  <si>
    <t>Chest1 (2 paint, 1 Ingot)</t>
  </si>
  <si>
    <t>Valuations for the Decks, Pickaxe, TNT, and Dynamite are based on Elder account data due to level unlock requirements</t>
  </si>
  <si>
    <t>1,500 Coins</t>
  </si>
  <si>
    <t>Spacious Barn</t>
  </si>
  <si>
    <t>Chest2 (2 bricks, 2 Dynamite)</t>
  </si>
  <si>
    <t>https://township.fandom.com/wiki/Laboratory</t>
  </si>
  <si>
    <t>3 Cash</t>
  </si>
  <si>
    <t>Santa's Helper's Sleigh</t>
  </si>
  <si>
    <t>Chest3 (1 Ruby, 2 Shovel, 1 Ingot)</t>
  </si>
  <si>
    <t>1 Loading Coupon</t>
  </si>
  <si>
    <t>Generous Customer</t>
  </si>
  <si>
    <t>Average</t>
  </si>
  <si>
    <t>3 Shovel</t>
  </si>
  <si>
    <t>2 Dealer Coupon</t>
  </si>
  <si>
    <t>Speedy Construction (1 cash)</t>
  </si>
  <si>
    <t>Regular Deck</t>
  </si>
  <si>
    <t>Conveyor Belt Master</t>
  </si>
  <si>
    <t>Cash</t>
  </si>
  <si>
    <t>Pick</t>
  </si>
  <si>
    <t>Spacious Barn (tokens-soft currency)</t>
  </si>
  <si>
    <t>5 Cash</t>
  </si>
  <si>
    <t>Lab Booster (5 Topaz + 3 Emerald)</t>
  </si>
  <si>
    <t>3 Topaz</t>
  </si>
  <si>
    <t>Dreamy Cow</t>
  </si>
  <si>
    <t xml:space="preserve">High Speed Production (8 Topaz, 2 Ruby, 2 Emerald) </t>
  </si>
  <si>
    <t>1 Dealer Coupon</t>
  </si>
  <si>
    <t>Speedy Construction</t>
  </si>
  <si>
    <t>Super Harvest (5 Topaz, 3 Emerald)</t>
  </si>
  <si>
    <t>3 Brick</t>
  </si>
  <si>
    <t>2 Loading Coupon</t>
  </si>
  <si>
    <t>3 Bronze Ingot</t>
  </si>
  <si>
    <t>Airbonus</t>
  </si>
  <si>
    <t>Topaz</t>
  </si>
  <si>
    <t>Glass</t>
  </si>
  <si>
    <t>Sleigh Parking Lot</t>
  </si>
  <si>
    <t>Cost of currency (in terms of secondary)</t>
  </si>
  <si>
    <t>3 Silver Ingot</t>
  </si>
  <si>
    <t>4,500 Coins</t>
  </si>
  <si>
    <t>3 Loading Coupon</t>
  </si>
  <si>
    <t>Emerald</t>
  </si>
  <si>
    <t>Brick</t>
  </si>
  <si>
    <t>3 Pick</t>
  </si>
  <si>
    <t>Epic Deck</t>
  </si>
  <si>
    <t>3 Emerald</t>
  </si>
  <si>
    <t>Christmas Town Sign</t>
  </si>
  <si>
    <t>3 Glass</t>
  </si>
  <si>
    <t>Super Harvest</t>
  </si>
  <si>
    <t>3 Gold Ingot</t>
  </si>
  <si>
    <t>Ruby</t>
  </si>
  <si>
    <t>TNT</t>
  </si>
  <si>
    <t>Barn Upgrade Coupon</t>
  </si>
  <si>
    <t>5 TNT</t>
  </si>
  <si>
    <t>7,900 Coins</t>
  </si>
  <si>
    <t>Affectionate Sheep</t>
  </si>
  <si>
    <t>3 Axe</t>
  </si>
  <si>
    <t>3 Ruby</t>
  </si>
  <si>
    <t>Axe</t>
  </si>
  <si>
    <t>Rare Deck</t>
  </si>
  <si>
    <t>5 Nail</t>
  </si>
  <si>
    <t>Cozy Chicken</t>
  </si>
  <si>
    <t>15 Cash</t>
  </si>
  <si>
    <t>5 Red Paint</t>
  </si>
  <si>
    <t>3 Platinum Ingot</t>
  </si>
  <si>
    <t>5 Loading Coupon</t>
  </si>
  <si>
    <t>3 Red Paint</t>
  </si>
  <si>
    <t>20 Cash</t>
  </si>
  <si>
    <t>3 Dynamite</t>
  </si>
  <si>
    <t>Santa's Sleigh</t>
  </si>
  <si>
    <t>3 Nail</t>
  </si>
  <si>
    <t>High Speed Production</t>
  </si>
  <si>
    <t>2 TNT</t>
  </si>
  <si>
    <t>Town Expansion Coupon</t>
  </si>
  <si>
    <t>75 Cash</t>
  </si>
  <si>
    <t>Red Paint</t>
  </si>
  <si>
    <t>Dynamite</t>
  </si>
  <si>
    <t>Item 10</t>
  </si>
  <si>
    <t>Item 11</t>
  </si>
  <si>
    <t>BINGO PARTY BATTLE PASS REWARDS</t>
  </si>
  <si>
    <t>BINGO PARTY CONVERSION DATA</t>
  </si>
  <si>
    <t>B Royal Pass Season 9 (5/7/20)</t>
  </si>
  <si>
    <t>Bingo Tickets</t>
  </si>
  <si>
    <t>Boosts</t>
  </si>
  <si>
    <t>100 Tickets</t>
  </si>
  <si>
    <t>4 Boost</t>
  </si>
  <si>
    <t>300 Tickets</t>
  </si>
  <si>
    <t>Cost of currency (~$5)</t>
  </si>
  <si>
    <t>1 Boost</t>
  </si>
  <si>
    <t>4 Boosts</t>
  </si>
  <si>
    <t>1 Chest</t>
  </si>
  <si>
    <t xml:space="preserve">1 Boost </t>
  </si>
  <si>
    <t>400 Tickets</t>
  </si>
  <si>
    <t>2 Boost</t>
  </si>
  <si>
    <t xml:space="preserve">2 Boost </t>
  </si>
  <si>
    <t>1 Treasure Card</t>
  </si>
  <si>
    <t>500 Tickets</t>
  </si>
  <si>
    <t>1 Wild Card</t>
  </si>
  <si>
    <t>CASH FRENZY BATTLE PASS REWARDS</t>
  </si>
  <si>
    <t>CASH FRENZY CONVERSION DATA</t>
  </si>
  <si>
    <t>Mission Pass Season 18 (11/30/20)</t>
  </si>
  <si>
    <t>Boost1</t>
  </si>
  <si>
    <t>Slot Blast</t>
  </si>
  <si>
    <t>Mission Star Booster = Mission accelerator, no valuation</t>
  </si>
  <si>
    <t>Legendary Depot</t>
  </si>
  <si>
    <t>Amount of currency (days)</t>
  </si>
  <si>
    <t>Speedy = VIP point accelerator, no valuation</t>
  </si>
  <si>
    <t>6 Wheel Spins Chutes &amp; Gliders</t>
  </si>
  <si>
    <t>Cost of boost</t>
  </si>
  <si>
    <t>Flame Booster = Blazing Challenge accelerator, no valuation</t>
  </si>
  <si>
    <t>1 Day Lounge Pass</t>
  </si>
  <si>
    <t>Cost of a unit of currency</t>
  </si>
  <si>
    <t>Cost each day</t>
  </si>
  <si>
    <t>Unknown value of final Mission Chest</t>
  </si>
  <si>
    <t>30 Rare Depots</t>
  </si>
  <si>
    <t>Cost each hr</t>
  </si>
  <si>
    <t>300 Lounge Points</t>
  </si>
  <si>
    <t>Double XP 12hrs</t>
  </si>
  <si>
    <t>8hrs Bundle Booster</t>
  </si>
  <si>
    <t>Boost2</t>
  </si>
  <si>
    <t>Level Burst</t>
  </si>
  <si>
    <t>Stamp Pack</t>
  </si>
  <si>
    <t>8hrs Speedy</t>
  </si>
  <si>
    <t>20% Store Coupon</t>
  </si>
  <si>
    <t>50 Rare Depots</t>
  </si>
  <si>
    <t>30 Rare Depots, 240 Emeralds</t>
  </si>
  <si>
    <t>60 Lounge Points</t>
  </si>
  <si>
    <t>Boost3</t>
  </si>
  <si>
    <t>Bundle Boost</t>
  </si>
  <si>
    <t>16hrs Slot Blast</t>
  </si>
  <si>
    <t>8% Money Bank Coupon</t>
  </si>
  <si>
    <t>300 VIP Points &amp; Coins</t>
  </si>
  <si>
    <t>12 Wheel Spins Chutes &amp; Gliders</t>
  </si>
  <si>
    <t>6min Mission Star Booster</t>
  </si>
  <si>
    <t>850 Lounge Points</t>
  </si>
  <si>
    <t>1 Diamond Frenzy Stamp, 3 Diamond Stamp</t>
  </si>
  <si>
    <t>3 Diamond Stamp, 15 Wheel Spins Chutes &amp; Gliders</t>
  </si>
  <si>
    <t>16hrs Speedy</t>
  </si>
  <si>
    <t>6mins Flame Booster</t>
  </si>
  <si>
    <t>400 Emeralds</t>
  </si>
  <si>
    <t>1 Diamond Frenzy Stamp</t>
  </si>
  <si>
    <t>16hrs Level Burst</t>
  </si>
  <si>
    <t>900 Lounge Point</t>
  </si>
  <si>
    <t>300 VIP Points</t>
  </si>
  <si>
    <t>50 Rare Depots, 1 Epic Depot</t>
  </si>
  <si>
    <t>10 Rare Depots, 1 Epic Depot, 6mins Mission Star Booster</t>
  </si>
  <si>
    <t>12mins Mission Star Booster</t>
  </si>
  <si>
    <t>25% Store Coupon</t>
  </si>
  <si>
    <t>900 Lounge Points</t>
  </si>
  <si>
    <t>Diamond Frenzy Stamp</t>
  </si>
  <si>
    <t>1 Day Lounge Pass, 15 Wheel Spins Chutes &amp; Gliders</t>
  </si>
  <si>
    <t>12% Money Bank Coupon, 20% Store Coupon</t>
  </si>
  <si>
    <t>36hrs Level Burst</t>
  </si>
  <si>
    <t>800 Emeralds</t>
  </si>
  <si>
    <t>36hrs Speedy</t>
  </si>
  <si>
    <t>3 Diamond Stamp</t>
  </si>
  <si>
    <t>1200 Lounge Points</t>
  </si>
  <si>
    <t>10 Rare Depots, Epic Depot</t>
  </si>
  <si>
    <t>1 Diamond Frenzy</t>
  </si>
  <si>
    <t>36hrs Slot Blast</t>
  </si>
  <si>
    <t>300 VIP Points, Coins</t>
  </si>
  <si>
    <t>600 VIP Points, Avatar</t>
  </si>
  <si>
    <t>20 Wheel Spins Chutes &amp; Gliders</t>
  </si>
  <si>
    <t>3 Diamond Frenzy Stamp</t>
  </si>
  <si>
    <t>Coins, Epic Depot</t>
  </si>
  <si>
    <t>36% Store Coupon</t>
  </si>
  <si>
    <t>3d Lounge Pass</t>
  </si>
  <si>
    <t>36hrs Double XP</t>
  </si>
  <si>
    <t>15% Store Coupon, Coins</t>
  </si>
  <si>
    <t>Bonus Stamp, Legendary Depot</t>
  </si>
  <si>
    <t>2d Speedy</t>
  </si>
  <si>
    <t>2000 Lounge Points</t>
  </si>
  <si>
    <t>12min Flame Booster</t>
  </si>
  <si>
    <t>3 Epic Depot</t>
  </si>
  <si>
    <t>2d Level Burst</t>
  </si>
  <si>
    <t>4 Diamond Stamp</t>
  </si>
  <si>
    <t>600 VIP Points</t>
  </si>
  <si>
    <t>20% Money Bank Coupon</t>
  </si>
  <si>
    <t>4 Diamond Stamp, 3 Epic Depots</t>
  </si>
  <si>
    <t>Diamond Bonus Stamp, 1600 Emeralds</t>
  </si>
  <si>
    <t>18mins Mission Star Booster</t>
  </si>
  <si>
    <t>2d Slot Blast</t>
  </si>
  <si>
    <t>50% Store Coupon</t>
  </si>
  <si>
    <t>6 Epic depots</t>
  </si>
  <si>
    <t>4 Diamond Frenzy Stamp</t>
  </si>
  <si>
    <t>800 Lounge Points, 1 Diamond Frenzy Stamp</t>
  </si>
  <si>
    <t>4d Lounge Pass, 12min Flame Booster</t>
  </si>
  <si>
    <t>6 Epic Depots</t>
  </si>
  <si>
    <t>2d Bundle Booster</t>
  </si>
  <si>
    <t>Frenzy Bonus Stamp</t>
  </si>
  <si>
    <t>1000 VIP Points</t>
  </si>
  <si>
    <t>3d Double XP</t>
  </si>
  <si>
    <t>1600 VIP Points</t>
  </si>
  <si>
    <t>36 Wheel Spins Chutes &amp; Gliders</t>
  </si>
  <si>
    <t>4 Diamond Frenzy Stamp, Coins</t>
  </si>
  <si>
    <t>20% Money Bank Coupon, 40% Store Coupon</t>
  </si>
  <si>
    <t>3200 Lounge Points</t>
  </si>
  <si>
    <t>5d Lounge Pass</t>
  </si>
  <si>
    <t>5 Diamond Stamp</t>
  </si>
  <si>
    <t>1600 Emeralds</t>
  </si>
  <si>
    <t>2 Legendary Depots</t>
  </si>
  <si>
    <t>5 Diamond Frenzy Stamp</t>
  </si>
  <si>
    <t>Legendary Depot, 5 Diamond Frenzy Stamp, 40 Wheel Spins Chutes &amp; Gliders</t>
  </si>
  <si>
    <t>Avatar, Wild Depot Bonus Stamp, 7d Lounge Pass</t>
  </si>
  <si>
    <t>Mission Chest</t>
  </si>
  <si>
    <t>HUUUGE CASINO BATTLE PASS REWARDS</t>
  </si>
  <si>
    <t>HUUUGE CASINO CONVERSION DATA</t>
  </si>
  <si>
    <t>Huuuge Pass Halloween (10/20/20)</t>
  </si>
  <si>
    <t>6,800,000 Coins</t>
  </si>
  <si>
    <t>50,000,000 Coins</t>
  </si>
  <si>
    <t>11,300,000 Coins</t>
  </si>
  <si>
    <t>10 Silver Tickets</t>
  </si>
  <si>
    <t>8 Bronze Tickets</t>
  </si>
  <si>
    <t>51,000,000 Coins</t>
  </si>
  <si>
    <t>9,800,000 Coins</t>
  </si>
  <si>
    <t>52,000,000 Coins</t>
  </si>
  <si>
    <t>Avatar Frame &amp; 15M coins</t>
  </si>
  <si>
    <t>53,000,000 Coins</t>
  </si>
  <si>
    <t>Bronze Tickets</t>
  </si>
  <si>
    <t>12 Bronze Tickets</t>
  </si>
  <si>
    <t>15 Silver Tickets</t>
  </si>
  <si>
    <t>55,000,000 Coins</t>
  </si>
  <si>
    <t xml:space="preserve">Cost of currency </t>
  </si>
  <si>
    <t>15 Bronze Tickets</t>
  </si>
  <si>
    <t>56,000,000 Coins</t>
  </si>
  <si>
    <t>57,000,000 Coins</t>
  </si>
  <si>
    <t>25 Bronze Tickets</t>
  </si>
  <si>
    <t>30 Silver Tickets</t>
  </si>
  <si>
    <t>Sliver Tickets</t>
  </si>
  <si>
    <t>14,300,000 Coins</t>
  </si>
  <si>
    <t>60,000,000 Coins</t>
  </si>
  <si>
    <t>65,000,000 Coins</t>
  </si>
  <si>
    <t>15,000,000 Coins</t>
  </si>
  <si>
    <t>70,000,000 Coins</t>
  </si>
  <si>
    <t>80,000,000 Coins</t>
  </si>
  <si>
    <t>40 Bronze Tickets</t>
  </si>
  <si>
    <t>Avatar Frame &amp; 45 Silver Tickets</t>
  </si>
  <si>
    <t>16,500,000 Coins</t>
  </si>
  <si>
    <t>90,000,000 Coins</t>
  </si>
  <si>
    <t>100,000,000 Coins</t>
  </si>
  <si>
    <t>18,800,000 Coins</t>
  </si>
  <si>
    <t>150,000,000 Coins</t>
  </si>
  <si>
    <t>200,000,000 Coins</t>
  </si>
  <si>
    <t>22,500,000 Coins</t>
  </si>
  <si>
    <t>300,000,000 Coins</t>
  </si>
  <si>
    <t>LOTSA SLOTS BATTLE PASS REWARDS</t>
  </si>
  <si>
    <t>LOTSA SLOTS CONVERSION DATA</t>
  </si>
  <si>
    <t>Golden Pass Season 10 (11/30/20)</t>
  </si>
  <si>
    <t>Level Up Boost</t>
  </si>
  <si>
    <t>Unknown value of final Golden Store reward</t>
  </si>
  <si>
    <t>Coins &amp; Legendary Toolbox</t>
  </si>
  <si>
    <t>9,000 Club Points</t>
  </si>
  <si>
    <t>150% Store Coupon</t>
  </si>
  <si>
    <t>Lucky Stamps</t>
  </si>
  <si>
    <t>1.5hrs Cashback</t>
  </si>
  <si>
    <t>Super Wheel Boost</t>
  </si>
  <si>
    <t>12hrs Express Bonus Boost</t>
  </si>
  <si>
    <t>40 Loyalty Points</t>
  </si>
  <si>
    <t>12 Rare Toolboxes</t>
  </si>
  <si>
    <t>Express Bonus Boost</t>
  </si>
  <si>
    <t>500 Club Points</t>
  </si>
  <si>
    <t>100% Store Coupon</t>
  </si>
  <si>
    <t>12hrs Wheel Bonus Boost</t>
  </si>
  <si>
    <t>Boost4</t>
  </si>
  <si>
    <t>Total Boost</t>
  </si>
  <si>
    <t>Diamond Stamp</t>
  </si>
  <si>
    <t>1 Epic Toolbox</t>
  </si>
  <si>
    <t>6 Rare Toolboxes</t>
  </si>
  <si>
    <t>12hrs Level Up Boost</t>
  </si>
  <si>
    <t>100 Loyalty Points</t>
  </si>
  <si>
    <t>25% Oinky Coupon</t>
  </si>
  <si>
    <t>600 Club Points</t>
  </si>
  <si>
    <t>1 Legendary Toolbox</t>
  </si>
  <si>
    <t>50% Oinky Coupon</t>
  </si>
  <si>
    <t>2d Total Boost</t>
  </si>
  <si>
    <t>12hrs Level Up Blast</t>
  </si>
  <si>
    <t>12hrs Express Bonus Boost, 12 hrs Super Wheel Deal</t>
  </si>
  <si>
    <t>100% Store Coupn</t>
  </si>
  <si>
    <t>10 Rare Toolbox &amp; Coins</t>
  </si>
  <si>
    <t>6,000 Club Points &amp; Locky Stamps</t>
  </si>
  <si>
    <t>200% Store Coupon &amp; 8,000 Club Points</t>
  </si>
  <si>
    <t>2,000 Club Points</t>
  </si>
  <si>
    <t>15 Epic Toolboxes, &amp; Diamond Stamp</t>
  </si>
  <si>
    <t>Legendary Toolbox, Diamond Stamp</t>
  </si>
  <si>
    <t>Golden Store</t>
  </si>
  <si>
    <t>SCATTER SLOTS BATTLE PASS REWARDS</t>
  </si>
  <si>
    <t>SCATTER SLOTS CONVERSION DATA</t>
  </si>
  <si>
    <t>Halloween Rush (10/27/20)</t>
  </si>
  <si>
    <t>Chests = Collection Event Items</t>
  </si>
  <si>
    <t>100,000 Coins</t>
  </si>
  <si>
    <t>6,700,000 Coins</t>
  </si>
  <si>
    <t>Card Packs = Collection Feature Items</t>
  </si>
  <si>
    <t>1 - 4 Star Pack</t>
  </si>
  <si>
    <t>440,000 Coins</t>
  </si>
  <si>
    <t>Daily Bonus Upgrade</t>
  </si>
  <si>
    <t>2 - 2 Star Pack</t>
  </si>
  <si>
    <t>400,000 Coins</t>
  </si>
  <si>
    <t>890,000 Coins</t>
  </si>
  <si>
    <t>1 - 3 Star Pack</t>
  </si>
  <si>
    <t>1 Gem</t>
  </si>
  <si>
    <t>10min 2X Boost</t>
  </si>
  <si>
    <t>10min 3X Boost</t>
  </si>
  <si>
    <t>640,000 Coins</t>
  </si>
  <si>
    <t>1 - 2 Star Chest</t>
  </si>
  <si>
    <t>700,000 Coins</t>
  </si>
  <si>
    <t>2,100,000 Coins</t>
  </si>
  <si>
    <t>2 - 2 Star Chests</t>
  </si>
  <si>
    <t>1,000,000 Coins</t>
  </si>
  <si>
    <t>5,000,000 Coins</t>
  </si>
  <si>
    <t>10mins 3X Boost</t>
  </si>
  <si>
    <t>1 - 5 Star Pack</t>
  </si>
  <si>
    <t>1,500,000 Coins</t>
  </si>
  <si>
    <t>1,400,000 Coins</t>
  </si>
  <si>
    <t>1 - 3 Star Chest</t>
  </si>
  <si>
    <t>620,000 Coins</t>
  </si>
  <si>
    <t>10mins 5X Boost</t>
  </si>
  <si>
    <t>10,000,000 Coins</t>
  </si>
  <si>
    <t>2,290,000 Coins</t>
  </si>
  <si>
    <t>1 Royal Pack</t>
  </si>
  <si>
    <t>20,000,000 Coins</t>
  </si>
  <si>
    <t>10mins 2X Boost</t>
  </si>
  <si>
    <t>10 Gems</t>
  </si>
  <si>
    <t>11,000,000 Coins</t>
  </si>
  <si>
    <t>12,000,000 Coins</t>
  </si>
  <si>
    <t>2,500,000 Coins</t>
  </si>
  <si>
    <t>9,900,000 Coins</t>
  </si>
  <si>
    <t>3 - 3 Star Chests</t>
  </si>
  <si>
    <t>6,200,000 Coins</t>
  </si>
  <si>
    <t>16,000,000 Coins</t>
  </si>
  <si>
    <t>AFK ARENA BATTLE PASS REWARDS</t>
  </si>
  <si>
    <t>AFK ARENA CONVERSION DATA</t>
  </si>
  <si>
    <t>Hero Growth Bundles (9/3/20)</t>
  </si>
  <si>
    <t>Mythic Gear (average valuation)</t>
  </si>
  <si>
    <t>Value</t>
  </si>
  <si>
    <t>PoE Coins</t>
  </si>
  <si>
    <t>Sample1</t>
  </si>
  <si>
    <t>https://afk-arena.fandom.com/wiki/Category:Currency</t>
  </si>
  <si>
    <t>2000 Hero Essence</t>
  </si>
  <si>
    <t>300 Diamonds, 60 Elite Soulstones</t>
  </si>
  <si>
    <t>Sample2</t>
  </si>
  <si>
    <t>https://my.liquidandgrit.com/library/gallery/misc-currency-afk-arena-1?i=422672</t>
  </si>
  <si>
    <t>9 Rare Hero Faction Cards</t>
  </si>
  <si>
    <t>680 Diamonds, 9 Rare Hero Faction Cards</t>
  </si>
  <si>
    <t>Sample3</t>
  </si>
  <si>
    <t>300 Twisted Essence</t>
  </si>
  <si>
    <t>3280 Diamonds, 10 Faction Scrolls, 1 Elite Hero Faction Card</t>
  </si>
  <si>
    <t>Sample4</t>
  </si>
  <si>
    <t>2 Reset Scroll</t>
  </si>
  <si>
    <t>1980 Diamonds, 27 Rare Hero Faction Cards</t>
  </si>
  <si>
    <t>Sample5</t>
  </si>
  <si>
    <t>1 Mythic Choice Chest</t>
  </si>
  <si>
    <t>1980 Diamonds, 180 Primordial Emblems</t>
  </si>
  <si>
    <t>Gold</t>
  </si>
  <si>
    <t>VIP Points</t>
  </si>
  <si>
    <t>Avg Value</t>
  </si>
  <si>
    <t>50 Amplifying Emblems</t>
  </si>
  <si>
    <t>1980 Diamonds, 110 Amplifying Emblems</t>
  </si>
  <si>
    <t>Animated Avatar</t>
  </si>
  <si>
    <t>1630 Diamonds, 6000 PoE Coins, 150 Twisted Essence</t>
  </si>
  <si>
    <t>6000 PoE Coins</t>
  </si>
  <si>
    <t>2330 Diamonds, 1 Mythic Choice Chest, 300 Twisted Essence</t>
  </si>
  <si>
    <t>1 T1 Stone of Quickness, 30 Rare Enhancement Tokens</t>
  </si>
  <si>
    <t>3280 Diamonds, 1 Custom Mythic Furniture Card</t>
  </si>
  <si>
    <t>30 Emblem of Death, 300 Twisted Essence</t>
  </si>
  <si>
    <t>6480 Diamonds, 160 Emblem of Death</t>
  </si>
  <si>
    <t>Hero Essence</t>
  </si>
  <si>
    <t>Rare Hero Faction Cards</t>
  </si>
  <si>
    <t>1 T2 Stone of Quickness, 60 Rare Enhancement Tokens</t>
  </si>
  <si>
    <t>6480 Diamonds, (2) T1 Stone of Quickness, (2) T2 Stone of Quickness</t>
  </si>
  <si>
    <t>Custom Mythic Furniture Card, 10M Gold</t>
  </si>
  <si>
    <t>6480 Diamonds, 12K PoE Coins, 1600 Twisted Essence</t>
  </si>
  <si>
    <t>Elite Soulstones</t>
  </si>
  <si>
    <t>Twisted Essence</t>
  </si>
  <si>
    <t>Item 14</t>
  </si>
  <si>
    <t>Guild Coins</t>
  </si>
  <si>
    <t>Primordial Emblem</t>
  </si>
  <si>
    <t>Cost (in terms of other currency)</t>
  </si>
  <si>
    <t>Amplifying Emblem</t>
  </si>
  <si>
    <t>Faction Scroll</t>
  </si>
  <si>
    <t>Rare Enhancement Tokens</t>
  </si>
  <si>
    <t>Custom Mythic Furniture Card</t>
  </si>
  <si>
    <t>Faction Emblem</t>
  </si>
  <si>
    <t>EMPIRES &amp; PIZZLES BATTLE PASS REWARDS</t>
  </si>
  <si>
    <t>EMPIRES &amp; PIZZLES CONVERSION DATA</t>
  </si>
  <si>
    <t>Path of Valor (2/3/20)</t>
  </si>
  <si>
    <t>Hero Summons (Drop Rates)</t>
  </si>
  <si>
    <t>Antidotes</t>
  </si>
  <si>
    <t>Item</t>
  </si>
  <si>
    <t>Three-Star Drop Rate</t>
  </si>
  <si>
    <t>Four-Star Drop Rate</t>
  </si>
  <si>
    <t xml:space="preserve">Five-Star Drop Rate
</t>
  </si>
  <si>
    <t>Cost 
(in gems)</t>
  </si>
  <si>
    <r>
      <t xml:space="preserve">Avatar Shop </t>
    </r>
    <r>
      <rPr>
        <u/>
        <sz val="10"/>
        <color rgb="FF1155CC"/>
        <rFont val="Calibri"/>
        <family val="2"/>
      </rPr>
      <t>https://my.liquidandgrit.com/library/gallery/avatar-shop-empires-puzzles</t>
    </r>
  </si>
  <si>
    <t>1 Summon Token</t>
  </si>
  <si>
    <t>Ninja Summons</t>
  </si>
  <si>
    <t>https://forum.smallgiantgames.com/t/path-of-valor-challenges-and-rewards-overview-thread-killed-please-delete-it-zephyr/155061</t>
  </si>
  <si>
    <t>1 Tiny Iron Bundle</t>
  </si>
  <si>
    <t>2 Tiny Food Bundle</t>
  </si>
  <si>
    <t>Elemental Summons</t>
  </si>
  <si>
    <t>A token is equivalent to one summon of the corresponding category, which can be purchased for Gems.</t>
  </si>
  <si>
    <t>1 Epic Troop Token</t>
  </si>
  <si>
    <t>Seasonal Summons</t>
  </si>
  <si>
    <t>Iron and food valuation is variable based on purchases awarding X to 'Refill' inventory, and tied to total capacity at time of purcahse. Valuation completed based on a new user account capacities of 12,500 Iron &amp; 10,000 Food</t>
  </si>
  <si>
    <t>50 Gems</t>
  </si>
  <si>
    <t>100 Gems</t>
  </si>
  <si>
    <t>Ninja Troop Summons</t>
  </si>
  <si>
    <t xml:space="preserve">Harvesters (accelerator) have a variable value due to increasing the production of X resource buildings, therefore the value can not be determined </t>
  </si>
  <si>
    <t>10 Adventurer's Kit</t>
  </si>
  <si>
    <t>Secondary</t>
  </si>
  <si>
    <t>Summon Token</t>
  </si>
  <si>
    <t>Axe Attack</t>
  </si>
  <si>
    <t>Valhalla Summons</t>
  </si>
  <si>
    <t>1 Small Food Bundle</t>
  </si>
  <si>
    <t>2 Small Iron Bundle</t>
  </si>
  <si>
    <t xml:space="preserve">Soft Currencies </t>
  </si>
  <si>
    <t>1 Epic Hero Token</t>
  </si>
  <si>
    <t>Adventurer's Kit - Upgrade Material</t>
  </si>
  <si>
    <t>1 World Energy Flask</t>
  </si>
  <si>
    <t>Avatars (average valuation)</t>
  </si>
  <si>
    <t xml:space="preserve">Barbarian Emblem - Upgrade Material </t>
  </si>
  <si>
    <t>10 Antidote</t>
  </si>
  <si>
    <t>Cost (in gems)</t>
  </si>
  <si>
    <t>Crypt Mushroom - Crafting Material</t>
  </si>
  <si>
    <t>1 Iron Harvester Relic</t>
  </si>
  <si>
    <t>1 Food Harvester</t>
  </si>
  <si>
    <t>Food</t>
  </si>
  <si>
    <t>World/Raid Energy Flask</t>
  </si>
  <si>
    <t>Emperor Dragon</t>
  </si>
  <si>
    <t>Dragon Bone - Crafting Material</t>
  </si>
  <si>
    <t>30 Large Bone</t>
  </si>
  <si>
    <t>Carver</t>
  </si>
  <si>
    <t>Farsight Telescope - Upgrade Material</t>
  </si>
  <si>
    <t>1 Medium Iron Bundle</t>
  </si>
  <si>
    <t>2 Medium Food Bundle</t>
  </si>
  <si>
    <t>Azar</t>
  </si>
  <si>
    <t>Food Harvester - Variable Accelerator</t>
  </si>
  <si>
    <t>5 Loot Ticket</t>
  </si>
  <si>
    <t>Colen</t>
  </si>
  <si>
    <t>Grimoire Dust - Crafting Material</t>
  </si>
  <si>
    <t>(1) one-star Blue Trainer Hero</t>
  </si>
  <si>
    <t>(2) one-star Blue Trainer Hero</t>
  </si>
  <si>
    <t>Average Cost of Avatars</t>
  </si>
  <si>
    <t>Harvester Relic - Upgrade Material</t>
  </si>
  <si>
    <t>100 Atlantis Coin</t>
  </si>
  <si>
    <t>Iron</t>
  </si>
  <si>
    <t>Epic Hero Token</t>
  </si>
  <si>
    <t>Hidden Blade - Upgrade Material</t>
  </si>
  <si>
    <t>1 Medium Food Bundle</t>
  </si>
  <si>
    <t>2 Medium Iron Bundle</t>
  </si>
  <si>
    <t>Iron Harvester - Variable Accelerator</t>
  </si>
  <si>
    <t>1 Raid Energy Flask</t>
  </si>
  <si>
    <t>Battle Items (average valuation)</t>
  </si>
  <si>
    <t>Mystic Ring - Upgrade Material</t>
  </si>
  <si>
    <t>5 Barbarian Emblem</t>
  </si>
  <si>
    <t>10 Barbarian Emblem</t>
  </si>
  <si>
    <t>Omnia Harvester - Variable Accelerator</t>
  </si>
  <si>
    <t>10 Challenge Coin</t>
  </si>
  <si>
    <t>Revive Scroll</t>
  </si>
  <si>
    <t xml:space="preserve">Recruit Harvester - Variable Accelerator </t>
  </si>
  <si>
    <t>300 Gems</t>
  </si>
  <si>
    <t>Atlantis Coin/Challenge Coin</t>
  </si>
  <si>
    <t>One-Star Hero</t>
  </si>
  <si>
    <t>Super Antidotes</t>
  </si>
  <si>
    <t>Warm Cape - Upgrade Material</t>
  </si>
  <si>
    <t>3 Summon Token</t>
  </si>
  <si>
    <t>Bomb Attack</t>
  </si>
  <si>
    <t>20 Crypt Mushroom</t>
  </si>
  <si>
    <t>(1) two-star Blue trainer Hero</t>
  </si>
  <si>
    <t>(2) two-star Blue Trainer Hero</t>
  </si>
  <si>
    <t>Arrow Attack</t>
  </si>
  <si>
    <t>Item Harvester Relic</t>
  </si>
  <si>
    <t>Two-Star Hero</t>
  </si>
  <si>
    <t>Super Healing Potion</t>
  </si>
  <si>
    <t>Medium Food Bundle</t>
  </si>
  <si>
    <t>Potent Healing Potion</t>
  </si>
  <si>
    <t>10 Axe Attack</t>
  </si>
  <si>
    <t>Healing Potion</t>
  </si>
  <si>
    <t>Super Mana Potion</t>
  </si>
  <si>
    <t>Mana Potion</t>
  </si>
  <si>
    <t>10 Loot Ticket</t>
  </si>
  <si>
    <t>Three-Star Hero</t>
  </si>
  <si>
    <t>Minor Mana Potion</t>
  </si>
  <si>
    <t>10 Grimoire Dust</t>
  </si>
  <si>
    <t>Dragon Banner</t>
  </si>
  <si>
    <t>1 Large Iron Bundle</t>
  </si>
  <si>
    <t>2 Large Food Bundle</t>
  </si>
  <si>
    <t>Bear Banner</t>
  </si>
  <si>
    <t>200 Atlantis Coin</t>
  </si>
  <si>
    <t>Turtle Banner</t>
  </si>
  <si>
    <t>1 Warm Cape</t>
  </si>
  <si>
    <t>1 Hidden Blade</t>
  </si>
  <si>
    <t>Average Cost of Battle Items</t>
  </si>
  <si>
    <t>10 Dragon Bone</t>
  </si>
  <si>
    <t>Four-Star Hero</t>
  </si>
  <si>
    <t>1 Large Food Bundle</t>
  </si>
  <si>
    <t>2 Large Iron Bundle</t>
  </si>
  <si>
    <t>5 Tornado</t>
  </si>
  <si>
    <t>(1) three-star Blue Trainer Hero</t>
  </si>
  <si>
    <t>(2) three-star Blue Trainer Hero</t>
  </si>
  <si>
    <t>3 World Energy Flask</t>
  </si>
  <si>
    <t>2 Hurricane</t>
  </si>
  <si>
    <t>5 Hurricane</t>
  </si>
  <si>
    <t>20 Challenge Coin</t>
  </si>
  <si>
    <t>1 Giant Iron Bundle</t>
  </si>
  <si>
    <t>2 Giant Food Bundle</t>
  </si>
  <si>
    <t>(2) four-star Blue Hero Trainer</t>
  </si>
  <si>
    <t>5 Valkyrie's Bane</t>
  </si>
  <si>
    <t>1 Giant Food Bundle</t>
  </si>
  <si>
    <t>1 Recruit Harvester</t>
  </si>
  <si>
    <t>30 Barbarian Emblem</t>
  </si>
  <si>
    <t>50 Barbarian Emblem</t>
  </si>
  <si>
    <t>1 Omnia Harvester</t>
  </si>
  <si>
    <t>1 Mystic Rings</t>
  </si>
  <si>
    <t>1 Farsight Telescope</t>
  </si>
  <si>
    <t>RAID: SHADOW LEGENDS Battle Pass Rewards</t>
  </si>
  <si>
    <t>RAID: SHADOW LEGENDS CONVERSION DATA</t>
  </si>
  <si>
    <t>Battle Pass (2/12/20)</t>
  </si>
  <si>
    <t>Six-Star Artifact Set (average valuation)</t>
  </si>
  <si>
    <t>Full Energy</t>
  </si>
  <si>
    <t>Offer 1</t>
  </si>
  <si>
    <t>https://my.liquidandgrit.com/library/gallery/battle-pass-raid-shadow-legends</t>
  </si>
  <si>
    <t>1 Ancient Shard, 1 Full Energy, (1) one-day XP Boost</t>
  </si>
  <si>
    <t>1 Frozen Banshee (Rare Champion), (1) +10% XP Boost, 1 Avatar</t>
  </si>
  <si>
    <t>Offer 2</t>
  </si>
  <si>
    <t>Sacred Shard Valued based on Elite Sacred Pack containing 1X Sacred Shard + 100 Gems for $24.99 (24.99- 2.85 (100 gems) = $22.14</t>
  </si>
  <si>
    <t>1 Full Energy</t>
  </si>
  <si>
    <t>Offer 3</t>
  </si>
  <si>
    <t>*Rare Champions Valued at base summon cost (1 Ancient Shard +20,000 Silver). 
*Epic Champions Valued at base summon cost (1 Sacred Shard + 100,000 Silver)
*Legendary Champions valued at same base summon cost as Epic Champions (1 Sacred Shard + 100,000 Silver)</t>
  </si>
  <si>
    <t>1 Clan Boss Key</t>
  </si>
  <si>
    <t>100,000 Silver</t>
  </si>
  <si>
    <t>3 XP Brews</t>
  </si>
  <si>
    <t>2 Full Energy</t>
  </si>
  <si>
    <t>(1) three-star Chicken</t>
  </si>
  <si>
    <t>1 Ancient Shard</t>
  </si>
  <si>
    <t>Ancient Shard</t>
  </si>
  <si>
    <t>3 Days 100% XP Boost</t>
  </si>
  <si>
    <t>Five-Star Artifact Set (average valuation)</t>
  </si>
  <si>
    <t>5 Greater Arcane Potion</t>
  </si>
  <si>
    <t>(1) four-star Chicken</t>
  </si>
  <si>
    <t>30 Gems</t>
  </si>
  <si>
    <t>5 XP Brews</t>
  </si>
  <si>
    <t>25,000 Silver</t>
  </si>
  <si>
    <t>(1) one-day XP Boost</t>
  </si>
  <si>
    <t>Artifact Set valuation based on average of purchase offers</t>
  </si>
  <si>
    <t>1 Epic Skill Tome</t>
  </si>
  <si>
    <t>Silver</t>
  </si>
  <si>
    <t>10% XP Boost</t>
  </si>
  <si>
    <t>(1) five-star Artifact Set</t>
  </si>
  <si>
    <t>(1) four-star Glyph</t>
  </si>
  <si>
    <t>(2) four-star Chicken</t>
  </si>
  <si>
    <t>Void Shard</t>
  </si>
  <si>
    <t>20% XP Boost</t>
  </si>
  <si>
    <t>5 Greater Magic Potion</t>
  </si>
  <si>
    <t>(1) five-star Epic Artifact Set</t>
  </si>
  <si>
    <t>(1) +10% XP Boost</t>
  </si>
  <si>
    <t>Sacred Shard</t>
  </si>
  <si>
    <t>XP Brew</t>
  </si>
  <si>
    <t>Cost of currency ($)</t>
  </si>
  <si>
    <t>(1) four-star Strike Glyph</t>
  </si>
  <si>
    <t>1 Void Shard</t>
  </si>
  <si>
    <t>Clan Boss Key</t>
  </si>
  <si>
    <t>Three-star Chicken</t>
  </si>
  <si>
    <t>5 Greater Spirit Potion</t>
  </si>
  <si>
    <t>1 Ursine Icecrusher (Epic Champion)</t>
  </si>
  <si>
    <t>Legendary Skill Tome</t>
  </si>
  <si>
    <t>Greater Potion</t>
  </si>
  <si>
    <t>Cost ($)</t>
  </si>
  <si>
    <t>1 Avatar</t>
  </si>
  <si>
    <t>Epic Skill Tome</t>
  </si>
  <si>
    <t>Superior Potion</t>
  </si>
  <si>
    <t>5 Greater Force Potion</t>
  </si>
  <si>
    <t>1 Legendary Skill Tome</t>
  </si>
  <si>
    <t>Four-star Chicken</t>
  </si>
  <si>
    <t>(1) six-star Artifact Set</t>
  </si>
  <si>
    <t>(1) five-star Glyph</t>
  </si>
  <si>
    <t>(1) five-star Chicken</t>
  </si>
  <si>
    <t>Five-star Chicken</t>
  </si>
  <si>
    <t>5 Greater Void Potion</t>
  </si>
  <si>
    <t>1 Frozen Banshee (Rare Champion)</t>
  </si>
  <si>
    <t>Rare Champion</t>
  </si>
  <si>
    <t>2 Ancient Shard</t>
  </si>
  <si>
    <t>Item 12</t>
  </si>
  <si>
    <t>Epic Champion</t>
  </si>
  <si>
    <t>2 Superior Arcane Potion</t>
  </si>
  <si>
    <t>1 Stag Knight (Epic Champion)</t>
  </si>
  <si>
    <t>Item 13</t>
  </si>
  <si>
    <t>Legendary Champion</t>
  </si>
  <si>
    <t>2 Superior Magic Potion</t>
  </si>
  <si>
    <t>(1) six-star Glyph</t>
  </si>
  <si>
    <t>2 Superior Force Potion</t>
  </si>
  <si>
    <t>2 Superior Spirit Potion</t>
  </si>
  <si>
    <t>1 Ursine Ironhide (Epic Champion)</t>
  </si>
  <si>
    <t>(1) +20% XP Boost</t>
  </si>
  <si>
    <t>2 Superior Void Potion</t>
  </si>
  <si>
    <t>1 Wurlim Frostking (Legendary Champion)</t>
  </si>
  <si>
    <t>RISE OF KINGDOMS BATTLE PASS REWARDS</t>
  </si>
  <si>
    <t>RISE OF KINGDOMS CONVERSION DATA</t>
  </si>
  <si>
    <t>Lucerne Scrolls (10/14/19)</t>
  </si>
  <si>
    <t>L1 Pick One Recource Chest (average valuation)</t>
  </si>
  <si>
    <t>Treasure of Courage</t>
  </si>
  <si>
    <r>
      <t xml:space="preserve">"Pick One" Resource Chests valued equivalent to Gold option </t>
    </r>
    <r>
      <rPr>
        <u/>
        <sz val="10"/>
        <color rgb="FF1155CC"/>
        <rFont val="Calibri"/>
        <family val="2"/>
      </rPr>
      <t>https://riseofkingdoms.fandom.com/wiki/Items/%22Pick_One%22_Resource_Chest#elite</t>
    </r>
  </si>
  <si>
    <t>3 Treasure of Courage</t>
  </si>
  <si>
    <t>1 Legendary Sculpture</t>
  </si>
  <si>
    <t>10,000 Food</t>
  </si>
  <si>
    <t>https://riseofkingdoms.fandom.com/wiki/Buildings/Shop</t>
  </si>
  <si>
    <t>(5) Lv. 2 Tome of Knowledge</t>
  </si>
  <si>
    <t xml:space="preserve">1 Golden Key </t>
  </si>
  <si>
    <t>10,000 Wood</t>
  </si>
  <si>
    <t>https://my.liquidandgrit.com/library/gallery/lucerne-scrolls-rise-of-kingdoms</t>
  </si>
  <si>
    <t>(2) 15-Minute Speedup</t>
  </si>
  <si>
    <t>(5) 15m Speedup</t>
  </si>
  <si>
    <t>7,500 Stone</t>
  </si>
  <si>
    <r>
      <t xml:space="preserve">VIP Points </t>
    </r>
    <r>
      <rPr>
        <u/>
        <sz val="10"/>
        <color rgb="FF1155CC"/>
        <rFont val="Calibri"/>
        <family val="2"/>
      </rPr>
      <t>https://my.liquidandgrit.com/library/gallery/vip-and-benefits-packages-rise-of-kingdoms</t>
    </r>
  </si>
  <si>
    <t>(1) 8h Enhanced Gathering</t>
  </si>
  <si>
    <t>(1) 12h Enhanced Attack, (1) 12h Enhanced Defense</t>
  </si>
  <si>
    <t>3,000 Gold</t>
  </si>
  <si>
    <r>
      <t xml:space="preserve">Speed Up's can be purchased in exchange for various currencies, used Gem exchange rate for the valuation </t>
    </r>
    <r>
      <rPr>
        <u/>
        <sz val="10"/>
        <color rgb="FF1155CC"/>
        <rFont val="Calibri"/>
        <family val="2"/>
      </rPr>
      <t>https://my.liquidandgrit.com/library/gallery/mysterious-merchants-boutique-rise-of-kingdoms</t>
    </r>
  </si>
  <si>
    <t>1 Silver Key</t>
  </si>
  <si>
    <t>1 Territorial Teleport,  (5) Lv. 5 Tome of Knowledge</t>
  </si>
  <si>
    <t>Treasure of Wisdom</t>
  </si>
  <si>
    <r>
      <t xml:space="preserve">Cost of Items list on Famdom </t>
    </r>
    <r>
      <rPr>
        <u/>
        <sz val="10"/>
        <color rgb="FF1155CC"/>
        <rFont val="Calibri"/>
        <family val="2"/>
      </rPr>
      <t>https://riseofkingdoms.fandom.com/wiki/Items/Starlight_Sculpture</t>
    </r>
  </si>
  <si>
    <t>(3) 15-Minute Speedup</t>
  </si>
  <si>
    <t>https://my.liquidandgrit.com/library/gallery/ceroli-crisis-update-rise-of-kingdoms</t>
  </si>
  <si>
    <t>(2) 50,000 Food</t>
  </si>
  <si>
    <t>(5) Lv. 1 "Pick One" Resource Chest</t>
  </si>
  <si>
    <t>L2 Pick One Recource Chest (average valuation)</t>
  </si>
  <si>
    <t>https://my.liquidandgrit.com/library/gallery/mysterious-merchants-boutique-rise-of-kingdoms</t>
  </si>
  <si>
    <t>(2) 50,000 Wood</t>
  </si>
  <si>
    <t>(5) Basic Action Point Recovery</t>
  </si>
  <si>
    <r>
      <t xml:space="preserve">Elite Commander Sculptures &amp; Epic Sculptures </t>
    </r>
    <r>
      <rPr>
        <u/>
        <sz val="10"/>
        <color rgb="FF1155CC"/>
        <rFont val="Calibri"/>
        <family val="2"/>
      </rPr>
      <t>https://riseofkingdoms.fandom.com/wiki/Expedition</t>
    </r>
  </si>
  <si>
    <t>(2) 37,500 Stone</t>
  </si>
  <si>
    <t>(5) 15-Minute Speedup</t>
  </si>
  <si>
    <t>50,000 Food</t>
  </si>
  <si>
    <r>
      <t xml:space="preserve">30 Blueprint Fragments = 1 Blueprint. Legendary items cost 20,000,000 Gold plus materials to forge, therefore a blueprint fragment = roughly 1/30 of 20,000,000 Gold </t>
    </r>
    <r>
      <rPr>
        <u/>
        <sz val="10"/>
        <color rgb="FF1155CC"/>
        <rFont val="Calibri"/>
        <family val="2"/>
      </rPr>
      <t xml:space="preserve">https://rok.guide/equipment-guide/ </t>
    </r>
  </si>
  <si>
    <t>20 Book of Covenant</t>
  </si>
  <si>
    <t>1 Legendary Commander Sculpture, 1 Clue Card</t>
  </si>
  <si>
    <t>Food/Wood</t>
  </si>
  <si>
    <t>Treasure of the King</t>
  </si>
  <si>
    <t>50,000 Wood</t>
  </si>
  <si>
    <r>
      <rPr>
        <u/>
        <sz val="10"/>
        <color rgb="FF1155CC"/>
        <rFont val="Calibri"/>
        <family val="2"/>
      </rPr>
      <t>https://riseofkingdoms.online/rise-of-kingdoms-updated-equipment-2020/#Equipment_Chest</t>
    </r>
    <r>
      <rPr>
        <sz val="10"/>
        <color rgb="FF000000"/>
        <rFont val="Calibri"/>
        <family val="2"/>
      </rPr>
      <t xml:space="preserve"> Level 3 Material Choice Chests are available in the VIP Shop for 150 Gems, while Level 1 chests are available for 10,000 Food and Level 4 Chests are available for 600 gems, more player value using these cost valuations than Ceroli Crisis prices and more in line with the other values we're seeing. Since there's no VIP Shop value given for the Level 2 chest, we can assume the value ratio of 4:1 remains the same as the event coin prices.</t>
    </r>
  </si>
  <si>
    <t>(2) Lv. 1 "Pick One" Resource Chest, (5) Lv. 5 Tome of Knowledge</t>
  </si>
  <si>
    <t>37,500 Stone</t>
  </si>
  <si>
    <t>(10) Lv. 2 Tome of Knowledge</t>
  </si>
  <si>
    <t>(1) Lv. 2 Reserves</t>
  </si>
  <si>
    <t>15,000 Gold</t>
  </si>
  <si>
    <t>(1) 24h Enhanced Gathering</t>
  </si>
  <si>
    <t>Brand New Starlight Sculptur (60k food)</t>
  </si>
  <si>
    <t>(5) 100 VIP Points</t>
  </si>
  <si>
    <t>Bundle of Brand New Starlight Sculptures (300 gems)</t>
  </si>
  <si>
    <t>2 Golden Key</t>
  </si>
  <si>
    <t>Stone</t>
  </si>
  <si>
    <t>Silver Key</t>
  </si>
  <si>
    <t>L3 Pick One Recource Chest (average valuation)</t>
  </si>
  <si>
    <t>Bundle of Dazzing Starlight Sculptures (2000 gems)</t>
  </si>
  <si>
    <t>(5) 50,000 Food</t>
  </si>
  <si>
    <t>8 Basic Action Point Recovery</t>
  </si>
  <si>
    <t>(5) 50,000 Wood</t>
  </si>
  <si>
    <t>(10) Lv. 1 "Pick One" Resource Chest</t>
  </si>
  <si>
    <t>150,000 Food</t>
  </si>
  <si>
    <t xml:space="preserve">(5) 37,500 Stone, </t>
  </si>
  <si>
    <t>(8) Lv. 5 Tome of Knowledge</t>
  </si>
  <si>
    <t>150,000 Wood</t>
  </si>
  <si>
    <t>2 Brand New Starlight Sculpture</t>
  </si>
  <si>
    <t>112,500 Stone</t>
  </si>
  <si>
    <t>Name Plaque</t>
  </si>
  <si>
    <t>Golden Key</t>
  </si>
  <si>
    <t>50,000 Gold</t>
  </si>
  <si>
    <t>(2) 60-Minute Speedup</t>
  </si>
  <si>
    <t>12h Enhanced Attack, 12h Enhanced Defense</t>
  </si>
  <si>
    <t>(1) Lv. 2 Reserves, 8 Basic Action Point Recovery</t>
  </si>
  <si>
    <t>2 Elite Commander Sculpture</t>
  </si>
  <si>
    <t>1 Emoji</t>
  </si>
  <si>
    <t>Ceroli Coins</t>
  </si>
  <si>
    <t>60-Minute Speedup</t>
  </si>
  <si>
    <t>10 Basic Action Point Recovery</t>
  </si>
  <si>
    <t>20 Arrow of Resistance</t>
  </si>
  <si>
    <t>24h Enhanced Gathering</t>
  </si>
  <si>
    <t>8h Enhanced Gathering</t>
  </si>
  <si>
    <t>(10) Lv. 3 Tome of Knowledge</t>
  </si>
  <si>
    <t>(4) Lv. 1 Material Choice Chest</t>
  </si>
  <si>
    <t>3 Silver Key</t>
  </si>
  <si>
    <t>1 Avatar Frame, 5 equipment blueprint fragments</t>
  </si>
  <si>
    <t>(10) Lv. 5 Tome of Knowledge</t>
  </si>
  <si>
    <t>30 Book of Covenant</t>
  </si>
  <si>
    <t>(6) 60-Minute Speedup</t>
  </si>
  <si>
    <t>12 Basic Action Point Recovery</t>
  </si>
  <si>
    <t>24h Enhanced Attack</t>
  </si>
  <si>
    <t>1 Clue Card</t>
  </si>
  <si>
    <t>12h Enhanced Attack/Defense</t>
  </si>
  <si>
    <t>(8) Lv. 1 Material Choice Chest</t>
  </si>
  <si>
    <t>(15) Lv. 3 Tome of Knowledge</t>
  </si>
  <si>
    <t>3 Treasure of Wisdom</t>
  </si>
  <si>
    <t>1 Golden Key</t>
  </si>
  <si>
    <t>12h Enhanced Defense</t>
  </si>
  <si>
    <t>2 Epic Commander Sculpture</t>
  </si>
  <si>
    <t>1 Armillary Sphere Cosmetic Item, 5 equipment blueprint fragments</t>
  </si>
  <si>
    <t>Territorial Teleport</t>
  </si>
  <si>
    <t xml:space="preserve">(5) Lv. 2 Material Choice Chest </t>
  </si>
  <si>
    <t>(5) 60-Minute Speedup</t>
  </si>
  <si>
    <t>(10) 60-Minute Speedup</t>
  </si>
  <si>
    <t>(1) Lv. 3 Reserves</t>
  </si>
  <si>
    <t>12h Enhanced Attack</t>
  </si>
  <si>
    <t>24h Enhanced Defense</t>
  </si>
  <si>
    <t xml:space="preserve">1 Emoji </t>
  </si>
  <si>
    <t>Book of Covenant</t>
  </si>
  <si>
    <t>(2) 500,000 Food</t>
  </si>
  <si>
    <t>(2) 150,000 Food</t>
  </si>
  <si>
    <t>(2) 500,000 Wood</t>
  </si>
  <si>
    <t>(2) 150,000 Wood</t>
  </si>
  <si>
    <t>(2) 375,000 Stone</t>
  </si>
  <si>
    <t>2 Dazzling Starlight Sculpture</t>
  </si>
  <si>
    <t>(2) Lv. 3 Material Choice Chest (?), 1 Legendary Command Sculpture</t>
  </si>
  <si>
    <t>Basic Action Point Recovery</t>
  </si>
  <si>
    <t>3 Epic Commander Sculpture</t>
  </si>
  <si>
    <t>(2) 112,500 Stone</t>
  </si>
  <si>
    <t>(3) 50,000 Gold</t>
  </si>
  <si>
    <t>5 Brand New Starlight Sculpture</t>
  </si>
  <si>
    <t>1 Emoji, 5 Advanced Action Point Recovery</t>
  </si>
  <si>
    <t>Arrow of Resistance</t>
  </si>
  <si>
    <t>(5) Lv. 3 Tome of Knowledge</t>
  </si>
  <si>
    <t>(8) 60-Minute Speedup</t>
  </si>
  <si>
    <t xml:space="preserve">(6) Lv. 3 Material Choice Chest </t>
  </si>
  <si>
    <t>1 Legendary Commander Sculpture, 10 equipment blueprint fragments</t>
  </si>
  <si>
    <t>Dazzling Starlight Sculpture</t>
  </si>
  <si>
    <t>(3) 3h Speedup</t>
  </si>
  <si>
    <t>(3) 150,000 Wood</t>
  </si>
  <si>
    <t>1 Emoji, 1 Clue Card</t>
  </si>
  <si>
    <t>Item 15</t>
  </si>
  <si>
    <t>Elite Commander Sculpture</t>
  </si>
  <si>
    <t>(5) 1,000 VIP Points</t>
  </si>
  <si>
    <t>5 Golden Key</t>
  </si>
  <si>
    <t>2 Dazzling Starlight Sculpture, 10 equipment blueprint fragments</t>
  </si>
  <si>
    <t>Item 16</t>
  </si>
  <si>
    <t>Epic Commander Sculpture</t>
  </si>
  <si>
    <t xml:space="preserve">(7) Lv. 3 Material Choice Chest </t>
  </si>
  <si>
    <t>1 Advanced Army Expansion</t>
  </si>
  <si>
    <t>1 Lv. 4 Reserves</t>
  </si>
  <si>
    <t>(8) Lv. 3 "Pick One" Resource Chest</t>
  </si>
  <si>
    <t>1 Emoji, 1 Dazzling Starlight Sculpture</t>
  </si>
  <si>
    <t>Item 17</t>
  </si>
  <si>
    <t>Legendary Commander Sculpture</t>
  </si>
  <si>
    <t>8 Treasure of Wisdom</t>
  </si>
  <si>
    <t>1 Dazzling Starlight Sculpture</t>
  </si>
  <si>
    <t>2 Lv. 4 Material Choice Chest</t>
  </si>
  <si>
    <t>1 City Theme, 1 Legendary Commander Sculpture</t>
  </si>
  <si>
    <t>Item 18</t>
  </si>
  <si>
    <t>Lv. 1 Material Choice Chest</t>
  </si>
  <si>
    <t>Item 19</t>
  </si>
  <si>
    <t>Lv. 2 Material Choice Chest</t>
  </si>
  <si>
    <t>Item 20</t>
  </si>
  <si>
    <t>Level 3 Material Choice Chest</t>
  </si>
  <si>
    <t>Item 21</t>
  </si>
  <si>
    <t>Level 4 Material Choice Chest</t>
  </si>
  <si>
    <t>Item 29</t>
  </si>
  <si>
    <t>Name Plaque/Avatar Frame</t>
  </si>
  <si>
    <t>Item 30</t>
  </si>
  <si>
    <t>Emoji</t>
  </si>
  <si>
    <t>Item 31</t>
  </si>
  <si>
    <t>Armillary Sphere/City Theme</t>
  </si>
  <si>
    <t>Item 32</t>
  </si>
  <si>
    <t>Advanced Army Expansion</t>
  </si>
  <si>
    <t>Item 33</t>
  </si>
  <si>
    <t>AVERAGE SESSION DATA</t>
  </si>
  <si>
    <t>PUZZLE RAW DATA</t>
  </si>
  <si>
    <t>CASINO RAW DATA</t>
  </si>
  <si>
    <t>RPG RAW DATA</t>
  </si>
  <si>
    <t>SIMS RAW DATA</t>
  </si>
  <si>
    <t>Sessions
(per day)</t>
  </si>
  <si>
    <t>Minutes
(per session)</t>
  </si>
  <si>
    <t>Total Time (mins)</t>
  </si>
  <si>
    <t>Total Time (hrs)</t>
  </si>
  <si>
    <t>Session Count (2020 Q3 cvs)</t>
  </si>
  <si>
    <t>Unified ID</t>
  </si>
  <si>
    <t>Unified Name</t>
  </si>
  <si>
    <t>Unified Publisher</t>
  </si>
  <si>
    <t>Unified Publisher Name</t>
  </si>
  <si>
    <t>App ID</t>
  </si>
  <si>
    <t>App Name</t>
  </si>
  <si>
    <t>Publisher ID</t>
  </si>
  <si>
    <t>Publisher Name</t>
  </si>
  <si>
    <t>Country</t>
  </si>
  <si>
    <t>Date</t>
  </si>
  <si>
    <t>Average (Sessions)</t>
  </si>
  <si>
    <t>1 Session / Day</t>
  </si>
  <si>
    <t>2 Sessions / Day</t>
  </si>
  <si>
    <t>3 Sessions / Day</t>
  </si>
  <si>
    <t>4 Sessions / Day</t>
  </si>
  <si>
    <t>5 Sessions / Day</t>
  </si>
  <si>
    <t>6 Sessions / Day</t>
  </si>
  <si>
    <t>7 Sessions / Day</t>
  </si>
  <si>
    <t>8 Sessions / Day</t>
  </si>
  <si>
    <t>9 - 15 Sessions / Day</t>
  </si>
  <si>
    <t>16 - 25 Sessions / Day</t>
  </si>
  <si>
    <t>26 - 50 Sessions / Day</t>
  </si>
  <si>
    <t>51 - 100 Sessions / Day</t>
  </si>
  <si>
    <t>101 - 200 Sessions / Day</t>
  </si>
  <si>
    <t>201 - 500 Sessions / Day</t>
  </si>
  <si>
    <t>500+ Sessions / Day</t>
  </si>
  <si>
    <t>55bc18e6f8e9a7d9e90001f2</t>
  </si>
  <si>
    <t>Angry Birds 2</t>
  </si>
  <si>
    <t>5604883d8ac3501722000ead</t>
  </si>
  <si>
    <t>Rovio Entertainment Ltd</t>
  </si>
  <si>
    <t>Rovio Entertainment Oyj</t>
  </si>
  <si>
    <t>WW</t>
  </si>
  <si>
    <t>55c5022802ac64f9c0001f80</t>
  </si>
  <si>
    <t>Bingo Bash HD feat. MONOPOLY</t>
  </si>
  <si>
    <t>5614c2e53f07e25d29006d3d</t>
  </si>
  <si>
    <t>Game Show Network</t>
  </si>
  <si>
    <t>Bingo Bash featuring MONOPOLY</t>
  </si>
  <si>
    <t>BitRhymes Inc.</t>
  </si>
  <si>
    <t>55b2fb34367707902e0012e2</t>
  </si>
  <si>
    <t>BLEACH Brave Souls - 3D Action</t>
  </si>
  <si>
    <t>5614cbc93f07e25d2900fd56</t>
  </si>
  <si>
    <t>KLab Global</t>
  </si>
  <si>
    <t>KLab Inc.</t>
  </si>
  <si>
    <t>57a29525b05f4c77ef000033</t>
  </si>
  <si>
    <t>Choices: Stories You Play</t>
  </si>
  <si>
    <t>561dbb4d3f07e2c9bd00015f</t>
  </si>
  <si>
    <t>NEXON Company</t>
  </si>
  <si>
    <t>Pixelberry Studios</t>
  </si>
  <si>
    <t>55c52f2002ac64f9c0002d6c</t>
  </si>
  <si>
    <t>Best Fiends - Free Puzzle Game</t>
  </si>
  <si>
    <t>5614c22f3f07e25d290063a9</t>
  </si>
  <si>
    <t>Playtika LTD</t>
  </si>
  <si>
    <t>Best Fiends - Puzzle Adventure</t>
  </si>
  <si>
    <t>Seriously</t>
  </si>
  <si>
    <t>55c5025102ac64f9c0001f98</t>
  </si>
  <si>
    <t>Bingo Blitz™ - BINGO games</t>
  </si>
  <si>
    <t>Playtika Santa Monica, LLC</t>
  </si>
  <si>
    <t>576fc77df7b5cc0861000419</t>
  </si>
  <si>
    <t>Empires &amp; Puzzles: Epic Match 3</t>
  </si>
  <si>
    <t>560487768ac350172200017c</t>
  </si>
  <si>
    <t>Zynga</t>
  </si>
  <si>
    <t>Empires &amp; Puzzles Epic Match 3</t>
  </si>
  <si>
    <t>Small Giant Games</t>
  </si>
  <si>
    <t>59f0b8c00211a6c1fbe7230b</t>
  </si>
  <si>
    <t>Animal Crossing: Pocket Camp</t>
  </si>
  <si>
    <t>56ea4b8e02ac64817500002c</t>
  </si>
  <si>
    <t>Nintendo Co., Ltd.</t>
  </si>
  <si>
    <t>572e371755b6d70837000111</t>
  </si>
  <si>
    <t>Bubble Witch 3 Saga</t>
  </si>
  <si>
    <t>5614ca1f3f07e25d2900dd2c</t>
  </si>
  <si>
    <t>King</t>
  </si>
  <si>
    <t>55c5026502ac64f9c0001fa0</t>
  </si>
  <si>
    <t>Big Fish Casino: Big Win Slots</t>
  </si>
  <si>
    <t>56289df502ac6486a7009de2</t>
  </si>
  <si>
    <t>Aristocrat Technologies Inc.</t>
  </si>
  <si>
    <t>Big Fish Games, Inc</t>
  </si>
  <si>
    <t>5ab1c8847215621610997528</t>
  </si>
  <si>
    <t>DRAGON BALL LEGENDS</t>
  </si>
  <si>
    <t>5614c2323f07e25d290063fd</t>
  </si>
  <si>
    <t>BANDAI NAMCO Entertainment Inc.</t>
  </si>
  <si>
    <t>59a4c78bf6b0f53461f7c352</t>
  </si>
  <si>
    <t>Chapters: Interactive Stories</t>
  </si>
  <si>
    <t>58f9d16a5909053556000397</t>
  </si>
  <si>
    <t>Crazy Maple Studio Dev</t>
  </si>
  <si>
    <t>Crazy Maple Studio, Inc.</t>
  </si>
  <si>
    <t>563cd60702ac642116000092</t>
  </si>
  <si>
    <t>Candy Crush Jelly Saga</t>
  </si>
  <si>
    <t>598c2bebb3606fa41d406de6</t>
  </si>
  <si>
    <t>Bingo Party - Slots Bingo Game</t>
  </si>
  <si>
    <t>5628920002ac648b28005593</t>
  </si>
  <si>
    <t>NGames Interactive Limited</t>
  </si>
  <si>
    <t>Avid.ly</t>
  </si>
  <si>
    <t>5b2c8afd8df5ae28d425e66c</t>
  </si>
  <si>
    <t>剑与远征 - AFK</t>
  </si>
  <si>
    <t>59418862660953716600e6f7</t>
  </si>
  <si>
    <t>Lilith Games 莉莉丝</t>
  </si>
  <si>
    <t>AFK Arena</t>
  </si>
  <si>
    <t>Lilith Games</t>
  </si>
  <si>
    <t>5bb08296441af15f1bd3ced4</t>
  </si>
  <si>
    <t>BitLife - Life Simulator</t>
  </si>
  <si>
    <t>560c4a178ac350643900dbf8</t>
  </si>
  <si>
    <t>Stillfront Group</t>
  </si>
  <si>
    <t>Candywriter, LLC</t>
  </si>
  <si>
    <t>55c5213e02ac64f9c0002957</t>
  </si>
  <si>
    <t>55c5186602ac64f9c00026db</t>
  </si>
  <si>
    <t>Bingo Pop - Live Multiplayer Bingo Games for Free</t>
  </si>
  <si>
    <t>561f26e002ac641817000082</t>
  </si>
  <si>
    <t>Jam City</t>
  </si>
  <si>
    <t>Bingo Pop - Bingo Games</t>
  </si>
  <si>
    <t>Jam City, Inc.</t>
  </si>
  <si>
    <t>58935c5b0211a6ef4800053e</t>
  </si>
  <si>
    <t>Fire Emblem Heroes</t>
  </si>
  <si>
    <t>55c509ac02ac64f9c0002253</t>
  </si>
  <si>
    <t>Covet Fashion</t>
  </si>
  <si>
    <t>5614b2f83f07e2077c0000b4</t>
  </si>
  <si>
    <t>Glu Games Inc</t>
  </si>
  <si>
    <t>Crowdstar Inc</t>
  </si>
  <si>
    <t>55c5028802ac64f9c0001faf</t>
  </si>
  <si>
    <t>Candy Crush Saga</t>
  </si>
  <si>
    <t>55c5061302ac64f9c000211f</t>
  </si>
  <si>
    <t>Caesars Casino: Free Slots Machines</t>
  </si>
  <si>
    <t>Caesars® Casino: Vegas Slots</t>
  </si>
  <si>
    <t>58dfb7ea0211a658e200164c</t>
  </si>
  <si>
    <t>Final Fantasy XV: A New Empire</t>
  </si>
  <si>
    <t>5b636e91197e97572b98422b</t>
  </si>
  <si>
    <t>AppLovin Corp</t>
  </si>
  <si>
    <t>Epic Action LLC</t>
  </si>
  <si>
    <t>55c5239902ac64f9c0002a0f</t>
  </si>
  <si>
    <t>Cooking Fever</t>
  </si>
  <si>
    <t>560c3f8c8ac3506439001059</t>
  </si>
  <si>
    <t>Nordcurrent</t>
  </si>
  <si>
    <t>Nordcurrent UAB</t>
  </si>
  <si>
    <t>55d3a1a802ac64350a000cde</t>
  </si>
  <si>
    <t>Farm Heroes Saga</t>
  </si>
  <si>
    <t>54f62f165e8f3a148e002e74</t>
  </si>
  <si>
    <t>Bingo Showdown Free Bingo Games – Bingo Live Game</t>
  </si>
  <si>
    <t>55f8936c8ac350426b0382e4</t>
  </si>
  <si>
    <t>Scientific Games International</t>
  </si>
  <si>
    <t>Bingo Showdown -&gt; Bingo Live!</t>
  </si>
  <si>
    <t>Spicerack Media</t>
  </si>
  <si>
    <t>59a71013ed698535fafe4c3e</t>
  </si>
  <si>
    <t>Guns of Glory</t>
  </si>
  <si>
    <t>5604d5348ac35017220403c0</t>
  </si>
  <si>
    <t>FunPlus 趣加</t>
  </si>
  <si>
    <t>Guns of Glory: Conquer Empires</t>
  </si>
  <si>
    <t>DianDian Interactive Holding</t>
  </si>
  <si>
    <t>59d0531a1d733b0cdf396825</t>
  </si>
  <si>
    <t>Cooking Madness - A Chef's Restaurant Games</t>
  </si>
  <si>
    <t>5629536a3f07e28dd100255e</t>
  </si>
  <si>
    <t>Zenjoy 创智优品</t>
  </si>
  <si>
    <t>Cooking Madness-Kitchen Frenzy</t>
  </si>
  <si>
    <t>ZenLife Games Pte. Ltd.</t>
  </si>
  <si>
    <t>55c513de02ac64f9c00025b3</t>
  </si>
  <si>
    <t>Cookie Jam: Match 3 Games</t>
  </si>
  <si>
    <t>5c3ab0fa8e194353916d7359</t>
  </si>
  <si>
    <t>Cash Frenzy™ Casino – Free Slots Games</t>
  </si>
  <si>
    <t>59680343b3606fe236000257</t>
  </si>
  <si>
    <t>GRANDE GAMES LIMITED</t>
  </si>
  <si>
    <t>Cash Frenzy™ - Slots Casino</t>
  </si>
  <si>
    <t>5b5fdff0a12e6e4f653a7150</t>
  </si>
  <si>
    <t>Epic Seven</t>
  </si>
  <si>
    <t>5614c4553f07e25d290082d3</t>
  </si>
  <si>
    <t>Smilegate</t>
  </si>
  <si>
    <t>Smilegate Megaport</t>
  </si>
  <si>
    <t>5bc86122249f1f7588cd3c48</t>
  </si>
  <si>
    <t>Diner DASH Adventures</t>
  </si>
  <si>
    <t>57145b0f1525cf06d20103f9</t>
  </si>
  <si>
    <t>Disney Emoji Blitz</t>
  </si>
  <si>
    <t>55c5021002ac64f9c0001f68</t>
  </si>
  <si>
    <t>DoubleDown™- Casino Slots Game</t>
  </si>
  <si>
    <t>5614e2033f07e25d2901c559</t>
  </si>
  <si>
    <t>DoubleUCasino</t>
  </si>
  <si>
    <t>Double Down Interactive LLC</t>
  </si>
  <si>
    <t>567a0aee0f1225ea0e006fe9</t>
  </si>
  <si>
    <t>Lords Mobile: Kingdom Wars</t>
  </si>
  <si>
    <t>560c460b8ac3506439006e05</t>
  </si>
  <si>
    <t>IGG 天盟数码</t>
  </si>
  <si>
    <t>IGG.COM</t>
  </si>
  <si>
    <t>5378330e830f782dbe000189</t>
  </si>
  <si>
    <t>Episode - Choose Your Story</t>
  </si>
  <si>
    <t>5614bf093f07e25d29003e54</t>
  </si>
  <si>
    <t>Pocket Gems, Inc.</t>
  </si>
  <si>
    <t>Episode Interactive</t>
  </si>
  <si>
    <t>55d93ce402ac645ad20bc510</t>
  </si>
  <si>
    <t>5614b8de3f07e25d29001b9e</t>
  </si>
  <si>
    <t>Playrix</t>
  </si>
  <si>
    <t>55d20e5102ac64ee730004a7</t>
  </si>
  <si>
    <t>DoubleU Casino: Vegas Slots</t>
  </si>
  <si>
    <t>DoubleUGames Co., Ltd.</t>
  </si>
  <si>
    <t>573d973122cbf508c500071e</t>
  </si>
  <si>
    <t>King of Avalon: Dominion</t>
  </si>
  <si>
    <t>King of Avalon: Dragon Warfare</t>
  </si>
  <si>
    <t>56f3579c3ca045a67c00326e</t>
  </si>
  <si>
    <t>Disney Magic Kingdoms: Build Your Own Magical Park</t>
  </si>
  <si>
    <t>5614b3033f07e2077c0001a7</t>
  </si>
  <si>
    <t>Gameloft</t>
  </si>
  <si>
    <t>Disney Magic Kingdoms</t>
  </si>
  <si>
    <t>55c52bb402ac64f9c0002c65</t>
  </si>
  <si>
    <t>Gummy Drop! Match 3 Puzzles</t>
  </si>
  <si>
    <t>5945b0784e7c854f2400a04e</t>
  </si>
  <si>
    <t>Cashman Casino Las Vegas Slots</t>
  </si>
  <si>
    <t>Product Madness</t>
  </si>
  <si>
    <t>5a1417220211a63c3f58b18b</t>
  </si>
  <si>
    <t>MARVEL Strike Force: Squad RPG</t>
  </si>
  <si>
    <t>560c44e48ac3506439005117</t>
  </si>
  <si>
    <t>Scopely</t>
  </si>
  <si>
    <t>55d3a19e02ac64350a0000f8</t>
  </si>
  <si>
    <t>FarmVille 2: Country Escape</t>
  </si>
  <si>
    <t>Zynga Inc.</t>
  </si>
  <si>
    <t>582219400211a6c9240005fc</t>
  </si>
  <si>
    <t>5ca5e0755c6ace4340e65ed0</t>
  </si>
  <si>
    <t>Game of Thrones Slots Casino</t>
  </si>
  <si>
    <t>59dee20f4bd49d34db0a4b25</t>
  </si>
  <si>
    <t>Last Shelter: Survival</t>
  </si>
  <si>
    <t>562947693f07e236f9002bd3</t>
  </si>
  <si>
    <t>Long Tech 龙创悦动</t>
  </si>
  <si>
    <t>LONG TECH NETWORK LIMITED</t>
  </si>
  <si>
    <t>5b4a1d27d8ac4454c95d8a6a</t>
  </si>
  <si>
    <t>Game of Sultans</t>
  </si>
  <si>
    <t>5629578b3f07e28dd1031bdb</t>
  </si>
  <si>
    <t>Mechanist Games 梦加</t>
  </si>
  <si>
    <t>Mechanist</t>
  </si>
  <si>
    <t>5a6acac2eaad1f66d47827a9</t>
  </si>
  <si>
    <t>Home Design Makeover</t>
  </si>
  <si>
    <t>Storm8 Studios</t>
  </si>
  <si>
    <t>561724503f07e29abf000001</t>
  </si>
  <si>
    <t>Hit it Rich! Lucky Vegas Slot</t>
  </si>
  <si>
    <t>55ea2eb392e74c8309005260</t>
  </si>
  <si>
    <t>Star Wars™: Galaxy of Heroes</t>
  </si>
  <si>
    <t>56289c8802ac6486a700139c</t>
  </si>
  <si>
    <t>Electronic Arts</t>
  </si>
  <si>
    <t>55c5022602ac64f9c0001f7c</t>
  </si>
  <si>
    <t>Hay Day</t>
  </si>
  <si>
    <t>560c48b48ac350643900b82d</t>
  </si>
  <si>
    <t>Supercell</t>
  </si>
  <si>
    <t>597a55930211a69d0f000000</t>
  </si>
  <si>
    <t>55d93dd702ac645ad20e8f2b</t>
  </si>
  <si>
    <t>Heart of Vegas Casino Slots</t>
  </si>
  <si>
    <t>5ac2bdddcfc03208313848db</t>
  </si>
  <si>
    <t>Rise of Kingdoms: Lost Crusade</t>
  </si>
  <si>
    <t>Rise of Kingdoms</t>
  </si>
  <si>
    <t>55c5247f02ac64f9c0002a59</t>
  </si>
  <si>
    <t>Kim Kardashian: Hollywood</t>
  </si>
  <si>
    <t>589a7f2d9ed8007709000591</t>
  </si>
  <si>
    <t>June's Journey: Hidden Objects</t>
  </si>
  <si>
    <t>wooga</t>
  </si>
  <si>
    <t>55d20e5802ac64ee73000618</t>
  </si>
  <si>
    <t>Gold Fish Casino Slots Games</t>
  </si>
  <si>
    <t>Phantom EFX, Inc.</t>
  </si>
  <si>
    <t>5b3d92208c445c1388bd08a4</t>
  </si>
  <si>
    <t>RAID: Shadow Legends</t>
  </si>
  <si>
    <t>Plarium Global Ltd</t>
  </si>
  <si>
    <t>597969d42622e430fb0004dc</t>
  </si>
  <si>
    <t>Klondike Adventures</t>
  </si>
  <si>
    <t>570de1ee02ac645349000015</t>
  </si>
  <si>
    <t>VIZOR APPS CORP.</t>
  </si>
  <si>
    <t>5ad40b355e2ad05c336f1ffb</t>
  </si>
  <si>
    <t>Lost Island: Adventure Quest &amp; Magical Tile Match</t>
  </si>
  <si>
    <t>Lost Island: A Tropical Blast</t>
  </si>
  <si>
    <t>55c5378102ac64f9c0003015</t>
  </si>
  <si>
    <t>Governor of Poker 3 - Texas Holdem With Friends</t>
  </si>
  <si>
    <t>56048bcb8ac3501722002f29</t>
  </si>
  <si>
    <t>Youda Games Holding B.V.</t>
  </si>
  <si>
    <t>Governor of Poker 3 - Friends</t>
  </si>
  <si>
    <t>5ba4585f539ce75b97db6bcb</t>
  </si>
  <si>
    <t>Star Trek™ Fleet Command</t>
  </si>
  <si>
    <t>Star Trek Fleet Command</t>
  </si>
  <si>
    <t>58f98ac30bc24808080019ff</t>
  </si>
  <si>
    <t>Love Nikki-Dress UP Queen</t>
  </si>
  <si>
    <t>5e12cd35da677608ed2e15e9</t>
  </si>
  <si>
    <t>Galaxy Play Technology Limited</t>
  </si>
  <si>
    <t>5be4ffa2da35f115404e57be</t>
  </si>
  <si>
    <t>Lily’s Garden: Design &amp; Relax</t>
  </si>
  <si>
    <t>5c8303a05c6ace2f9cd545cc</t>
  </si>
  <si>
    <t>Tactile Games ApS</t>
  </si>
  <si>
    <t>55d20e3b02ac64ee73000055</t>
  </si>
  <si>
    <t>Jackpot Party - Casino Slots</t>
  </si>
  <si>
    <t>55c51de102ac64f9c0002861</t>
  </si>
  <si>
    <t>Summoners War</t>
  </si>
  <si>
    <t>56180cd302ac64312d00001a</t>
  </si>
  <si>
    <t>GAMEVIL</t>
  </si>
  <si>
    <t>Com2uS Corp.</t>
  </si>
  <si>
    <t>55c50ce502ac64f9c0002364</t>
  </si>
  <si>
    <t>Township</t>
  </si>
  <si>
    <t>55c5029e02ac64f9c0001fca</t>
  </si>
  <si>
    <t>Pet Rescue Saga</t>
  </si>
  <si>
    <t>53782e84830f782dbe000053</t>
  </si>
  <si>
    <t>House of Fun™ - Casino Slots</t>
  </si>
  <si>
    <t>PLAYTIKA UK - HOUSE OF FUN LIMITED</t>
  </si>
  <si>
    <t>RPG Average Session Count</t>
  </si>
  <si>
    <t>55c52ff602ac64f9c0002dbe</t>
  </si>
  <si>
    <t>SimCity BuildIt</t>
  </si>
  <si>
    <t>55c513a902ac64f9c000259e</t>
  </si>
  <si>
    <t>Bubble Shooter - Panda Pop!</t>
  </si>
  <si>
    <t>55f3733b02ac64eb8400006e</t>
  </si>
  <si>
    <t>Huuuge Casino Slots - Best Slot Machines</t>
  </si>
  <si>
    <t>5614bc773f07e25d29002a45</t>
  </si>
  <si>
    <t>Huuuge Games Sp. z o.o.</t>
  </si>
  <si>
    <t>Huuuge Casino Slots Vegas 777</t>
  </si>
  <si>
    <t>Huuuge Global Ltd.</t>
  </si>
  <si>
    <t>57f5d48c0211a66ba8000066</t>
  </si>
  <si>
    <t>My Story: Choose Your Own Path</t>
  </si>
  <si>
    <t>nanobitsoftware.com</t>
  </si>
  <si>
    <t>593841480211a63b60000a27</t>
  </si>
  <si>
    <t>5b2a0de5c8eb5531ec3e47d8</t>
  </si>
  <si>
    <t>Firecraft 时空幻境</t>
  </si>
  <si>
    <t>Firecraft Studios Ltd.</t>
  </si>
  <si>
    <t>5723f74380df7b27a2003fa0</t>
  </si>
  <si>
    <t>Jackpot Magic Slots™ &amp; Casino</t>
  </si>
  <si>
    <t>Session Duration (2020 Q3 cvs)</t>
  </si>
  <si>
    <t>59125ef60211a6ffc90022d0</t>
  </si>
  <si>
    <t>The Sims™ Mobile</t>
  </si>
  <si>
    <t>594990020211a674a00013c6</t>
  </si>
  <si>
    <t>Solitaire Grand Harvest - Free Tripeaks Solitaire</t>
  </si>
  <si>
    <t>Solitaire Grand Harvest</t>
  </si>
  <si>
    <t>Supertreat</t>
  </si>
  <si>
    <t>564c794602ac64ba7d0000b8</t>
  </si>
  <si>
    <t>my KONAMI - Real Vegas Slots</t>
  </si>
  <si>
    <t>560c5bb68ac35064390237c1</t>
  </si>
  <si>
    <t>PlayStudios</t>
  </si>
  <si>
    <t>Average (seconds)</t>
  </si>
  <si>
    <t>1s - 3s</t>
  </si>
  <si>
    <t>4s - 10s</t>
  </si>
  <si>
    <t>11s - 30s</t>
  </si>
  <si>
    <t>31s - 60s</t>
  </si>
  <si>
    <t>1m - 3m</t>
  </si>
  <si>
    <t>3m - 10m</t>
  </si>
  <si>
    <t>10m - 30m</t>
  </si>
  <si>
    <t>30m - 60m</t>
  </si>
  <si>
    <t>1h+</t>
  </si>
  <si>
    <t>Sims Average Session Count</t>
  </si>
  <si>
    <t>55c5328b02ac64f9c0002e8b</t>
  </si>
  <si>
    <t>Toy Blast</t>
  </si>
  <si>
    <t>Peak Games</t>
  </si>
  <si>
    <t>595af2650335d6788a000243</t>
  </si>
  <si>
    <t>Mega Hit Poker: Texas Holdem</t>
  </si>
  <si>
    <t>560c58d98ac350643901ee97</t>
  </si>
  <si>
    <t>Wonder People Co. Ltd</t>
  </si>
  <si>
    <t>55c525bf02ac64f9c0002a94</t>
  </si>
  <si>
    <t>Solitaire TriPeaks: Play Free Solitaire Card Games</t>
  </si>
  <si>
    <t>Solitaire TriPeaks Card Game</t>
  </si>
  <si>
    <t>5af02835c618f463caf068cb</t>
  </si>
  <si>
    <t>Lightning Link Casino Slots</t>
  </si>
  <si>
    <t>56f1e5a0ca85758a8900022a</t>
  </si>
  <si>
    <t>The Wizard of Oz Magic Match 3</t>
  </si>
  <si>
    <t>59eaa8b5a40b7408b727d581</t>
  </si>
  <si>
    <t>Lotsa Slots - Free Vegas Casino Slot Machines</t>
  </si>
  <si>
    <t>Lotsa Slots™ - Vegas Casino</t>
  </si>
  <si>
    <t>587b3b7d0211a6285800103d</t>
  </si>
  <si>
    <t>Toon Blast</t>
  </si>
  <si>
    <t>55c502b302ac64f9c0001fdb</t>
  </si>
  <si>
    <t>Texas Hold'em Poker: Pokerist</t>
  </si>
  <si>
    <t>5840c2760211a64f0b0001a5</t>
  </si>
  <si>
    <t>KamaGames</t>
  </si>
  <si>
    <t>Puzzle Average Session Count</t>
  </si>
  <si>
    <t>55c526af02ac64f9c0002aca</t>
  </si>
  <si>
    <t>Poker Heat™ - Free Texas Holdem Poker Games</t>
  </si>
  <si>
    <t>Poker Heat: Texas Holdem Poker</t>
  </si>
  <si>
    <t>55c5105202ac64f9c0002497</t>
  </si>
  <si>
    <t>myVEGAS Slots – Casino Slots</t>
  </si>
  <si>
    <t>5672398402ac6434d3000042</t>
  </si>
  <si>
    <t>POP! Slots ™- Play Vegas Casino Slot Machines!</t>
  </si>
  <si>
    <t>POP! Slots ™ Live Vegas Casino</t>
  </si>
  <si>
    <t>55c50b7302ac64f9c00022d9</t>
  </si>
  <si>
    <t>Texas Holdem Poker</t>
  </si>
  <si>
    <t>5614c1fc3f07e25d29006088</t>
  </si>
  <si>
    <t>GeaxGame Inc</t>
  </si>
  <si>
    <t>Guizhou Yingfantian Online Game Co.,Ltd.</t>
  </si>
  <si>
    <t>55c5020a02ac64f9c0001f66</t>
  </si>
  <si>
    <t>Slotomania™ Free Slots: Casino Slot Machine Games</t>
  </si>
  <si>
    <t>Slotomania™ Vegas Casino Slots</t>
  </si>
  <si>
    <t>55c5394402ac64f9c0003086</t>
  </si>
  <si>
    <t>Scatter Slots - Slot Machines</t>
  </si>
  <si>
    <t>5614c49d3f07e25d29008848</t>
  </si>
  <si>
    <t>Murka Ltd.</t>
  </si>
  <si>
    <t>Murka Games Limited</t>
  </si>
  <si>
    <t>55fac6f202ac64c13c000081</t>
  </si>
  <si>
    <t>Quick Hit Slots - Casino Games</t>
  </si>
  <si>
    <t>Appchi Media Ltd</t>
  </si>
  <si>
    <t>55d20e3902ac64ee7300002b</t>
  </si>
  <si>
    <t>Zynga Poker - Texas Holdem</t>
  </si>
  <si>
    <t>55c506cf02ac64f9c000215e</t>
  </si>
  <si>
    <t>World Series of Poker - WSOP</t>
  </si>
  <si>
    <t>55d3a1a802ac64350a000dc8</t>
  </si>
  <si>
    <t>Wizard of Oz: Casino Slots</t>
  </si>
  <si>
    <t>Casino Average Session Count</t>
  </si>
  <si>
    <t>RPG Average Session Duration (sec)</t>
  </si>
  <si>
    <t>RPG Average Session Duration (mins)</t>
  </si>
  <si>
    <t>Time Spent (2020 Q3 cvs)</t>
  </si>
  <si>
    <t>1s - 3s Spent / Day</t>
  </si>
  <si>
    <t>4s - 10s Spent / Day</t>
  </si>
  <si>
    <t>11s - 30s Spent / Day</t>
  </si>
  <si>
    <t>31s - 60s Spent / Day</t>
  </si>
  <si>
    <t>1m - 3m Spent / Day</t>
  </si>
  <si>
    <t>3m - 10m Spent / Day</t>
  </si>
  <si>
    <t>10m - 30m Spent / Day</t>
  </si>
  <si>
    <t>30m - 60m Spent / Day</t>
  </si>
  <si>
    <t>1h - 10h Spent / Day</t>
  </si>
  <si>
    <t>10h+ Spent / Day</t>
  </si>
  <si>
    <t>Sims Average Session Duration (sec)</t>
  </si>
  <si>
    <t>Sims Average Session Duration (mins)</t>
  </si>
  <si>
    <t>Puzzle Average Session Duration (sec)</t>
  </si>
  <si>
    <t>Puzzle Average Session Duration (mins)</t>
  </si>
  <si>
    <t>RPG Average Total Time (per day/sec)</t>
  </si>
  <si>
    <t>RPG Average Total Time (per day/min)</t>
  </si>
  <si>
    <t>Sims Average Total Time (per day/sec)</t>
  </si>
  <si>
    <t>Sims Average Total Time (per day/min)</t>
  </si>
  <si>
    <t>Casino Average Session Duration (sec)</t>
  </si>
  <si>
    <t>Casino Average Session Duration (mins)</t>
  </si>
  <si>
    <t>Puzzle Average Total Time (per day/sec)</t>
  </si>
  <si>
    <t>Puzzle Average Total Time (per day/min)</t>
  </si>
  <si>
    <t>Casino Average Total Time (per day/sec)</t>
  </si>
  <si>
    <t>Casino Average Total Time (per day/min)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</si>
</sst>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0"/>
    <numFmt numFmtId="165" formatCode="&quot;$&quot;#,##0.00"/>
    <numFmt numFmtId="166" formatCode="&quot;$&quot;#,##0.000"/>
    <numFmt numFmtId="167" formatCode="&quot;$&quot;#,##0.000000"/>
    <numFmt numFmtId="168" formatCode="&quot;$&quot;#,##0.0000"/>
    <numFmt numFmtId="169" formatCode="0.0%"/>
    <numFmt numFmtId="170" formatCode="&quot;$&quot;#,##0.00000"/>
    <numFmt numFmtId="171" formatCode="0.0"/>
    <numFmt numFmtId="172" formatCode="#,##0.0000"/>
    <numFmt numFmtId="173" formatCode="&quot;$&quot;#,##0.0000000"/>
    <numFmt numFmtId="174" formatCode="m&quot;/&quot;d&quot;/&quot;yy"/>
  </numFmts>
  <fonts count="36" x14ac:knownFonts="1">
    <font>
      <sz val="10"/>
      <color rgb="FF000000"/>
      <name val="Arial"/>
    </font>
    <font>
      <b/>
      <i/>
      <sz val="14"/>
      <color rgb="FFFFFFFF"/>
      <name val="Calibri"/>
      <family val="2"/>
    </font>
    <font>
      <sz val="14"/>
      <color theme="1"/>
      <name val="Calibri"/>
      <family val="2"/>
    </font>
    <font>
      <sz val="14"/>
      <color rgb="FFFFFFFF"/>
      <name val="Calibri"/>
      <family val="2"/>
    </font>
    <font>
      <b/>
      <sz val="12"/>
      <color rgb="FFFFFFFF"/>
      <name val="Calibri"/>
      <family val="2"/>
    </font>
    <font>
      <sz val="10"/>
      <name val="Arial"/>
      <family val="2"/>
    </font>
    <font>
      <b/>
      <sz val="11"/>
      <color rgb="FFFFFFFF"/>
      <name val="Calibri"/>
      <family val="2"/>
    </font>
    <font>
      <sz val="10"/>
      <color theme="1"/>
      <name val="Calibri"/>
      <family val="2"/>
    </font>
    <font>
      <sz val="10"/>
      <color theme="1"/>
      <name val="Arial"/>
      <family val="2"/>
    </font>
    <font>
      <sz val="10"/>
      <name val="Calibri"/>
      <family val="2"/>
    </font>
    <font>
      <b/>
      <sz val="10"/>
      <color theme="1"/>
      <name val="Calibri"/>
      <family val="2"/>
    </font>
    <font>
      <sz val="10"/>
      <color rgb="FF000000"/>
      <name val="Calibri"/>
      <family val="2"/>
    </font>
    <font>
      <b/>
      <u/>
      <sz val="12"/>
      <color rgb="FF1155CC"/>
      <name val="Arial"/>
      <family val="2"/>
    </font>
    <font>
      <b/>
      <sz val="10"/>
      <color rgb="FF20304F"/>
      <name val="Calibri"/>
      <family val="2"/>
    </font>
    <font>
      <sz val="10"/>
      <color rgb="FF20304F"/>
      <name val="Calibri"/>
      <family val="2"/>
    </font>
    <font>
      <b/>
      <i/>
      <sz val="8"/>
      <color rgb="FFFFFFFF"/>
      <name val="Calibri"/>
      <family val="2"/>
    </font>
    <font>
      <u/>
      <sz val="10"/>
      <color rgb="FF1155CC"/>
      <name val="Calibri"/>
      <family val="2"/>
    </font>
    <font>
      <b/>
      <sz val="10"/>
      <color rgb="FF000000"/>
      <name val="Calibri"/>
      <family val="2"/>
    </font>
    <font>
      <b/>
      <sz val="11"/>
      <color rgb="FF20304F"/>
      <name val="Calibri"/>
      <family val="2"/>
    </font>
    <font>
      <u/>
      <sz val="10"/>
      <color rgb="FF0000FF"/>
      <name val="Arial"/>
      <family val="2"/>
    </font>
    <font>
      <b/>
      <u/>
      <sz val="12"/>
      <color rgb="FF1155CC"/>
      <name val="Calibri"/>
      <family val="2"/>
    </font>
    <font>
      <u/>
      <sz val="10"/>
      <color rgb="FF1155CC"/>
      <name val="Calibri"/>
      <family val="2"/>
    </font>
    <font>
      <u/>
      <sz val="10"/>
      <color rgb="FF1155CC"/>
      <name val="Calibri"/>
      <family val="2"/>
    </font>
    <font>
      <b/>
      <sz val="10"/>
      <color rgb="FFFFFFFF"/>
      <name val="Calibri"/>
      <family val="2"/>
    </font>
    <font>
      <u/>
      <sz val="10"/>
      <color rgb="FF0000FF"/>
      <name val="Arial"/>
      <family val="2"/>
    </font>
    <font>
      <u/>
      <sz val="10"/>
      <color rgb="FF1155CC"/>
      <name val="Arial"/>
      <family val="2"/>
    </font>
    <font>
      <u/>
      <sz val="10"/>
      <color rgb="FF1155CC"/>
      <name val="Calibri"/>
      <family val="2"/>
    </font>
    <font>
      <u/>
      <sz val="10"/>
      <color rgb="FF0000FF"/>
      <name val="Arial"/>
      <family val="2"/>
    </font>
    <font>
      <u/>
      <sz val="10"/>
      <color rgb="FF0000FF"/>
      <name val="Arial"/>
      <family val="2"/>
    </font>
    <font>
      <u/>
      <sz val="10"/>
      <color rgb="FF1155CC"/>
      <name val="Arial"/>
      <family val="2"/>
    </font>
    <font>
      <b/>
      <sz val="12"/>
      <color theme="1"/>
      <name val="Calibri"/>
      <family val="2"/>
    </font>
    <font>
      <b/>
      <sz val="12"/>
      <color rgb="FF000000"/>
      <name val="Calibri"/>
      <family val="2"/>
    </font>
    <font>
      <sz val="12"/>
      <color rgb="FF000000"/>
      <name val="Calibri"/>
      <family val="2"/>
    </font>
    <font>
      <sz val="11"/>
      <color rgb="FF000000"/>
      <name val="Calibri"/>
      <family val="2"/>
    </font>
    <font>
      <u/>
      <sz val="10"/>
      <color rgb="FF000000"/>
      <name val="Calibri"/>
      <family val="2"/>
    </font>
    <font>
      <b/>
      <sz val="10"/>
      <color theme="1"/>
      <name val="Arial"/>
      <family val="2"/>
    </font>
  </fonts>
  <fills count="8">
    <fill>
      <patternFill patternType="none"/>
    </fill>
    <fill>
      <patternFill patternType="gray125"/>
    </fill>
    <fill>
      <patternFill patternType="solid">
        <fgColor rgb="FF202E4D"/>
        <bgColor rgb="FF202E4D"/>
      </patternFill>
    </fill>
    <fill>
      <patternFill patternType="solid">
        <fgColor rgb="FF1C4587"/>
        <bgColor rgb="FF1C4587"/>
      </patternFill>
    </fill>
    <fill>
      <patternFill patternType="solid">
        <fgColor rgb="FF2281E0"/>
        <bgColor rgb="FF2281E0"/>
      </patternFill>
    </fill>
    <fill>
      <patternFill patternType="solid">
        <fgColor rgb="FF62C3FF"/>
        <bgColor rgb="FF62C3FF"/>
      </patternFill>
    </fill>
    <fill>
      <patternFill patternType="solid">
        <fgColor rgb="FFF3F8FF"/>
        <bgColor rgb="FFF3F8FF"/>
      </patternFill>
    </fill>
    <fill>
      <patternFill patternType="solid">
        <fgColor rgb="FFFFFFFF"/>
        <bgColor rgb="FFFFFFFF"/>
      </patternFill>
    </fill>
  </fills>
  <borders count="16">
    <border>
      <left/>
      <right/>
      <top/>
      <bottom/>
      <diagonal/>
    </border>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style="medium">
        <color rgb="FFFFFFFF"/>
      </left>
      <right/>
      <top/>
      <bottom/>
      <diagonal/>
    </border>
    <border>
      <left style="medium">
        <color rgb="FFFFFFFF"/>
      </left>
      <right/>
      <top style="medium">
        <color rgb="FFFFFFFF"/>
      </top>
      <bottom/>
      <diagonal/>
    </border>
    <border>
      <left/>
      <right/>
      <top style="medium">
        <color rgb="FFFFFFFF"/>
      </top>
      <bottom/>
      <diagonal/>
    </border>
    <border>
      <left style="thin">
        <color rgb="FF000000"/>
      </left>
      <right/>
      <top/>
      <bottom/>
      <diagonal/>
    </border>
    <border>
      <left/>
      <right style="dotted">
        <color rgb="FF000000"/>
      </right>
      <top/>
      <bottom/>
      <diagonal/>
    </border>
    <border>
      <left style="dotted">
        <color rgb="FF000000"/>
      </left>
      <right/>
      <top/>
      <bottom/>
      <diagonal/>
    </border>
    <border>
      <left/>
      <right/>
      <top/>
      <bottom/>
      <diagonal/>
    </border>
    <border>
      <left/>
      <right/>
      <top/>
      <bottom/>
      <diagonal/>
    </border>
    <border>
      <left/>
      <right/>
      <top style="thin">
        <color rgb="FF000000"/>
      </top>
      <bottom/>
      <diagonal/>
    </border>
    <border>
      <left/>
      <right/>
      <top/>
      <bottom/>
      <diagonal/>
    </border>
  </borders>
  <cellStyleXfs count="1">
    <xf numFmtId="0" fontId="0" fillId="0" borderId="0"/>
  </cellStyleXfs>
  <cellXfs count="224">
    <xf numFmtId="0" fontId="0" fillId="0" borderId="0" xfId="0" applyFont="1" applyAlignment="1"/>
    <xf numFmtId="0" fontId="1" fillId="2" borderId="1" xfId="0" applyFont="1" applyFill="1" applyBorder="1" applyAlignment="1">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xf>
    <xf numFmtId="0" fontId="6" fillId="4" borderId="1" xfId="0" applyFont="1" applyFill="1" applyBorder="1" applyAlignment="1">
      <alignment horizontal="center" vertical="center" wrapText="1"/>
    </xf>
    <xf numFmtId="0" fontId="6" fillId="0" borderId="0" xfId="0" applyFont="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0" borderId="0" xfId="0" applyFont="1" applyAlignment="1">
      <alignment vertical="center"/>
    </xf>
    <xf numFmtId="1" fontId="7" fillId="0" borderId="0" xfId="0" applyNumberFormat="1" applyFont="1" applyAlignment="1">
      <alignment horizontal="center" vertical="center"/>
    </xf>
    <xf numFmtId="164" fontId="7" fillId="0" borderId="0" xfId="0" applyNumberFormat="1" applyFont="1" applyAlignment="1">
      <alignment horizontal="center" vertical="center"/>
    </xf>
    <xf numFmtId="165" fontId="7" fillId="0" borderId="0" xfId="0" applyNumberFormat="1" applyFont="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165" fontId="7" fillId="0" borderId="9" xfId="0" applyNumberFormat="1" applyFont="1" applyBorder="1" applyAlignment="1">
      <alignment horizontal="center" vertical="center"/>
    </xf>
    <xf numFmtId="165" fontId="7" fillId="0" borderId="10" xfId="0" applyNumberFormat="1" applyFont="1" applyBorder="1" applyAlignment="1">
      <alignment horizontal="center" vertical="center"/>
    </xf>
    <xf numFmtId="165" fontId="7" fillId="0" borderId="11" xfId="0" applyNumberFormat="1" applyFont="1" applyBorder="1" applyAlignment="1">
      <alignment horizontal="center" vertical="center"/>
    </xf>
    <xf numFmtId="9" fontId="7" fillId="0" borderId="0" xfId="0" applyNumberFormat="1" applyFont="1" applyAlignment="1">
      <alignment horizontal="center" vertical="center"/>
    </xf>
    <xf numFmtId="0" fontId="7" fillId="0" borderId="0" xfId="0" applyFont="1" applyAlignment="1">
      <alignment horizontal="left" vertical="center"/>
    </xf>
    <xf numFmtId="3" fontId="7" fillId="0" borderId="0" xfId="0" applyNumberFormat="1" applyFont="1" applyAlignment="1">
      <alignment horizontal="center" vertical="center"/>
    </xf>
    <xf numFmtId="0" fontId="8" fillId="0" borderId="0" xfId="0" applyFont="1" applyAlignment="1">
      <alignment vertical="center"/>
    </xf>
    <xf numFmtId="165" fontId="9" fillId="0" borderId="0" xfId="0" applyNumberFormat="1" applyFont="1" applyAlignment="1">
      <alignment horizontal="center" vertical="center"/>
    </xf>
    <xf numFmtId="165" fontId="7" fillId="0" borderId="0" xfId="0" applyNumberFormat="1" applyFont="1" applyAlignment="1">
      <alignment horizontal="center" vertical="center"/>
    </xf>
    <xf numFmtId="165" fontId="9" fillId="0" borderId="0" xfId="0" applyNumberFormat="1" applyFont="1" applyAlignment="1">
      <alignment horizontal="center" vertical="center"/>
    </xf>
    <xf numFmtId="0" fontId="10" fillId="0" borderId="0" xfId="0" applyFont="1" applyAlignment="1">
      <alignment horizontal="center" vertical="center"/>
    </xf>
    <xf numFmtId="9" fontId="10" fillId="0" borderId="0" xfId="0" applyNumberFormat="1" applyFont="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165" fontId="10" fillId="0" borderId="0" xfId="0" applyNumberFormat="1" applyFont="1" applyAlignment="1">
      <alignment horizontal="center" vertical="center"/>
    </xf>
    <xf numFmtId="3" fontId="10" fillId="0" borderId="0" xfId="0" applyNumberFormat="1" applyFont="1" applyAlignment="1">
      <alignment horizontal="center" vertical="center"/>
    </xf>
    <xf numFmtId="0" fontId="10" fillId="0" borderId="0" xfId="0" applyFont="1" applyAlignment="1">
      <alignment vertical="center"/>
    </xf>
    <xf numFmtId="9" fontId="8" fillId="0" borderId="0" xfId="0" applyNumberFormat="1" applyFont="1" applyAlignment="1">
      <alignment horizontal="center"/>
    </xf>
    <xf numFmtId="0" fontId="1"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2" fillId="2" borderId="1" xfId="0" applyFont="1" applyFill="1" applyBorder="1" applyAlignment="1">
      <alignment vertical="center"/>
    </xf>
    <xf numFmtId="0" fontId="11" fillId="0" borderId="0" xfId="0" applyFont="1"/>
    <xf numFmtId="0" fontId="12" fillId="0" borderId="0" xfId="0" applyFont="1" applyAlignment="1">
      <alignment horizontal="left" vertical="center"/>
    </xf>
    <xf numFmtId="0" fontId="7" fillId="0" borderId="0" xfId="0" applyFont="1" applyAlignment="1">
      <alignment horizontal="center" vertical="center" wrapText="1"/>
    </xf>
    <xf numFmtId="0" fontId="6" fillId="4" borderId="1" xfId="0" applyFont="1" applyFill="1" applyBorder="1" applyAlignment="1">
      <alignment vertical="center"/>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xf>
    <xf numFmtId="0" fontId="6"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center" vertical="center"/>
    </xf>
    <xf numFmtId="0" fontId="7" fillId="0" borderId="0" xfId="0" applyFont="1" applyAlignment="1">
      <alignment vertical="center" wrapText="1"/>
    </xf>
    <xf numFmtId="0" fontId="14" fillId="0" borderId="0" xfId="0" applyFont="1" applyAlignment="1">
      <alignment vertical="center"/>
    </xf>
    <xf numFmtId="3" fontId="14" fillId="0" borderId="0" xfId="0" applyNumberFormat="1" applyFont="1" applyAlignment="1">
      <alignment horizontal="center" vertical="center"/>
    </xf>
    <xf numFmtId="165" fontId="14" fillId="0" borderId="0" xfId="0" applyNumberFormat="1" applyFont="1" applyAlignment="1">
      <alignment horizontal="center" vertical="center"/>
    </xf>
    <xf numFmtId="165" fontId="14" fillId="0" borderId="0" xfId="0" applyNumberFormat="1" applyFont="1" applyAlignment="1">
      <alignment vertical="center"/>
    </xf>
    <xf numFmtId="0" fontId="14" fillId="0" borderId="0" xfId="0" applyFont="1" applyAlignment="1">
      <alignment horizontal="center" vertical="center"/>
    </xf>
    <xf numFmtId="0" fontId="11" fillId="0" borderId="0" xfId="0" applyFont="1" applyAlignment="1">
      <alignment wrapText="1"/>
    </xf>
    <xf numFmtId="0" fontId="13" fillId="6" borderId="1" xfId="0" applyFont="1" applyFill="1" applyBorder="1" applyAlignment="1">
      <alignment vertical="center"/>
    </xf>
    <xf numFmtId="166" fontId="13" fillId="6" borderId="1" xfId="0" applyNumberFormat="1" applyFont="1" applyFill="1" applyBorder="1" applyAlignment="1">
      <alignment horizontal="center" vertical="center"/>
    </xf>
    <xf numFmtId="165" fontId="13" fillId="6" borderId="1" xfId="0" applyNumberFormat="1" applyFont="1" applyFill="1" applyBorder="1" applyAlignment="1">
      <alignment horizontal="center" vertical="center"/>
    </xf>
    <xf numFmtId="1" fontId="13" fillId="0" borderId="0" xfId="0" applyNumberFormat="1" applyFont="1" applyAlignment="1">
      <alignment vertical="center"/>
    </xf>
    <xf numFmtId="3" fontId="13" fillId="0" borderId="0" xfId="0" applyNumberFormat="1" applyFont="1" applyAlignment="1">
      <alignment horizontal="center" vertical="center"/>
    </xf>
    <xf numFmtId="0" fontId="6" fillId="0" borderId="0" xfId="0" applyFont="1" applyAlignment="1">
      <alignment horizontal="left" vertical="center"/>
    </xf>
    <xf numFmtId="3" fontId="7" fillId="0" borderId="0" xfId="0" applyNumberFormat="1" applyFont="1" applyAlignment="1">
      <alignment vertical="center"/>
    </xf>
    <xf numFmtId="0" fontId="11" fillId="0" borderId="0" xfId="0" applyFont="1" applyAlignment="1">
      <alignment horizontal="center" vertical="center" wrapText="1"/>
    </xf>
    <xf numFmtId="10" fontId="7" fillId="0" borderId="0" xfId="0" applyNumberFormat="1" applyFont="1" applyAlignment="1">
      <alignment horizontal="center" vertical="center"/>
    </xf>
    <xf numFmtId="0" fontId="13" fillId="0" borderId="0" xfId="0" applyFont="1" applyAlignment="1">
      <alignment horizontal="center" vertical="center" wrapText="1"/>
    </xf>
    <xf numFmtId="165" fontId="7" fillId="0" borderId="0" xfId="0" applyNumberFormat="1" applyFont="1" applyAlignment="1">
      <alignment vertical="center"/>
    </xf>
    <xf numFmtId="2" fontId="7" fillId="0" borderId="0" xfId="0" applyNumberFormat="1" applyFont="1" applyAlignment="1">
      <alignment vertical="center"/>
    </xf>
    <xf numFmtId="3" fontId="13" fillId="6" borderId="1" xfId="0" applyNumberFormat="1" applyFont="1" applyFill="1" applyBorder="1" applyAlignment="1">
      <alignment horizontal="center" vertical="center"/>
    </xf>
    <xf numFmtId="1" fontId="13" fillId="6" borderId="1" xfId="0" applyNumberFormat="1" applyFont="1" applyFill="1" applyBorder="1" applyAlignment="1">
      <alignment horizontal="center" vertical="center"/>
    </xf>
    <xf numFmtId="165" fontId="10" fillId="0" borderId="14" xfId="0" applyNumberFormat="1" applyFont="1" applyBorder="1" applyAlignment="1">
      <alignment horizontal="center" vertical="center"/>
    </xf>
    <xf numFmtId="0" fontId="15" fillId="2" borderId="1" xfId="0" applyFont="1" applyFill="1" applyBorder="1" applyAlignment="1">
      <alignment horizontal="left" vertical="center"/>
    </xf>
    <xf numFmtId="0" fontId="11" fillId="0" borderId="0" xfId="0" applyFont="1" applyAlignment="1">
      <alignment vertical="center" wrapText="1"/>
    </xf>
    <xf numFmtId="0" fontId="16" fillId="0" borderId="0" xfId="0" applyFont="1" applyAlignment="1">
      <alignment vertical="center"/>
    </xf>
    <xf numFmtId="0" fontId="14" fillId="7" borderId="1" xfId="0" applyFont="1" applyFill="1" applyBorder="1" applyAlignment="1">
      <alignment vertical="center"/>
    </xf>
    <xf numFmtId="3" fontId="14" fillId="7" borderId="1" xfId="0" applyNumberFormat="1" applyFont="1" applyFill="1" applyBorder="1" applyAlignment="1">
      <alignment horizontal="center" vertical="center"/>
    </xf>
    <xf numFmtId="165" fontId="14" fillId="7" borderId="1" xfId="0" applyNumberFormat="1" applyFont="1" applyFill="1" applyBorder="1" applyAlignment="1">
      <alignment vertical="center"/>
    </xf>
    <xf numFmtId="0" fontId="14" fillId="7" borderId="1" xfId="0" applyFont="1" applyFill="1" applyBorder="1" applyAlignment="1">
      <alignment horizontal="center" vertical="center"/>
    </xf>
    <xf numFmtId="0" fontId="13" fillId="7" borderId="1" xfId="0" applyFont="1" applyFill="1" applyBorder="1" applyAlignment="1">
      <alignment vertical="center"/>
    </xf>
    <xf numFmtId="165" fontId="13" fillId="7" borderId="1" xfId="0" applyNumberFormat="1" applyFont="1" applyFill="1" applyBorder="1" applyAlignment="1">
      <alignment horizontal="center" vertical="center"/>
    </xf>
    <xf numFmtId="0" fontId="7" fillId="7" borderId="1" xfId="0" applyFont="1" applyFill="1" applyBorder="1" applyAlignment="1">
      <alignment vertical="center"/>
    </xf>
    <xf numFmtId="0" fontId="13" fillId="7"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13" fillId="7" borderId="1" xfId="0" applyFont="1" applyFill="1" applyBorder="1" applyAlignment="1">
      <alignment horizontal="center" vertical="center"/>
    </xf>
    <xf numFmtId="165" fontId="7" fillId="0" borderId="0" xfId="0" applyNumberFormat="1" applyFont="1" applyAlignment="1">
      <alignment horizontal="left" vertical="center"/>
    </xf>
    <xf numFmtId="165" fontId="14" fillId="7" borderId="1" xfId="0" applyNumberFormat="1" applyFont="1" applyFill="1" applyBorder="1" applyAlignment="1">
      <alignment horizontal="center" vertical="center"/>
    </xf>
    <xf numFmtId="165" fontId="10" fillId="0" borderId="0" xfId="0" applyNumberFormat="1" applyFont="1" applyAlignment="1">
      <alignment horizontal="left" vertical="center"/>
    </xf>
    <xf numFmtId="3" fontId="13" fillId="7" borderId="1" xfId="0" applyNumberFormat="1" applyFont="1" applyFill="1" applyBorder="1" applyAlignment="1">
      <alignment horizontal="center" vertical="center"/>
    </xf>
    <xf numFmtId="3" fontId="7" fillId="7" borderId="1" xfId="0" applyNumberFormat="1" applyFont="1" applyFill="1" applyBorder="1" applyAlignment="1">
      <alignment vertical="center"/>
    </xf>
    <xf numFmtId="10" fontId="7" fillId="0" borderId="0" xfId="0" applyNumberFormat="1" applyFont="1" applyAlignment="1">
      <alignment horizontal="left" vertical="center"/>
    </xf>
    <xf numFmtId="2" fontId="7" fillId="7" borderId="1" xfId="0" applyNumberFormat="1" applyFont="1" applyFill="1" applyBorder="1" applyAlignment="1">
      <alignment vertical="center"/>
    </xf>
    <xf numFmtId="0" fontId="17" fillId="7" borderId="1" xfId="0" applyFont="1" applyFill="1" applyBorder="1" applyAlignment="1">
      <alignment horizontal="center" vertical="center"/>
    </xf>
    <xf numFmtId="3" fontId="11" fillId="7" borderId="1" xfId="0" applyNumberFormat="1" applyFont="1" applyFill="1" applyBorder="1" applyAlignment="1">
      <alignment horizontal="center" vertical="center"/>
    </xf>
    <xf numFmtId="0" fontId="11" fillId="7" borderId="1" xfId="0" applyFont="1" applyFill="1" applyBorder="1" applyAlignment="1">
      <alignment horizontal="center" vertical="center"/>
    </xf>
    <xf numFmtId="165" fontId="17" fillId="6" borderId="1" xfId="0" applyNumberFormat="1" applyFont="1" applyFill="1" applyBorder="1" applyAlignment="1">
      <alignment horizontal="center" vertical="center"/>
    </xf>
    <xf numFmtId="3" fontId="7" fillId="0" borderId="0" xfId="0" applyNumberFormat="1" applyFont="1" applyAlignment="1">
      <alignment horizontal="center" vertical="center" wrapText="1"/>
    </xf>
    <xf numFmtId="0" fontId="11" fillId="7" borderId="1" xfId="0" applyFont="1" applyFill="1" applyBorder="1" applyAlignment="1">
      <alignment vertical="center"/>
    </xf>
    <xf numFmtId="2" fontId="13" fillId="6" borderId="1" xfId="0" applyNumberFormat="1" applyFont="1" applyFill="1" applyBorder="1" applyAlignment="1">
      <alignment horizontal="center" vertical="center"/>
    </xf>
    <xf numFmtId="165" fontId="13" fillId="0" borderId="0" xfId="0" applyNumberFormat="1" applyFont="1" applyAlignment="1">
      <alignment horizontal="center" vertical="center"/>
    </xf>
    <xf numFmtId="0" fontId="6" fillId="4" borderId="1" xfId="0" applyFont="1" applyFill="1" applyBorder="1"/>
    <xf numFmtId="0" fontId="6" fillId="4" borderId="1" xfId="0" applyFont="1" applyFill="1" applyBorder="1" applyAlignment="1">
      <alignment horizontal="center"/>
    </xf>
    <xf numFmtId="0" fontId="13" fillId="0" borderId="0" xfId="0" applyFont="1"/>
    <xf numFmtId="0" fontId="13" fillId="0" borderId="0" xfId="0" applyFont="1" applyAlignment="1">
      <alignment horizontal="center"/>
    </xf>
    <xf numFmtId="165" fontId="7" fillId="0" borderId="0" xfId="0" applyNumberFormat="1" applyFont="1" applyAlignment="1">
      <alignment horizontal="left" vertical="center" wrapText="1"/>
    </xf>
    <xf numFmtId="0" fontId="14" fillId="0" borderId="0" xfId="0" applyFont="1"/>
    <xf numFmtId="3" fontId="14" fillId="0" borderId="0" xfId="0" applyNumberFormat="1" applyFont="1" applyAlignment="1">
      <alignment horizontal="center"/>
    </xf>
    <xf numFmtId="165" fontId="14" fillId="0" borderId="0" xfId="0" applyNumberFormat="1" applyFont="1" applyAlignment="1">
      <alignment horizontal="center"/>
    </xf>
    <xf numFmtId="165" fontId="14" fillId="0" borderId="0" xfId="0" applyNumberFormat="1" applyFont="1"/>
    <xf numFmtId="0" fontId="14" fillId="0" borderId="0" xfId="0" applyFont="1" applyAlignment="1">
      <alignment horizontal="center"/>
    </xf>
    <xf numFmtId="0" fontId="18" fillId="7" borderId="1" xfId="0" applyFont="1" applyFill="1" applyBorder="1" applyAlignment="1">
      <alignment horizontal="left" vertical="center"/>
    </xf>
    <xf numFmtId="0" fontId="13" fillId="6" borderId="1" xfId="0" applyFont="1" applyFill="1" applyBorder="1"/>
    <xf numFmtId="166" fontId="13" fillId="6" borderId="1" xfId="0" applyNumberFormat="1" applyFont="1" applyFill="1" applyBorder="1" applyAlignment="1">
      <alignment horizontal="center"/>
    </xf>
    <xf numFmtId="165" fontId="13" fillId="6" borderId="1" xfId="0" applyNumberFormat="1" applyFont="1" applyFill="1" applyBorder="1" applyAlignment="1">
      <alignment horizontal="center"/>
    </xf>
    <xf numFmtId="165" fontId="18" fillId="7" borderId="1" xfId="0" applyNumberFormat="1" applyFont="1" applyFill="1" applyBorder="1"/>
    <xf numFmtId="1" fontId="13" fillId="0" borderId="0" xfId="0" applyNumberFormat="1" applyFont="1"/>
    <xf numFmtId="3" fontId="13" fillId="0" borderId="0" xfId="0" applyNumberFormat="1" applyFont="1" applyAlignment="1">
      <alignment horizontal="center"/>
    </xf>
    <xf numFmtId="165" fontId="7" fillId="0" borderId="0" xfId="0" applyNumberFormat="1" applyFont="1"/>
    <xf numFmtId="3" fontId="7" fillId="0" borderId="0" xfId="0" applyNumberFormat="1" applyFont="1"/>
    <xf numFmtId="0" fontId="7" fillId="0" borderId="0" xfId="0" applyFont="1"/>
    <xf numFmtId="0" fontId="13" fillId="0" borderId="0" xfId="0" applyFont="1" applyAlignment="1">
      <alignment horizontal="center" wrapText="1"/>
    </xf>
    <xf numFmtId="166" fontId="13" fillId="0" borderId="0" xfId="0" applyNumberFormat="1" applyFont="1" applyAlignment="1">
      <alignment horizontal="center"/>
    </xf>
    <xf numFmtId="2" fontId="7" fillId="0" borderId="0" xfId="0" applyNumberFormat="1" applyFont="1"/>
    <xf numFmtId="0" fontId="10" fillId="0" borderId="0" xfId="0" applyFont="1" applyAlignment="1">
      <alignment horizontal="center"/>
    </xf>
    <xf numFmtId="0" fontId="7" fillId="0" borderId="0" xfId="0" applyFont="1" applyAlignment="1">
      <alignment horizontal="center"/>
    </xf>
    <xf numFmtId="165" fontId="10" fillId="0" borderId="14" xfId="0" applyNumberFormat="1" applyFont="1" applyBorder="1" applyAlignment="1">
      <alignment horizontal="center"/>
    </xf>
    <xf numFmtId="165" fontId="19" fillId="0" borderId="0" xfId="0" applyNumberFormat="1" applyFont="1" applyAlignment="1">
      <alignment horizontal="left" vertical="center" wrapText="1"/>
    </xf>
    <xf numFmtId="165" fontId="18" fillId="7" borderId="1" xfId="0" applyNumberFormat="1" applyFont="1" applyFill="1" applyBorder="1" applyAlignment="1">
      <alignment vertical="center"/>
    </xf>
    <xf numFmtId="0" fontId="20" fillId="0" borderId="0" xfId="0" applyFont="1" applyAlignment="1">
      <alignment horizontal="left" vertical="center"/>
    </xf>
    <xf numFmtId="0" fontId="11" fillId="0" borderId="0" xfId="0" applyFont="1" applyAlignment="1">
      <alignment vertical="center"/>
    </xf>
    <xf numFmtId="165" fontId="3" fillId="2" borderId="1" xfId="0" applyNumberFormat="1" applyFont="1" applyFill="1" applyBorder="1" applyAlignment="1">
      <alignment horizontal="center" vertical="center"/>
    </xf>
    <xf numFmtId="165" fontId="6" fillId="5" borderId="1" xfId="0" applyNumberFormat="1" applyFont="1" applyFill="1" applyBorder="1" applyAlignment="1">
      <alignment horizontal="center" vertical="center" wrapText="1"/>
    </xf>
    <xf numFmtId="3" fontId="14" fillId="0" borderId="0" xfId="0" applyNumberFormat="1" applyFont="1" applyAlignment="1">
      <alignment horizontal="center" wrapText="1"/>
    </xf>
    <xf numFmtId="165" fontId="13" fillId="6" borderId="1" xfId="0" applyNumberFormat="1" applyFont="1" applyFill="1" applyBorder="1"/>
    <xf numFmtId="167" fontId="13" fillId="6" borderId="1" xfId="0" applyNumberFormat="1" applyFont="1" applyFill="1" applyBorder="1" applyAlignment="1">
      <alignment horizontal="center"/>
    </xf>
    <xf numFmtId="0" fontId="6" fillId="0" borderId="0" xfId="0" applyFont="1" applyAlignment="1">
      <alignment horizontal="left"/>
    </xf>
    <xf numFmtId="165" fontId="7" fillId="0" borderId="0" xfId="0" applyNumberFormat="1" applyFont="1" applyAlignment="1">
      <alignment horizontal="center"/>
    </xf>
    <xf numFmtId="0" fontId="3" fillId="2" borderId="1" xfId="0" applyFont="1" applyFill="1" applyBorder="1" applyAlignment="1">
      <alignment vertical="center" wrapText="1"/>
    </xf>
    <xf numFmtId="165" fontId="13" fillId="6" borderId="1" xfId="0" applyNumberFormat="1" applyFont="1" applyFill="1" applyBorder="1" applyAlignment="1">
      <alignment vertical="center"/>
    </xf>
    <xf numFmtId="165" fontId="7" fillId="0" borderId="0" xfId="0" applyNumberFormat="1" applyFont="1" applyAlignment="1">
      <alignment horizontal="center" vertical="center" wrapText="1"/>
    </xf>
    <xf numFmtId="0" fontId="8" fillId="0" borderId="0" xfId="0" applyFont="1" applyAlignment="1">
      <alignment horizontal="center" vertical="center"/>
    </xf>
    <xf numFmtId="0" fontId="2" fillId="2" borderId="1" xfId="0" applyFont="1" applyFill="1" applyBorder="1" applyAlignment="1">
      <alignment vertical="center" wrapText="1"/>
    </xf>
    <xf numFmtId="0" fontId="21" fillId="0" borderId="0" xfId="0" applyFont="1" applyAlignment="1">
      <alignment vertical="center" wrapText="1"/>
    </xf>
    <xf numFmtId="3" fontId="14" fillId="7" borderId="1" xfId="0" applyNumberFormat="1" applyFont="1" applyFill="1" applyBorder="1" applyAlignment="1">
      <alignment horizontal="center" vertical="center" wrapText="1"/>
    </xf>
    <xf numFmtId="0" fontId="14" fillId="7" borderId="1" xfId="0" applyFont="1" applyFill="1" applyBorder="1" applyAlignment="1">
      <alignment horizontal="center" vertical="center" wrapText="1"/>
    </xf>
    <xf numFmtId="165" fontId="13" fillId="6" borderId="1" xfId="0" applyNumberFormat="1" applyFont="1" applyFill="1" applyBorder="1" applyAlignment="1">
      <alignment horizontal="center" vertical="center" wrapText="1"/>
    </xf>
    <xf numFmtId="165" fontId="7" fillId="7" borderId="1" xfId="0" applyNumberFormat="1" applyFont="1" applyFill="1" applyBorder="1" applyAlignment="1">
      <alignment horizontal="center" vertical="center"/>
    </xf>
    <xf numFmtId="2" fontId="7" fillId="7" borderId="1" xfId="0" applyNumberFormat="1" applyFont="1" applyFill="1" applyBorder="1" applyAlignment="1">
      <alignment vertical="center" wrapText="1"/>
    </xf>
    <xf numFmtId="166" fontId="13" fillId="6" borderId="1" xfId="0" applyNumberFormat="1" applyFont="1" applyFill="1" applyBorder="1" applyAlignment="1">
      <alignment horizontal="center" vertical="center" wrapText="1"/>
    </xf>
    <xf numFmtId="3"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22" fillId="0" borderId="0" xfId="0" applyFont="1" applyAlignment="1">
      <alignment horizontal="center" vertical="center" wrapText="1"/>
    </xf>
    <xf numFmtId="168" fontId="13" fillId="6" borderId="1" xfId="0" applyNumberFormat="1" applyFont="1" applyFill="1" applyBorder="1" applyAlignment="1">
      <alignment horizontal="center" vertical="center" wrapText="1"/>
    </xf>
    <xf numFmtId="0" fontId="7" fillId="4" borderId="1" xfId="0" applyFont="1" applyFill="1" applyBorder="1" applyAlignment="1">
      <alignment vertical="center"/>
    </xf>
    <xf numFmtId="0" fontId="23" fillId="4" borderId="1" xfId="0" applyFont="1" applyFill="1" applyBorder="1" applyAlignment="1">
      <alignment horizontal="center" vertical="center"/>
    </xf>
    <xf numFmtId="165" fontId="23" fillId="4" borderId="1" xfId="0" applyNumberFormat="1" applyFont="1" applyFill="1" applyBorder="1" applyAlignment="1">
      <alignment horizontal="center" vertical="center" wrapText="1"/>
    </xf>
    <xf numFmtId="0" fontId="24" fillId="0" borderId="0" xfId="0" applyFont="1" applyAlignment="1">
      <alignment vertical="center" wrapText="1"/>
    </xf>
    <xf numFmtId="169" fontId="7" fillId="0" borderId="0" xfId="0" applyNumberFormat="1" applyFont="1" applyAlignment="1">
      <alignment horizontal="center" vertical="center"/>
    </xf>
    <xf numFmtId="0" fontId="18" fillId="7" borderId="1" xfId="0" applyFont="1" applyFill="1" applyBorder="1" applyAlignment="1">
      <alignment vertical="center"/>
    </xf>
    <xf numFmtId="0" fontId="7" fillId="0" borderId="0" xfId="0" applyFont="1" applyAlignment="1">
      <alignment horizontal="left" vertical="center" wrapText="1"/>
    </xf>
    <xf numFmtId="165" fontId="23" fillId="4" borderId="1" xfId="0" applyNumberFormat="1" applyFont="1" applyFill="1" applyBorder="1" applyAlignment="1">
      <alignment horizontal="center" vertical="center"/>
    </xf>
    <xf numFmtId="170" fontId="13" fillId="6" borderId="1" xfId="0" applyNumberFormat="1" applyFont="1" applyFill="1" applyBorder="1" applyAlignment="1">
      <alignment horizontal="center" vertical="center"/>
    </xf>
    <xf numFmtId="0" fontId="25" fillId="0" borderId="0" xfId="0" applyFont="1" applyAlignment="1">
      <alignment vertical="center"/>
    </xf>
    <xf numFmtId="1" fontId="7" fillId="0" borderId="0" xfId="0" applyNumberFormat="1" applyFont="1" applyAlignment="1">
      <alignment vertical="center"/>
    </xf>
    <xf numFmtId="165" fontId="26" fillId="0" borderId="0" xfId="0" applyNumberFormat="1" applyFont="1" applyAlignment="1">
      <alignment vertical="center" wrapText="1"/>
    </xf>
    <xf numFmtId="1" fontId="14" fillId="0" borderId="0" xfId="0" applyNumberFormat="1" applyFont="1" applyAlignment="1">
      <alignment horizontal="center" vertical="center"/>
    </xf>
    <xf numFmtId="171" fontId="7" fillId="0" borderId="0" xfId="0" applyNumberFormat="1" applyFont="1" applyAlignment="1">
      <alignment horizontal="center" vertical="center"/>
    </xf>
    <xf numFmtId="172" fontId="7" fillId="7" borderId="1" xfId="0" applyNumberFormat="1" applyFont="1" applyFill="1" applyBorder="1" applyAlignment="1">
      <alignment vertical="center"/>
    </xf>
    <xf numFmtId="1" fontId="14" fillId="0" borderId="0" xfId="0" applyNumberFormat="1" applyFont="1" applyAlignment="1">
      <alignment horizontal="center"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7" fillId="7" borderId="1" xfId="0" applyFont="1" applyFill="1" applyBorder="1" applyAlignment="1">
      <alignment vertical="center" wrapText="1"/>
    </xf>
    <xf numFmtId="0" fontId="6" fillId="4" borderId="1" xfId="0" applyFont="1" applyFill="1" applyBorder="1" applyAlignment="1">
      <alignment horizontal="left"/>
    </xf>
    <xf numFmtId="0" fontId="27" fillId="0" borderId="0" xfId="0" applyFont="1" applyAlignment="1">
      <alignment horizontal="left" vertical="center" wrapText="1"/>
    </xf>
    <xf numFmtId="0" fontId="7" fillId="7" borderId="1" xfId="0" applyFont="1" applyFill="1" applyBorder="1" applyAlignment="1">
      <alignment horizontal="center" vertical="center" wrapText="1"/>
    </xf>
    <xf numFmtId="168" fontId="7" fillId="0" borderId="0" xfId="0" applyNumberFormat="1" applyFont="1" applyAlignment="1">
      <alignment horizontal="center" vertical="center"/>
    </xf>
    <xf numFmtId="0" fontId="28" fillId="0" borderId="0" xfId="0" applyFont="1" applyAlignment="1">
      <alignment horizontal="left" vertical="center"/>
    </xf>
    <xf numFmtId="0" fontId="29" fillId="0" borderId="0" xfId="0" applyFont="1" applyAlignment="1">
      <alignment horizontal="left" vertical="center"/>
    </xf>
    <xf numFmtId="166" fontId="7" fillId="0" borderId="0" xfId="0" applyNumberFormat="1" applyFont="1" applyAlignment="1">
      <alignment horizontal="center" vertical="center"/>
    </xf>
    <xf numFmtId="173" fontId="13" fillId="6" borderId="1" xfId="0" applyNumberFormat="1" applyFont="1" applyFill="1" applyBorder="1" applyAlignment="1">
      <alignment horizontal="center" vertical="center"/>
    </xf>
    <xf numFmtId="165" fontId="7" fillId="7" borderId="1" xfId="0" applyNumberFormat="1" applyFont="1" applyFill="1" applyBorder="1" applyAlignment="1">
      <alignment vertical="center"/>
    </xf>
    <xf numFmtId="168" fontId="13" fillId="6" borderId="1" xfId="0" applyNumberFormat="1" applyFont="1" applyFill="1" applyBorder="1" applyAlignment="1">
      <alignment horizontal="center" vertical="center"/>
    </xf>
    <xf numFmtId="168" fontId="13" fillId="7" borderId="1" xfId="0" applyNumberFormat="1" applyFont="1" applyFill="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left" wrapText="1"/>
    </xf>
    <xf numFmtId="0" fontId="4" fillId="4" borderId="1" xfId="0" applyFont="1" applyFill="1" applyBorder="1" applyAlignment="1">
      <alignment horizontal="center" vertical="center" wrapText="1"/>
    </xf>
    <xf numFmtId="0" fontId="30" fillId="0" borderId="0" xfId="0" applyFont="1" applyAlignment="1">
      <alignment vertical="center"/>
    </xf>
    <xf numFmtId="0" fontId="10" fillId="0" borderId="0" xfId="0" applyFont="1" applyAlignment="1">
      <alignment vertical="center" wrapText="1"/>
    </xf>
    <xf numFmtId="1" fontId="11" fillId="0" borderId="0" xfId="0" applyNumberFormat="1" applyFont="1" applyAlignment="1">
      <alignment horizontal="center" vertical="center" wrapText="1"/>
    </xf>
    <xf numFmtId="171" fontId="11" fillId="0" borderId="0" xfId="0" applyNumberFormat="1" applyFont="1" applyAlignment="1">
      <alignment horizontal="center" vertical="center" wrapText="1"/>
    </xf>
    <xf numFmtId="0" fontId="31" fillId="0" borderId="0" xfId="0" applyFont="1" applyAlignment="1">
      <alignment horizontal="center" vertical="center" wrapText="1"/>
    </xf>
    <xf numFmtId="0" fontId="17" fillId="0" borderId="0" xfId="0" applyFont="1" applyAlignment="1">
      <alignment horizontal="center" vertical="center" wrapText="1"/>
    </xf>
    <xf numFmtId="0" fontId="32" fillId="0" borderId="0" xfId="0" applyFont="1" applyAlignment="1">
      <alignment horizontal="center" vertical="center" wrapText="1"/>
    </xf>
    <xf numFmtId="174" fontId="17" fillId="0" borderId="0" xfId="0" applyNumberFormat="1" applyFont="1" applyAlignment="1">
      <alignment horizontal="center" vertical="center" wrapText="1"/>
    </xf>
    <xf numFmtId="10" fontId="17" fillId="0" borderId="0" xfId="0" applyNumberFormat="1" applyFont="1" applyAlignment="1">
      <alignment horizontal="center" vertical="center" wrapText="1"/>
    </xf>
    <xf numFmtId="0" fontId="32" fillId="0" borderId="0" xfId="0" applyFont="1" applyAlignment="1">
      <alignment horizontal="center" vertical="center"/>
    </xf>
    <xf numFmtId="174" fontId="11" fillId="0" borderId="0" xfId="0" applyNumberFormat="1" applyFont="1" applyAlignment="1">
      <alignment horizontal="center" vertical="center" wrapText="1"/>
    </xf>
    <xf numFmtId="10" fontId="11" fillId="0" borderId="0" xfId="0" applyNumberFormat="1" applyFont="1" applyAlignment="1">
      <alignment horizontal="center" vertical="center" wrapText="1"/>
    </xf>
    <xf numFmtId="10" fontId="32" fillId="0" borderId="0" xfId="0" applyNumberFormat="1" applyFont="1" applyAlignment="1">
      <alignment horizontal="center" vertical="center"/>
    </xf>
    <xf numFmtId="10" fontId="33" fillId="0" borderId="0" xfId="0" applyNumberFormat="1" applyFont="1"/>
    <xf numFmtId="0" fontId="34" fillId="0" borderId="0" xfId="0" applyFont="1" applyAlignment="1">
      <alignment horizontal="center" vertical="center" wrapText="1"/>
    </xf>
    <xf numFmtId="1" fontId="17"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1" fontId="10" fillId="0" borderId="0" xfId="0" applyNumberFormat="1" applyFont="1" applyAlignment="1">
      <alignment horizontal="center" vertical="center" wrapText="1"/>
    </xf>
    <xf numFmtId="171" fontId="17" fillId="0" borderId="0" xfId="0" applyNumberFormat="1" applyFont="1" applyAlignment="1">
      <alignment horizontal="center" vertical="center" wrapText="1"/>
    </xf>
    <xf numFmtId="0" fontId="8" fillId="0" borderId="0" xfId="0" applyFont="1" applyAlignment="1">
      <alignment wrapText="1"/>
    </xf>
    <xf numFmtId="0" fontId="8" fillId="0" borderId="0" xfId="0" applyFont="1" applyAlignment="1">
      <alignment horizontal="center" wrapText="1"/>
    </xf>
    <xf numFmtId="0" fontId="8" fillId="0" borderId="0" xfId="0" applyFont="1"/>
    <xf numFmtId="1" fontId="35" fillId="0" borderId="0" xfId="0" applyNumberFormat="1" applyFont="1" applyAlignment="1">
      <alignment horizontal="center" wrapText="1"/>
    </xf>
    <xf numFmtId="0" fontId="4" fillId="3" borderId="2" xfId="0" applyFont="1" applyFill="1" applyBorder="1" applyAlignment="1">
      <alignment horizontal="center" vertical="center" wrapText="1"/>
    </xf>
    <xf numFmtId="0" fontId="5" fillId="0" borderId="3" xfId="0" applyFont="1" applyBorder="1"/>
    <xf numFmtId="0" fontId="5" fillId="0" borderId="4" xfId="0" applyFont="1" applyBorder="1"/>
    <xf numFmtId="0" fontId="5" fillId="0" borderId="5" xfId="0" applyFont="1" applyBorder="1"/>
    <xf numFmtId="0" fontId="6" fillId="4" borderId="12" xfId="0" applyFont="1" applyFill="1" applyBorder="1" applyAlignment="1">
      <alignment horizontal="left" vertical="center"/>
    </xf>
    <xf numFmtId="0" fontId="5" fillId="0" borderId="13" xfId="0" applyFont="1" applyBorder="1"/>
    <xf numFmtId="0" fontId="7" fillId="0" borderId="0" xfId="0" applyFont="1" applyAlignment="1">
      <alignment vertical="center" wrapText="1"/>
    </xf>
    <xf numFmtId="0" fontId="0" fillId="0" borderId="0" xfId="0" applyFont="1" applyAlignment="1"/>
    <xf numFmtId="0" fontId="12" fillId="0" borderId="0" xfId="0" applyFont="1" applyAlignment="1">
      <alignment horizontal="left" vertical="center"/>
    </xf>
    <xf numFmtId="0" fontId="11" fillId="0" borderId="0" xfId="0" applyFont="1" applyAlignment="1">
      <alignment vertical="center" wrapText="1"/>
    </xf>
    <xf numFmtId="0" fontId="16" fillId="0" borderId="0" xfId="0" applyFont="1" applyAlignment="1">
      <alignment vertical="center"/>
    </xf>
    <xf numFmtId="0" fontId="6" fillId="4" borderId="12" xfId="0" applyFont="1" applyFill="1" applyBorder="1" applyAlignment="1">
      <alignment horizontal="left" vertical="center" wrapText="1"/>
    </xf>
    <xf numFmtId="0" fontId="5" fillId="0" borderId="15" xfId="0" applyFont="1" applyBorder="1"/>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000000"/>
                </a:solidFill>
                <a:latin typeface="Roboto"/>
              </a:defRPr>
            </a:pPr>
            <a:r>
              <a:rPr lang="en-US" b="0" i="0">
                <a:solidFill>
                  <a:srgbClr val="000000"/>
                </a:solidFill>
                <a:latin typeface="Roboto"/>
              </a:rPr>
              <a:t>Battle Pass Rewards</a:t>
            </a:r>
          </a:p>
        </c:rich>
      </c:tx>
      <c:overlay val="0"/>
    </c:title>
    <c:autoTitleDeleted val="0"/>
    <c:plotArea>
      <c:layout/>
      <c:barChart>
        <c:barDir val="col"/>
        <c:grouping val="clustered"/>
        <c:varyColors val="1"/>
        <c:ser>
          <c:idx val="0"/>
          <c:order val="0"/>
          <c:tx>
            <c:v>Average Free Reward (per level)</c:v>
          </c:tx>
          <c:spPr>
            <a:solidFill>
              <a:srgbClr val="4285F4"/>
            </a:solidFill>
          </c:spPr>
          <c:invertIfNegative val="1"/>
          <c:cat>
            <c:strRef>
              <c:f>'Summary &amp; Analysis'!$A$4:$A$7</c:f>
              <c:strCache>
                <c:ptCount val="4"/>
                <c:pt idx="0">
                  <c:v>Casino</c:v>
                </c:pt>
                <c:pt idx="1">
                  <c:v>Puzzle</c:v>
                </c:pt>
                <c:pt idx="2">
                  <c:v>Sims</c:v>
                </c:pt>
                <c:pt idx="3">
                  <c:v>RPG</c:v>
                </c:pt>
              </c:strCache>
            </c:strRef>
          </c:cat>
          <c:val>
            <c:numRef>
              <c:f>'Summary &amp; Analysis'!$G$4:$G$7</c:f>
              <c:numCache>
                <c:formatCode>"$"#,##0.00</c:formatCode>
                <c:ptCount val="4"/>
                <c:pt idx="0">
                  <c:v>0.85653966172821483</c:v>
                </c:pt>
                <c:pt idx="1">
                  <c:v>1.7597508430817355</c:v>
                </c:pt>
                <c:pt idx="2">
                  <c:v>2.2230271604938268</c:v>
                </c:pt>
                <c:pt idx="3">
                  <c:v>4.0524813153934049</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4CE1-DB40-AF41-BE880E891759}"/>
            </c:ext>
          </c:extLst>
        </c:ser>
        <c:ser>
          <c:idx val="1"/>
          <c:order val="1"/>
          <c:tx>
            <c:v>Average Premium Reward (per level)</c:v>
          </c:tx>
          <c:spPr>
            <a:solidFill>
              <a:srgbClr val="DB4437"/>
            </a:solidFill>
          </c:spPr>
          <c:invertIfNegative val="1"/>
          <c:cat>
            <c:strRef>
              <c:f>'Summary &amp; Analysis'!$A$4:$A$7</c:f>
              <c:strCache>
                <c:ptCount val="4"/>
                <c:pt idx="0">
                  <c:v>Casino</c:v>
                </c:pt>
                <c:pt idx="1">
                  <c:v>Puzzle</c:v>
                </c:pt>
                <c:pt idx="2">
                  <c:v>Sims</c:v>
                </c:pt>
                <c:pt idx="3">
                  <c:v>RPG</c:v>
                </c:pt>
              </c:strCache>
            </c:strRef>
          </c:cat>
          <c:val>
            <c:numRef>
              <c:f>'Summary &amp; Analysis'!$H$4:$H$7</c:f>
              <c:numCache>
                <c:formatCode>"$"#,##0.00</c:formatCode>
                <c:ptCount val="4"/>
                <c:pt idx="0">
                  <c:v>1.979058788747095</c:v>
                </c:pt>
                <c:pt idx="1">
                  <c:v>2.6899208751044168</c:v>
                </c:pt>
                <c:pt idx="2">
                  <c:v>1.1115135802469134</c:v>
                </c:pt>
                <c:pt idx="3">
                  <c:v>10.40178829580916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4CE1-DB40-AF41-BE880E891759}"/>
            </c:ext>
          </c:extLst>
        </c:ser>
        <c:ser>
          <c:idx val="2"/>
          <c:order val="2"/>
          <c:tx>
            <c:v>Average Total Reward (per level)</c:v>
          </c:tx>
          <c:spPr>
            <a:solidFill>
              <a:srgbClr val="F4B400"/>
            </a:solidFill>
          </c:spPr>
          <c:invertIfNegative val="1"/>
          <c:cat>
            <c:strRef>
              <c:f>'Summary &amp; Analysis'!$A$4:$A$7</c:f>
              <c:strCache>
                <c:ptCount val="4"/>
                <c:pt idx="0">
                  <c:v>Casino</c:v>
                </c:pt>
                <c:pt idx="1">
                  <c:v>Puzzle</c:v>
                </c:pt>
                <c:pt idx="2">
                  <c:v>Sims</c:v>
                </c:pt>
                <c:pt idx="3">
                  <c:v>RPG</c:v>
                </c:pt>
              </c:strCache>
            </c:strRef>
          </c:cat>
          <c:val>
            <c:numRef>
              <c:f>'Summary &amp; Analysis'!$I$4:$I$7</c:f>
              <c:numCache>
                <c:formatCode>"$"#,##0.00</c:formatCode>
                <c:ptCount val="4"/>
                <c:pt idx="0">
                  <c:v>2.83559845047531</c:v>
                </c:pt>
                <c:pt idx="1">
                  <c:v>4.4496717181861518</c:v>
                </c:pt>
                <c:pt idx="2" formatCode="&quot;$&quot;#,##0">
                  <c:v>3.3345407407407399</c:v>
                </c:pt>
                <c:pt idx="3">
                  <c:v>14.454269611202564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4CE1-DB40-AF41-BE880E891759}"/>
            </c:ext>
          </c:extLst>
        </c:ser>
        <c:dLbls>
          <c:showLegendKey val="0"/>
          <c:showVal val="0"/>
          <c:showCatName val="0"/>
          <c:showSerName val="0"/>
          <c:showPercent val="0"/>
          <c:showBubbleSize val="0"/>
        </c:dLbls>
        <c:gapWidth val="150"/>
        <c:axId val="1816894329"/>
        <c:axId val="1261721676"/>
      </c:barChart>
      <c:catAx>
        <c:axId val="181689432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Roboto"/>
              </a:defRPr>
            </a:pPr>
            <a:endParaRPr lang="en-US"/>
          </a:p>
        </c:txPr>
        <c:crossAx val="1261721676"/>
        <c:crosses val="autoZero"/>
        <c:auto val="1"/>
        <c:lblAlgn val="ctr"/>
        <c:lblOffset val="100"/>
        <c:noMultiLvlLbl val="1"/>
      </c:catAx>
      <c:valAx>
        <c:axId val="126172167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i="0">
                <a:solidFill>
                  <a:srgbClr val="000000"/>
                </a:solidFill>
                <a:latin typeface="Roboto"/>
              </a:defRPr>
            </a:pPr>
            <a:endParaRPr lang="en-US"/>
          </a:p>
        </c:txPr>
        <c:crossAx val="1816894329"/>
        <c:crosses val="autoZero"/>
        <c:crossBetween val="between"/>
      </c:valAx>
    </c:plotArea>
    <c:legend>
      <c:legendPos val="r"/>
      <c:overlay val="0"/>
      <c:txPr>
        <a:bodyPr/>
        <a:lstStyle/>
        <a:p>
          <a:pPr lvl="0">
            <a:defRPr b="0" i="0">
              <a:solidFill>
                <a:srgbClr val="000000"/>
              </a:solidFill>
              <a:latin typeface="Roboto"/>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000000"/>
                </a:solidFill>
                <a:latin typeface="Roboto"/>
              </a:defRPr>
            </a:pPr>
            <a:r>
              <a:rPr lang="en-US" b="0" i="0">
                <a:solidFill>
                  <a:srgbClr val="000000"/>
                </a:solidFill>
                <a:latin typeface="Roboto"/>
              </a:rPr>
              <a:t>Average Mission Levels</a:t>
            </a:r>
          </a:p>
        </c:rich>
      </c:tx>
      <c:overlay val="0"/>
    </c:title>
    <c:autoTitleDeleted val="0"/>
    <c:plotArea>
      <c:layout/>
      <c:barChart>
        <c:barDir val="col"/>
        <c:grouping val="clustered"/>
        <c:varyColors val="1"/>
        <c:ser>
          <c:idx val="0"/>
          <c:order val="0"/>
          <c:tx>
            <c:v>Average Mission Levels</c:v>
          </c:tx>
          <c:spPr>
            <a:solidFill>
              <a:srgbClr val="4285F4"/>
            </a:solidFill>
          </c:spPr>
          <c:invertIfNegative val="1"/>
          <c:cat>
            <c:strRef>
              <c:f>'Summary &amp; Analysis'!$K$4:$K$7</c:f>
              <c:strCache>
                <c:ptCount val="4"/>
                <c:pt idx="0">
                  <c:v>RPG</c:v>
                </c:pt>
                <c:pt idx="1">
                  <c:v>Casino</c:v>
                </c:pt>
                <c:pt idx="2">
                  <c:v>Sims</c:v>
                </c:pt>
                <c:pt idx="3">
                  <c:v>Puzzle</c:v>
                </c:pt>
              </c:strCache>
            </c:strRef>
          </c:cat>
          <c:val>
            <c:numRef>
              <c:f>'Summary &amp; Analysis'!$L$4:$L$7</c:f>
              <c:numCache>
                <c:formatCode>0</c:formatCode>
                <c:ptCount val="4"/>
                <c:pt idx="0">
                  <c:v>77.333333333333329</c:v>
                </c:pt>
                <c:pt idx="1">
                  <c:v>62</c:v>
                </c:pt>
                <c:pt idx="2" formatCode="#,##0">
                  <c:v>40.5</c:v>
                </c:pt>
                <c:pt idx="3">
                  <c:v>32.200000000000003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EF3F-7F4E-8741-D986A9C1F22F}"/>
            </c:ext>
          </c:extLst>
        </c:ser>
        <c:dLbls>
          <c:showLegendKey val="0"/>
          <c:showVal val="0"/>
          <c:showCatName val="0"/>
          <c:showSerName val="0"/>
          <c:showPercent val="0"/>
          <c:showBubbleSize val="0"/>
        </c:dLbls>
        <c:gapWidth val="150"/>
        <c:axId val="1133723710"/>
        <c:axId val="1651226441"/>
      </c:barChart>
      <c:catAx>
        <c:axId val="113372371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Roboto"/>
              </a:defRPr>
            </a:pPr>
            <a:endParaRPr lang="en-US"/>
          </a:p>
        </c:txPr>
        <c:crossAx val="1651226441"/>
        <c:crosses val="autoZero"/>
        <c:auto val="1"/>
        <c:lblAlgn val="ctr"/>
        <c:lblOffset val="100"/>
        <c:noMultiLvlLbl val="1"/>
      </c:catAx>
      <c:valAx>
        <c:axId val="165122644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i="0">
                <a:solidFill>
                  <a:srgbClr val="000000"/>
                </a:solidFill>
                <a:latin typeface="Roboto"/>
              </a:defRPr>
            </a:pPr>
            <a:endParaRPr lang="en-US"/>
          </a:p>
        </c:txPr>
        <c:crossAx val="1133723710"/>
        <c:crosses val="autoZero"/>
        <c:crossBetween val="between"/>
      </c:valAx>
    </c:plotArea>
    <c:legend>
      <c:legendPos val="r"/>
      <c:overlay val="0"/>
      <c:txPr>
        <a:bodyPr/>
        <a:lstStyle/>
        <a:p>
          <a:pPr lvl="0">
            <a:defRPr b="0" i="0">
              <a:solidFill>
                <a:srgbClr val="000000"/>
              </a:solidFill>
              <a:latin typeface="Roboto"/>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000000"/>
                </a:solidFill>
                <a:latin typeface="Roboto"/>
              </a:defRPr>
            </a:pPr>
            <a:r>
              <a:rPr lang="en-US" b="0" i="0">
                <a:solidFill>
                  <a:srgbClr val="000000"/>
                </a:solidFill>
                <a:latin typeface="Roboto"/>
              </a:rPr>
              <a:t>Puzzle Mission Levels</a:t>
            </a:r>
          </a:p>
        </c:rich>
      </c:tx>
      <c:overlay val="0"/>
    </c:title>
    <c:autoTitleDeleted val="0"/>
    <c:plotArea>
      <c:layout/>
      <c:barChart>
        <c:barDir val="col"/>
        <c:grouping val="clustered"/>
        <c:varyColors val="1"/>
        <c:ser>
          <c:idx val="0"/>
          <c:order val="0"/>
          <c:tx>
            <c:v>Mission Levels</c:v>
          </c:tx>
          <c:spPr>
            <a:solidFill>
              <a:srgbClr val="4285F4"/>
            </a:solidFill>
          </c:spPr>
          <c:invertIfNegative val="1"/>
          <c:cat>
            <c:strRef>
              <c:f>'Summary &amp; Analysis'!$A$18:$A$22</c:f>
              <c:strCache>
                <c:ptCount val="5"/>
                <c:pt idx="0">
                  <c:v>Homescapes</c:v>
                </c:pt>
                <c:pt idx="1">
                  <c:v>Fishdom</c:v>
                </c:pt>
                <c:pt idx="2">
                  <c:v>Matchington Mansion</c:v>
                </c:pt>
                <c:pt idx="3">
                  <c:v>Gardenscapes</c:v>
                </c:pt>
                <c:pt idx="4">
                  <c:v>Candy Crush Soda Saga</c:v>
                </c:pt>
              </c:strCache>
            </c:strRef>
          </c:cat>
          <c:val>
            <c:numRef>
              <c:f>'Summary &amp; Analysis'!$B$18:$B$22</c:f>
              <c:numCache>
                <c:formatCode>General</c:formatCode>
                <c:ptCount val="5"/>
                <c:pt idx="0">
                  <c:v>37</c:v>
                </c:pt>
                <c:pt idx="1">
                  <c:v>36</c:v>
                </c:pt>
                <c:pt idx="2">
                  <c:v>36</c:v>
                </c:pt>
                <c:pt idx="3">
                  <c:v>31</c:v>
                </c:pt>
                <c:pt idx="4">
                  <c:v>21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E8D7-7B44-8361-579DA5516D81}"/>
            </c:ext>
          </c:extLst>
        </c:ser>
        <c:dLbls>
          <c:showLegendKey val="0"/>
          <c:showVal val="0"/>
          <c:showCatName val="0"/>
          <c:showSerName val="0"/>
          <c:showPercent val="0"/>
          <c:showBubbleSize val="0"/>
        </c:dLbls>
        <c:gapWidth val="150"/>
        <c:axId val="1069218557"/>
        <c:axId val="376251062"/>
      </c:barChart>
      <c:catAx>
        <c:axId val="10692185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Roboto"/>
              </a:defRPr>
            </a:pPr>
            <a:endParaRPr lang="en-US"/>
          </a:p>
        </c:txPr>
        <c:crossAx val="376251062"/>
        <c:crosses val="autoZero"/>
        <c:auto val="1"/>
        <c:lblAlgn val="ctr"/>
        <c:lblOffset val="100"/>
        <c:noMultiLvlLbl val="1"/>
      </c:catAx>
      <c:valAx>
        <c:axId val="37625106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rgbClr val="000000"/>
                </a:solidFill>
                <a:latin typeface="Roboto"/>
              </a:defRPr>
            </a:pPr>
            <a:endParaRPr lang="en-US"/>
          </a:p>
        </c:txPr>
        <c:crossAx val="1069218557"/>
        <c:crosses val="autoZero"/>
        <c:crossBetween val="between"/>
      </c:valAx>
    </c:plotArea>
    <c:legend>
      <c:legendPos val="t"/>
      <c:overlay val="0"/>
      <c:txPr>
        <a:bodyPr/>
        <a:lstStyle/>
        <a:p>
          <a:pPr lvl="0">
            <a:defRPr b="0" i="0">
              <a:solidFill>
                <a:srgbClr val="000000"/>
              </a:solidFill>
              <a:latin typeface="Roboto"/>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000000"/>
                </a:solidFill>
                <a:latin typeface="Roboto"/>
              </a:defRPr>
            </a:pPr>
            <a:r>
              <a:rPr lang="en-US" b="0" i="0">
                <a:solidFill>
                  <a:srgbClr val="000000"/>
                </a:solidFill>
                <a:latin typeface="Roboto"/>
              </a:rPr>
              <a:t>Puzzle Battle Pass Rewards</a:t>
            </a:r>
          </a:p>
        </c:rich>
      </c:tx>
      <c:overlay val="0"/>
    </c:title>
    <c:autoTitleDeleted val="0"/>
    <c:plotArea>
      <c:layout/>
      <c:barChart>
        <c:barDir val="col"/>
        <c:grouping val="clustered"/>
        <c:varyColors val="1"/>
        <c:ser>
          <c:idx val="0"/>
          <c:order val="0"/>
          <c:tx>
            <c:v>Free Rewards</c:v>
          </c:tx>
          <c:spPr>
            <a:solidFill>
              <a:srgbClr val="4285F4"/>
            </a:solidFill>
          </c:spPr>
          <c:invertIfNegative val="1"/>
          <c:cat>
            <c:strRef>
              <c:f>'Summary &amp; Analysis'!$E$18:$E$22</c:f>
              <c:strCache>
                <c:ptCount val="5"/>
                <c:pt idx="0">
                  <c:v>Candy Crush Soda Saga</c:v>
                </c:pt>
                <c:pt idx="1">
                  <c:v>Fishdom</c:v>
                </c:pt>
                <c:pt idx="2">
                  <c:v>Matchington Mansion</c:v>
                </c:pt>
                <c:pt idx="3">
                  <c:v>Homescapes</c:v>
                </c:pt>
                <c:pt idx="4">
                  <c:v>Gardenscapes</c:v>
                </c:pt>
              </c:strCache>
            </c:strRef>
          </c:cat>
          <c:val>
            <c:numRef>
              <c:f>'Summary &amp; Analysis'!$F$18:$F$22</c:f>
              <c:numCache>
                <c:formatCode>"$"#,##0.00</c:formatCode>
                <c:ptCount val="5"/>
                <c:pt idx="0">
                  <c:v>178.52250492087779</c:v>
                </c:pt>
                <c:pt idx="1">
                  <c:v>39.660983432400002</c:v>
                </c:pt>
                <c:pt idx="2">
                  <c:v>23.486779453621555</c:v>
                </c:pt>
                <c:pt idx="3">
                  <c:v>20.887327810800006</c:v>
                </c:pt>
                <c:pt idx="4">
                  <c:v>20.762290118459998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A42C-6A42-B645-58F05C685800}"/>
            </c:ext>
          </c:extLst>
        </c:ser>
        <c:ser>
          <c:idx val="1"/>
          <c:order val="1"/>
          <c:tx>
            <c:v>Premium Rewards</c:v>
          </c:tx>
          <c:spPr>
            <a:solidFill>
              <a:srgbClr val="DB4437"/>
            </a:solidFill>
          </c:spPr>
          <c:invertIfNegative val="1"/>
          <c:cat>
            <c:strRef>
              <c:f>'Summary &amp; Analysis'!$E$18:$E$22</c:f>
              <c:strCache>
                <c:ptCount val="5"/>
                <c:pt idx="0">
                  <c:v>Candy Crush Soda Saga</c:v>
                </c:pt>
                <c:pt idx="1">
                  <c:v>Fishdom</c:v>
                </c:pt>
                <c:pt idx="2">
                  <c:v>Matchington Mansion</c:v>
                </c:pt>
                <c:pt idx="3">
                  <c:v>Homescapes</c:v>
                </c:pt>
                <c:pt idx="4">
                  <c:v>Gardenscapes</c:v>
                </c:pt>
              </c:strCache>
            </c:strRef>
          </c:cat>
          <c:val>
            <c:numRef>
              <c:f>'Summary &amp; Analysis'!$H$18:$H$22</c:f>
              <c:numCache>
                <c:formatCode>"$"#,##0.00</c:formatCode>
                <c:ptCount val="5"/>
                <c:pt idx="0">
                  <c:v>233.50838948335371</c:v>
                </c:pt>
                <c:pt idx="1">
                  <c:v>44.522776528999998</c:v>
                </c:pt>
                <c:pt idx="2">
                  <c:v>53.001937486001999</c:v>
                </c:pt>
                <c:pt idx="3">
                  <c:v>59.272545055935304</c:v>
                </c:pt>
                <c:pt idx="4">
                  <c:v>43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A42C-6A42-B645-58F05C685800}"/>
            </c:ext>
          </c:extLst>
        </c:ser>
        <c:dLbls>
          <c:showLegendKey val="0"/>
          <c:showVal val="0"/>
          <c:showCatName val="0"/>
          <c:showSerName val="0"/>
          <c:showPercent val="0"/>
          <c:showBubbleSize val="0"/>
        </c:dLbls>
        <c:gapWidth val="150"/>
        <c:axId val="236365189"/>
        <c:axId val="1999302330"/>
      </c:barChart>
      <c:catAx>
        <c:axId val="23636518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Roboto"/>
              </a:defRPr>
            </a:pPr>
            <a:endParaRPr lang="en-US"/>
          </a:p>
        </c:txPr>
        <c:crossAx val="1999302330"/>
        <c:crosses val="autoZero"/>
        <c:auto val="1"/>
        <c:lblAlgn val="ctr"/>
        <c:lblOffset val="100"/>
        <c:noMultiLvlLbl val="1"/>
      </c:catAx>
      <c:valAx>
        <c:axId val="199930233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i="0">
                <a:solidFill>
                  <a:srgbClr val="000000"/>
                </a:solidFill>
                <a:latin typeface="Roboto"/>
              </a:defRPr>
            </a:pPr>
            <a:endParaRPr lang="en-US"/>
          </a:p>
        </c:txPr>
        <c:crossAx val="236365189"/>
        <c:crosses val="autoZero"/>
        <c:crossBetween val="between"/>
      </c:valAx>
    </c:plotArea>
    <c:legend>
      <c:legendPos val="t"/>
      <c:overlay val="0"/>
      <c:txPr>
        <a:bodyPr/>
        <a:lstStyle/>
        <a:p>
          <a:pPr lvl="0">
            <a:defRPr b="0" i="0">
              <a:solidFill>
                <a:srgbClr val="000000"/>
              </a:solidFill>
              <a:latin typeface="Roboto"/>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10</xdr:col>
      <xdr:colOff>47625</xdr:colOff>
      <xdr:row>22</xdr:row>
      <xdr:rowOff>76200</xdr:rowOff>
    </xdr:from>
    <xdr:ext cx="4467225" cy="2419350"/>
    <xdr:graphicFrame macro="">
      <xdr:nvGraphicFramePr>
        <xdr:cNvPr id="425197416" name="Chart 1" title="Chart">
          <a:extLst>
            <a:ext uri="{FF2B5EF4-FFF2-40B4-BE49-F238E27FC236}">
              <a16:creationId xmlns:a16="http://schemas.microsoft.com/office/drawing/2014/main" id="{00000000-0008-0000-0000-000068FF57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9525</xdr:colOff>
      <xdr:row>9</xdr:row>
      <xdr:rowOff>0</xdr:rowOff>
    </xdr:from>
    <xdr:ext cx="4514850" cy="2505075"/>
    <xdr:graphicFrame macro="">
      <xdr:nvGraphicFramePr>
        <xdr:cNvPr id="578784362" name="Chart 2" title="Chart">
          <a:extLst>
            <a:ext uri="{FF2B5EF4-FFF2-40B4-BE49-F238E27FC236}">
              <a16:creationId xmlns:a16="http://schemas.microsoft.com/office/drawing/2014/main" id="{00000000-0008-0000-0000-00006A8C7F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0</xdr:colOff>
      <xdr:row>22</xdr:row>
      <xdr:rowOff>66675</xdr:rowOff>
    </xdr:from>
    <xdr:ext cx="5695950" cy="3676650"/>
    <xdr:graphicFrame macro="">
      <xdr:nvGraphicFramePr>
        <xdr:cNvPr id="1961534536" name="Chart 3" title="Chart">
          <a:extLst>
            <a:ext uri="{FF2B5EF4-FFF2-40B4-BE49-F238E27FC236}">
              <a16:creationId xmlns:a16="http://schemas.microsoft.com/office/drawing/2014/main" id="{00000000-0008-0000-0000-000048A4EA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409575</xdr:colOff>
      <xdr:row>22</xdr:row>
      <xdr:rowOff>95250</xdr:rowOff>
    </xdr:from>
    <xdr:ext cx="6400800" cy="3657600"/>
    <xdr:graphicFrame macro="">
      <xdr:nvGraphicFramePr>
        <xdr:cNvPr id="880013780" name="Chart 4" title="Chart">
          <a:extLst>
            <a:ext uri="{FF2B5EF4-FFF2-40B4-BE49-F238E27FC236}">
              <a16:creationId xmlns:a16="http://schemas.microsoft.com/office/drawing/2014/main" id="{00000000-0008-0000-0000-0000D4F173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647700</xdr:colOff>
      <xdr:row>32</xdr:row>
      <xdr:rowOff>203200</xdr:rowOff>
    </xdr:to>
    <xdr:sp macro="" textlink="">
      <xdr:nvSpPr>
        <xdr:cNvPr id="20481" name="Text Box 1" hidden="1">
          <a:extLst>
            <a:ext uri="{FF2B5EF4-FFF2-40B4-BE49-F238E27FC236}">
              <a16:creationId xmlns:a16="http://schemas.microsoft.com/office/drawing/2014/main" id="{7D2FF2BC-369F-8946-A4F9-3383BE2D6F20}"/>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hyperlink" Target="https://my.liquidandgrit.com/library/gallery/disco-season-gardenscapes" TargetMode="External"/><Relationship Id="rId1" Type="http://schemas.openxmlformats.org/officeDocument/2006/relationships/hyperlink" Target="https://my.liquidandgrit.com/library/gallery/foxy-season-gardenscape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my.liquidandgrit.com/library/gallery/the-noble-path-update-candy-crush-soda-saga"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my.liquidandgrit.com/library/gallery/ghost-season-fishd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my.liquidandgrit.com/library/gallery/tech-season-homescap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my.liquidandgrit.com/library/gallery/lovely-pony-matchington-mansion"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my.liquidandgrit.com/library/gallery/farm-pass-hay-day"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township.fandom.com/wiki/Laboratory" TargetMode="External"/><Relationship Id="rId1" Type="http://schemas.openxmlformats.org/officeDocument/2006/relationships/hyperlink" Target="https://my.liquidandgrit.com/library/gallery/gold-pass-township"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my.liquidandgrit.com/library/gallery/b-royal-pass-season-9-bingo-party"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my.liquidandgrit.com/library/gallery/mission-pass-season-17-cash-frenzy"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my.liquidandgrit.com/library/gallery/huuuge-pass-halloween-edition-huuuge-casino"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my.liquidandgrit.com/library/gallery/golden-pass-season-10-lotsa-slots"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my.liquidandgrit.com/library/gallery/halloween-rush-scatter-slo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my.liquidandgrit.com/library/gallery/misc-currency-afk-arena-1?i=422672" TargetMode="External"/><Relationship Id="rId2" Type="http://schemas.openxmlformats.org/officeDocument/2006/relationships/hyperlink" Target="https://afk-arena.fandom.com/wiki/Category:Currency" TargetMode="External"/><Relationship Id="rId1" Type="http://schemas.openxmlformats.org/officeDocument/2006/relationships/hyperlink" Target="https://my.liquidandgrit.com/library/gallery/hero-growth-bundles-afk-arena"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forum.smallgiantgames.com/t/path-of-valor-challenges-and-rewards-overview-thread-killed-please-delete-it-zephyr/155061" TargetMode="External"/><Relationship Id="rId2" Type="http://schemas.openxmlformats.org/officeDocument/2006/relationships/hyperlink" Target="https://my.liquidandgrit.com/library/gallery/avatar-shop-empires-puzzles" TargetMode="External"/><Relationship Id="rId1" Type="http://schemas.openxmlformats.org/officeDocument/2006/relationships/hyperlink" Target="https://my.liquidandgrit.com/library/gallery/path-of-valor-empires-puzzles-rpg-quest"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my.liquidandgrit.com/library/gallery/misc-currency-raid-shadow-legends?i=217701" TargetMode="External"/><Relationship Id="rId2" Type="http://schemas.openxmlformats.org/officeDocument/2006/relationships/hyperlink" Target="https://my.liquidandgrit.com/library/gallery/battle-pass-raid-shadow-legends" TargetMode="External"/><Relationship Id="rId1" Type="http://schemas.openxmlformats.org/officeDocument/2006/relationships/hyperlink" Target="https://my.liquidandgrit.com/library/gallery/battle-pass-raid-shadow-legends" TargetMode="External"/><Relationship Id="rId4"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8" Type="http://schemas.openxmlformats.org/officeDocument/2006/relationships/hyperlink" Target="https://my.liquidandgrit.com/library/gallery/ceroli-crisis-update-rise-of-kingdoms" TargetMode="External"/><Relationship Id="rId3" Type="http://schemas.openxmlformats.org/officeDocument/2006/relationships/hyperlink" Target="https://riseofkingdoms.fandom.com/wiki/Buildings/Shop" TargetMode="External"/><Relationship Id="rId7" Type="http://schemas.openxmlformats.org/officeDocument/2006/relationships/hyperlink" Target="https://riseofkingdoms.fandom.com/wiki/Items/Starlight_Sculpture" TargetMode="External"/><Relationship Id="rId12" Type="http://schemas.openxmlformats.org/officeDocument/2006/relationships/hyperlink" Target="https://riseofkingdoms.online/rise-of-kingdoms-updated-equipment-2020/" TargetMode="External"/><Relationship Id="rId2" Type="http://schemas.openxmlformats.org/officeDocument/2006/relationships/hyperlink" Target="https://riseofkingdoms.fandom.com/wiki/Items/%22Pick_One%22_Resource_Chest" TargetMode="External"/><Relationship Id="rId1" Type="http://schemas.openxmlformats.org/officeDocument/2006/relationships/hyperlink" Target="https://my.liquidandgrit.com/library/gallery/lucerne-scrolls-rise-of-kingdoms" TargetMode="External"/><Relationship Id="rId6" Type="http://schemas.openxmlformats.org/officeDocument/2006/relationships/hyperlink" Target="https://my.liquidandgrit.com/library/gallery/mysterious-merchants-boutique-rise-of-kingdoms?i=239384" TargetMode="External"/><Relationship Id="rId11" Type="http://schemas.openxmlformats.org/officeDocument/2006/relationships/hyperlink" Target="https://rok.guide/equipment-guide/" TargetMode="External"/><Relationship Id="rId5" Type="http://schemas.openxmlformats.org/officeDocument/2006/relationships/hyperlink" Target="https://my.liquidandgrit.com/library/gallery/vip-and-benefits-packages-rise-of-kingdoms?i=218857" TargetMode="External"/><Relationship Id="rId10" Type="http://schemas.openxmlformats.org/officeDocument/2006/relationships/hyperlink" Target="https://riseofkingdoms.fandom.com/wiki/Expedition" TargetMode="External"/><Relationship Id="rId4" Type="http://schemas.openxmlformats.org/officeDocument/2006/relationships/hyperlink" Target="https://my.liquidandgrit.com/library/gallery/lucerne-scrolls-rise-of-kingdoms?i=261888" TargetMode="External"/><Relationship Id="rId9" Type="http://schemas.openxmlformats.org/officeDocument/2006/relationships/hyperlink" Target="https://my.liquidandgrit.com/library/gallery/mysterious-merchants-boutique-rise-of-kingdoms?i=239376"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nanobitsoftware.com/" TargetMode="External"/><Relationship Id="rId3" Type="http://schemas.openxmlformats.org/officeDocument/2006/relationships/hyperlink" Target="http://nanobitsoftware.com/" TargetMode="External"/><Relationship Id="rId7" Type="http://schemas.openxmlformats.org/officeDocument/2006/relationships/hyperlink" Target="http://igg.com/" TargetMode="External"/><Relationship Id="rId2" Type="http://schemas.openxmlformats.org/officeDocument/2006/relationships/hyperlink" Target="http://igg.com/" TargetMode="External"/><Relationship Id="rId1" Type="http://schemas.openxmlformats.org/officeDocument/2006/relationships/hyperlink" Target="http://avid.ly/" TargetMode="External"/><Relationship Id="rId6" Type="http://schemas.openxmlformats.org/officeDocument/2006/relationships/hyperlink" Target="http://nanobitsoftware.com/" TargetMode="External"/><Relationship Id="rId5" Type="http://schemas.openxmlformats.org/officeDocument/2006/relationships/hyperlink" Target="http://avid.ly/" TargetMode="External"/><Relationship Id="rId4" Type="http://schemas.openxmlformats.org/officeDocument/2006/relationships/hyperlink" Target="http://igg.com/" TargetMode="External"/><Relationship Id="rId9" Type="http://schemas.openxmlformats.org/officeDocument/2006/relationships/hyperlink" Target="http://avid.l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8761D"/>
    <outlinePr summaryBelow="0" summaryRight="0"/>
  </sheetPr>
  <dimension ref="A1:AU1000"/>
  <sheetViews>
    <sheetView tabSelected="1" topLeftCell="AA1" workbookViewId="0">
      <pane ySplit="3" topLeftCell="A4" activePane="bottomLeft" state="frozen"/>
      <selection pane="bottomLeft" activeCell="K40" sqref="K40"/>
    </sheetView>
  </sheetViews>
  <sheetFormatPr baseColWidth="10" defaultColWidth="14.5" defaultRowHeight="15" customHeight="1" x14ac:dyDescent="0.15"/>
  <cols>
    <col min="1" max="1" width="26" customWidth="1"/>
    <col min="2" max="4" width="14.5" customWidth="1"/>
    <col min="5" max="5" width="20.33203125" customWidth="1"/>
    <col min="6" max="6" width="14.5" customWidth="1"/>
    <col min="10" max="10" width="15.83203125" customWidth="1"/>
    <col min="14" max="14" width="17" customWidth="1"/>
    <col min="15" max="15" width="15.83203125" customWidth="1"/>
    <col min="42" max="42" width="16.6640625" customWidth="1"/>
    <col min="43" max="43" width="16.5" customWidth="1"/>
    <col min="44" max="44" width="18.83203125" customWidth="1"/>
    <col min="45" max="45" width="18.6640625" customWidth="1"/>
  </cols>
  <sheetData>
    <row r="1" spans="1:47" ht="15.75" customHeight="1" x14ac:dyDescent="0.15">
      <c r="A1" s="1" t="s">
        <v>0</v>
      </c>
      <c r="B1" s="1"/>
      <c r="C1" s="1"/>
      <c r="D1" s="1"/>
      <c r="E1" s="1"/>
      <c r="F1" s="1"/>
      <c r="G1" s="1"/>
      <c r="H1" s="1"/>
      <c r="I1" s="1"/>
      <c r="J1" s="1"/>
      <c r="K1" s="1"/>
      <c r="L1" s="1"/>
      <c r="M1" s="1"/>
      <c r="N1" s="1"/>
      <c r="O1" s="1" t="s">
        <v>1</v>
      </c>
      <c r="P1" s="1"/>
      <c r="Q1" s="2"/>
      <c r="R1" s="2"/>
      <c r="S1" s="2"/>
      <c r="T1" s="3"/>
      <c r="U1" s="2"/>
      <c r="V1" s="2"/>
      <c r="W1" s="2"/>
      <c r="X1" s="3"/>
      <c r="Y1" s="3"/>
      <c r="Z1" s="3"/>
      <c r="AA1" s="3"/>
      <c r="AB1" s="3"/>
      <c r="AC1" s="3"/>
      <c r="AD1" s="3"/>
      <c r="AE1" s="2"/>
      <c r="AF1" s="2"/>
      <c r="AG1" s="2"/>
      <c r="AH1" s="3"/>
      <c r="AI1" s="3"/>
      <c r="AJ1" s="3"/>
      <c r="AK1" s="3"/>
      <c r="AL1" s="3"/>
      <c r="AM1" s="3"/>
      <c r="AN1" s="3"/>
      <c r="AO1" s="2"/>
      <c r="AP1" s="3"/>
      <c r="AQ1" s="3"/>
      <c r="AR1" s="3"/>
      <c r="AS1" s="2"/>
      <c r="AT1" s="2"/>
      <c r="AU1" s="2"/>
    </row>
    <row r="2" spans="1:47" ht="15.75" customHeight="1" x14ac:dyDescent="0.15">
      <c r="A2" s="4" t="s">
        <v>2</v>
      </c>
      <c r="B2" s="5"/>
      <c r="C2" s="5"/>
      <c r="D2" s="5"/>
      <c r="E2" s="5"/>
      <c r="F2" s="5"/>
      <c r="G2" s="5"/>
      <c r="H2" s="5"/>
      <c r="I2" s="5"/>
      <c r="J2" s="5"/>
      <c r="K2" s="6" t="s">
        <v>3</v>
      </c>
      <c r="L2" s="5"/>
      <c r="M2" s="5"/>
      <c r="N2" s="5"/>
      <c r="O2" s="210" t="s">
        <v>4</v>
      </c>
      <c r="P2" s="211"/>
      <c r="Q2" s="211"/>
      <c r="R2" s="211"/>
      <c r="S2" s="211"/>
      <c r="T2" s="211"/>
      <c r="U2" s="211"/>
      <c r="V2" s="211"/>
      <c r="W2" s="211"/>
      <c r="X2" s="211"/>
      <c r="Y2" s="212"/>
      <c r="Z2" s="210" t="s">
        <v>5</v>
      </c>
      <c r="AA2" s="211"/>
      <c r="AB2" s="211"/>
      <c r="AC2" s="211"/>
      <c r="AD2" s="211"/>
      <c r="AE2" s="211"/>
      <c r="AF2" s="211"/>
      <c r="AG2" s="211"/>
      <c r="AH2" s="211"/>
      <c r="AI2" s="212"/>
      <c r="AJ2" s="210" t="s">
        <v>6</v>
      </c>
      <c r="AK2" s="211"/>
      <c r="AL2" s="211"/>
      <c r="AM2" s="213"/>
      <c r="AN2" s="210" t="s">
        <v>7</v>
      </c>
      <c r="AO2" s="211"/>
      <c r="AP2" s="211"/>
      <c r="AQ2" s="211"/>
      <c r="AR2" s="211"/>
      <c r="AS2" s="211"/>
      <c r="AT2" s="211"/>
      <c r="AU2" s="212"/>
    </row>
    <row r="3" spans="1:47" ht="15.75" customHeight="1" x14ac:dyDescent="0.15">
      <c r="A3" s="7" t="s">
        <v>8</v>
      </c>
      <c r="B3" s="7" t="s">
        <v>9</v>
      </c>
      <c r="C3" s="7" t="s">
        <v>10</v>
      </c>
      <c r="D3" s="7" t="s">
        <v>11</v>
      </c>
      <c r="E3" s="7" t="s">
        <v>12</v>
      </c>
      <c r="F3" s="7" t="s">
        <v>13</v>
      </c>
      <c r="G3" s="7" t="s">
        <v>14</v>
      </c>
      <c r="H3" s="7" t="s">
        <v>15</v>
      </c>
      <c r="I3" s="7" t="s">
        <v>16</v>
      </c>
      <c r="J3" s="8"/>
      <c r="K3" s="7" t="s">
        <v>8</v>
      </c>
      <c r="L3" s="7" t="s">
        <v>10</v>
      </c>
      <c r="M3" s="7" t="s">
        <v>17</v>
      </c>
      <c r="N3" s="8"/>
      <c r="O3" s="9" t="s">
        <v>18</v>
      </c>
      <c r="P3" s="9" t="s">
        <v>19</v>
      </c>
      <c r="Q3" s="7" t="s">
        <v>20</v>
      </c>
      <c r="R3" s="9" t="s">
        <v>21</v>
      </c>
      <c r="S3" s="7" t="s">
        <v>22</v>
      </c>
      <c r="T3" s="9" t="s">
        <v>23</v>
      </c>
      <c r="U3" s="7" t="s">
        <v>24</v>
      </c>
      <c r="V3" s="9" t="s">
        <v>25</v>
      </c>
      <c r="W3" s="7" t="s">
        <v>26</v>
      </c>
      <c r="X3" s="9" t="s">
        <v>27</v>
      </c>
      <c r="Y3" s="7" t="s">
        <v>28</v>
      </c>
      <c r="Z3" s="9" t="s">
        <v>29</v>
      </c>
      <c r="AA3" s="7" t="s">
        <v>30</v>
      </c>
      <c r="AB3" s="10" t="s">
        <v>31</v>
      </c>
      <c r="AC3" s="11" t="s">
        <v>32</v>
      </c>
      <c r="AD3" s="10" t="s">
        <v>33</v>
      </c>
      <c r="AE3" s="11" t="s">
        <v>34</v>
      </c>
      <c r="AF3" s="10" t="s">
        <v>35</v>
      </c>
      <c r="AG3" s="11" t="s">
        <v>36</v>
      </c>
      <c r="AH3" s="10" t="s">
        <v>37</v>
      </c>
      <c r="AI3" s="11" t="s">
        <v>38</v>
      </c>
      <c r="AJ3" s="10" t="s">
        <v>39</v>
      </c>
      <c r="AK3" s="11" t="s">
        <v>40</v>
      </c>
      <c r="AL3" s="10" t="s">
        <v>41</v>
      </c>
      <c r="AM3" s="11" t="s">
        <v>42</v>
      </c>
      <c r="AN3" s="9" t="s">
        <v>43</v>
      </c>
      <c r="AO3" s="7" t="s">
        <v>44</v>
      </c>
      <c r="AP3" s="9" t="s">
        <v>45</v>
      </c>
      <c r="AQ3" s="7" t="s">
        <v>46</v>
      </c>
      <c r="AR3" s="9" t="s">
        <v>47</v>
      </c>
      <c r="AS3" s="7" t="s">
        <v>48</v>
      </c>
      <c r="AT3" s="9" t="s">
        <v>49</v>
      </c>
      <c r="AU3" s="7" t="s">
        <v>50</v>
      </c>
    </row>
    <row r="4" spans="1:47" ht="15.75" customHeight="1" x14ac:dyDescent="0.15">
      <c r="A4" s="12" t="s">
        <v>4</v>
      </c>
      <c r="B4" s="13">
        <f>SUM(P107,R107,T107,V107,X107)</f>
        <v>310</v>
      </c>
      <c r="C4" s="13">
        <f>AVERAGE(P107,R107,T107,V107,X107)</f>
        <v>62</v>
      </c>
      <c r="D4" s="14">
        <f t="shared" ref="D4:E4" si="0">SUM(P106,R106,T106,V106,X106)</f>
        <v>265.52729513574661</v>
      </c>
      <c r="E4" s="14">
        <f t="shared" si="0"/>
        <v>613.50822451159945</v>
      </c>
      <c r="F4" s="14">
        <f t="shared" ref="F4:F7" si="1">D4+E4</f>
        <v>879.03551964734606</v>
      </c>
      <c r="G4" s="15">
        <f t="shared" ref="G4:G7" si="2">D4/B4</f>
        <v>0.85653966172821483</v>
      </c>
      <c r="H4" s="15">
        <f t="shared" ref="H4:H7" si="3">E4/B4</f>
        <v>1.979058788747095</v>
      </c>
      <c r="I4" s="15">
        <f t="shared" ref="I4:I7" si="4">F4/B4</f>
        <v>2.83559845047531</v>
      </c>
      <c r="J4" s="16"/>
      <c r="K4" s="12" t="s">
        <v>7</v>
      </c>
      <c r="L4" s="13">
        <f>C7</f>
        <v>77.333333333333329</v>
      </c>
      <c r="M4" s="16"/>
      <c r="N4" s="16"/>
      <c r="O4" s="17">
        <v>1</v>
      </c>
      <c r="P4" s="18">
        <f>'Bingo Party'!D4</f>
        <v>0.49900000000000005</v>
      </c>
      <c r="Q4" s="19">
        <f>'Bingo Party'!E4</f>
        <v>1.5353846153846153</v>
      </c>
      <c r="R4" s="20">
        <f>'Cash Frenzy'!D4</f>
        <v>1.99</v>
      </c>
      <c r="S4" s="19">
        <f>'Cash Frenzy'!E4</f>
        <v>0</v>
      </c>
      <c r="T4" s="20">
        <f>'Huuuge Casino'!D4</f>
        <v>0.96948571428571428</v>
      </c>
      <c r="U4" s="19">
        <f>'Huuuge Casino'!E4</f>
        <v>7.128571428571429</v>
      </c>
      <c r="V4" s="20">
        <f>'Lotsa Slots'!D4</f>
        <v>2.99</v>
      </c>
      <c r="W4" s="19">
        <f>'Lotsa Slots'!E4</f>
        <v>19.989999999999998</v>
      </c>
      <c r="X4" s="20">
        <f>'Scatter Slots'!D4</f>
        <v>4.1583333333333333E-2</v>
      </c>
      <c r="Y4" s="19">
        <f>'Scatter Slots'!E4</f>
        <v>2.7860833333333335</v>
      </c>
      <c r="Z4" s="20">
        <f>Gardenscapes!D4</f>
        <v>0.9106327810799999</v>
      </c>
      <c r="AA4" s="19">
        <f>Gardenscapes!E4</f>
        <v>1.9975999999999998</v>
      </c>
      <c r="AB4" s="20">
        <f>'Candy Crush Soda'!D4</f>
        <v>7.9164924539955557</v>
      </c>
      <c r="AC4" s="19">
        <f>'Candy Crush Soda'!E4</f>
        <v>27.980592988902458</v>
      </c>
      <c r="AD4" s="20">
        <f>Fishdom!D4</f>
        <v>1.8212655621600002</v>
      </c>
      <c r="AE4" s="19">
        <f>Fishdom!E4</f>
        <v>1.7226000000000004</v>
      </c>
      <c r="AF4" s="20">
        <f>Homescapes!D4</f>
        <v>0.9106327810799999</v>
      </c>
      <c r="AG4" s="19">
        <f>Homescapes!E4</f>
        <v>1.4256</v>
      </c>
      <c r="AH4" s="20">
        <f>'Matchington Mansion'!D4</f>
        <v>0.73958136286060605</v>
      </c>
      <c r="AI4" s="19">
        <f>'Matchington Mansion'!E4</f>
        <v>1.1578181818181819</v>
      </c>
      <c r="AJ4" s="20">
        <f>'Hay Day'!D4</f>
        <v>0</v>
      </c>
      <c r="AK4" s="19">
        <f>'Hay Day'!E4</f>
        <v>0.59699999999999998</v>
      </c>
      <c r="AL4" s="20">
        <f>Township!D4</f>
        <v>9.9</v>
      </c>
      <c r="AM4" s="19">
        <f>Township!E4</f>
        <v>0</v>
      </c>
      <c r="AN4" s="20">
        <f>'AFK Arena'!D4</f>
        <v>9.9799999999999986</v>
      </c>
      <c r="AO4" s="19">
        <f>'AFK Arena'!E4</f>
        <v>3.7924000000000002</v>
      </c>
      <c r="AP4" s="20">
        <f>'Empires &amp; Puzzles'!D4</f>
        <v>0</v>
      </c>
      <c r="AQ4" s="19">
        <f>'Empires &amp; Puzzles'!E4</f>
        <v>1.8712500000000001</v>
      </c>
      <c r="AR4" s="20">
        <f>'RAID Shadow Legends'!D4</f>
        <v>4.7523809523809524</v>
      </c>
      <c r="AS4" s="19">
        <f>'RAID Shadow Legends'!E4</f>
        <v>9.7400047619047623</v>
      </c>
      <c r="AT4" s="20">
        <f>'Rise of Kingdoms'!D4</f>
        <v>2.9699999999999998</v>
      </c>
      <c r="AU4" s="19">
        <f>'Rise of Kingdoms'!E4</f>
        <v>9.5047619047619047</v>
      </c>
    </row>
    <row r="5" spans="1:47" ht="15.75" customHeight="1" x14ac:dyDescent="0.15">
      <c r="A5" s="12" t="s">
        <v>5</v>
      </c>
      <c r="B5" s="13">
        <f>SUM(Z107,AB107,AD107,AF107,AH107)</f>
        <v>161</v>
      </c>
      <c r="C5" s="13">
        <f>AVERAGE(Z107,AB107,AD107,AF107,AH107)</f>
        <v>32.200000000000003</v>
      </c>
      <c r="D5" s="14">
        <f t="shared" ref="D5:E5" si="5">SUM(Z106,AB106,AD106,AF106,AH106)</f>
        <v>283.31988573615939</v>
      </c>
      <c r="E5" s="14">
        <f t="shared" si="5"/>
        <v>433.07726089181108</v>
      </c>
      <c r="F5" s="14">
        <f t="shared" si="1"/>
        <v>716.39714662797041</v>
      </c>
      <c r="G5" s="15">
        <f t="shared" si="2"/>
        <v>1.7597508430817355</v>
      </c>
      <c r="H5" s="15">
        <f t="shared" si="3"/>
        <v>2.6899208751044168</v>
      </c>
      <c r="I5" s="15">
        <f t="shared" si="4"/>
        <v>4.4496717181861518</v>
      </c>
      <c r="J5" s="16"/>
      <c r="K5" s="12" t="s">
        <v>4</v>
      </c>
      <c r="L5" s="13">
        <f>C4</f>
        <v>62</v>
      </c>
      <c r="M5" s="21">
        <f t="shared" ref="M5:M7" si="6">$L$4/L5-1</f>
        <v>0.24731182795698925</v>
      </c>
      <c r="N5" s="16"/>
      <c r="O5" s="17">
        <v>2</v>
      </c>
      <c r="P5" s="18">
        <f>'Bingo Party'!D5</f>
        <v>0.49900000000000005</v>
      </c>
      <c r="Q5" s="19">
        <f>'Bingo Party'!E5</f>
        <v>1.4970000000000001</v>
      </c>
      <c r="R5" s="20">
        <f>'Cash Frenzy'!D5</f>
        <v>0</v>
      </c>
      <c r="S5" s="19">
        <f>'Cash Frenzy'!E5</f>
        <v>0</v>
      </c>
      <c r="T5" s="20">
        <f>'Huuuge Casino'!D5</f>
        <v>16.110571428571429</v>
      </c>
      <c r="U5" s="19">
        <f>'Huuuge Casino'!E5</f>
        <v>0.71285714285714286</v>
      </c>
      <c r="V5" s="20">
        <f>'Lotsa Slots'!D5</f>
        <v>0</v>
      </c>
      <c r="W5" s="19">
        <f>'Lotsa Slots'!E5</f>
        <v>0</v>
      </c>
      <c r="X5" s="20">
        <f>'Scatter Slots'!D5</f>
        <v>0</v>
      </c>
      <c r="Y5" s="19">
        <f>'Scatter Slots'!E5</f>
        <v>0</v>
      </c>
      <c r="Z5" s="20">
        <f>Gardenscapes!D5</f>
        <v>0.42899999999999999</v>
      </c>
      <c r="AA5" s="19">
        <f>Gardenscapes!E5</f>
        <v>0.627</v>
      </c>
      <c r="AB5" s="20">
        <f>'Candy Crush Soda'!D5</f>
        <v>14.711505942902221</v>
      </c>
      <c r="AC5" s="19">
        <f>'Candy Crush Soda'!E5</f>
        <v>15.124000000000001</v>
      </c>
      <c r="AD5" s="20">
        <f>Fishdom!D5</f>
        <v>0.29700000000000004</v>
      </c>
      <c r="AE5" s="19">
        <f>Fishdom!E5</f>
        <v>0</v>
      </c>
      <c r="AF5" s="20">
        <f>Homescapes!D5</f>
        <v>0.627</v>
      </c>
      <c r="AG5" s="19">
        <f>Homescapes!E5</f>
        <v>0</v>
      </c>
      <c r="AH5" s="20">
        <f>'Matchington Mansion'!D5</f>
        <v>0.42212121212121212</v>
      </c>
      <c r="AI5" s="19">
        <f>'Matchington Mansion'!E5</f>
        <v>1.078556154171717</v>
      </c>
      <c r="AJ5" s="20">
        <f>'Hay Day'!D5</f>
        <v>0</v>
      </c>
      <c r="AK5" s="19">
        <f>'Hay Day'!E5</f>
        <v>0</v>
      </c>
      <c r="AL5" s="20">
        <f>Township!D5</f>
        <v>0.11940000000000001</v>
      </c>
      <c r="AM5" s="19">
        <f>Township!E5</f>
        <v>0</v>
      </c>
      <c r="AN5" s="20">
        <f>'AFK Arena'!D5</f>
        <v>26.945999999999998</v>
      </c>
      <c r="AO5" s="19">
        <f>'AFK Arena'!E5</f>
        <v>32.601333333333329</v>
      </c>
      <c r="AP5" s="20">
        <f>'Empires &amp; Puzzles'!D5</f>
        <v>0.1497</v>
      </c>
      <c r="AQ5" s="19">
        <f>'Empires &amp; Puzzles'!E5</f>
        <v>0.2994</v>
      </c>
      <c r="AR5" s="20">
        <f>'RAID Shadow Legends'!D5</f>
        <v>1.1405714285714286</v>
      </c>
      <c r="AS5" s="19">
        <f>'RAID Shadow Legends'!E5</f>
        <v>2.8514285714285714</v>
      </c>
      <c r="AT5" s="20">
        <f>'Rise of Kingdoms'!D5</f>
        <v>0</v>
      </c>
      <c r="AU5" s="19">
        <f>'Rise of Kingdoms'!E5</f>
        <v>5.7028571428571428</v>
      </c>
    </row>
    <row r="6" spans="1:47" ht="15.75" customHeight="1" x14ac:dyDescent="0.15">
      <c r="A6" s="22" t="s">
        <v>6</v>
      </c>
      <c r="B6" s="23">
        <f>SUM(AJ107,AL107)</f>
        <v>81</v>
      </c>
      <c r="C6" s="23">
        <f>AVERAGE(AJ107,AL107)</f>
        <v>40.5</v>
      </c>
      <c r="D6" s="14">
        <f>SUM(AJ106,AL106)</f>
        <v>180.06519999999998</v>
      </c>
      <c r="E6" s="14">
        <f>AVERAGE(AJ106,AL106)</f>
        <v>90.032599999999988</v>
      </c>
      <c r="F6" s="14">
        <f t="shared" si="1"/>
        <v>270.09779999999995</v>
      </c>
      <c r="G6" s="15">
        <f t="shared" si="2"/>
        <v>2.2230271604938268</v>
      </c>
      <c r="H6" s="15">
        <f t="shared" si="3"/>
        <v>1.1115135802469134</v>
      </c>
      <c r="I6" s="14">
        <f t="shared" si="4"/>
        <v>3.3345407407407399</v>
      </c>
      <c r="J6" s="16"/>
      <c r="K6" s="22" t="s">
        <v>6</v>
      </c>
      <c r="L6" s="23">
        <f>C6</f>
        <v>40.5</v>
      </c>
      <c r="M6" s="21">
        <f t="shared" si="6"/>
        <v>0.90946502057613166</v>
      </c>
      <c r="N6" s="16"/>
      <c r="O6" s="17">
        <v>3</v>
      </c>
      <c r="P6" s="18">
        <f>'Bingo Party'!D6</f>
        <v>0.38384615384615384</v>
      </c>
      <c r="Q6" s="19">
        <f>'Bingo Party'!E6</f>
        <v>1.5353846153846153</v>
      </c>
      <c r="R6" s="20">
        <f>'Cash Frenzy'!D6</f>
        <v>0</v>
      </c>
      <c r="S6" s="19">
        <f>'Cash Frenzy'!E6</f>
        <v>0</v>
      </c>
      <c r="T6" s="20">
        <f>'Huuuge Casino'!D6</f>
        <v>0.15607843137254901</v>
      </c>
      <c r="U6" s="19">
        <f>'Huuuge Casino'!E6</f>
        <v>7.2711428571428574</v>
      </c>
      <c r="V6" s="20">
        <f>'Lotsa Slots'!D6</f>
        <v>0</v>
      </c>
      <c r="W6" s="19">
        <f>'Lotsa Slots'!E6</f>
        <v>0</v>
      </c>
      <c r="X6" s="20">
        <f>'Scatter Slots'!D6</f>
        <v>0</v>
      </c>
      <c r="Y6" s="19">
        <f>'Scatter Slots'!E6</f>
        <v>0.18296666666666667</v>
      </c>
      <c r="Z6" s="20">
        <f>Gardenscapes!D6</f>
        <v>0.75886065089999988</v>
      </c>
      <c r="AA6" s="19">
        <f>Gardenscapes!E6</f>
        <v>0</v>
      </c>
      <c r="AB6" s="20">
        <f>'Candy Crush Soda'!D6</f>
        <v>3.2202605174555554</v>
      </c>
      <c r="AC6" s="19">
        <f>'Candy Crush Soda'!E6</f>
        <v>4.3116666666666665</v>
      </c>
      <c r="AD6" s="20">
        <f>Fishdom!D6</f>
        <v>0.42899999999999999</v>
      </c>
      <c r="AE6" s="19">
        <f>Fishdom!E6</f>
        <v>1.0961320512999999</v>
      </c>
      <c r="AF6" s="20">
        <f>Homescapes!D6</f>
        <v>9.9000000000000005E-2</v>
      </c>
      <c r="AG6" s="19">
        <f>Homescapes!E6</f>
        <v>1.5177213017999998</v>
      </c>
      <c r="AH6" s="20">
        <f>'Matchington Mansion'!D6</f>
        <v>0.42212121212121212</v>
      </c>
      <c r="AI6" s="19">
        <f>'Matchington Mansion'!E6</f>
        <v>2.157112308343434</v>
      </c>
      <c r="AJ6" s="20">
        <f>'Hay Day'!D6</f>
        <v>9.35</v>
      </c>
      <c r="AK6" s="19">
        <f>'Hay Day'!E6</f>
        <v>18.7</v>
      </c>
      <c r="AL6" s="20">
        <f>Township!D6</f>
        <v>0</v>
      </c>
      <c r="AM6" s="19">
        <f>Township!E6</f>
        <v>0</v>
      </c>
      <c r="AN6" s="20">
        <f>'AFK Arena'!D6</f>
        <v>4.99</v>
      </c>
      <c r="AO6" s="19">
        <f>'AFK Arena'!E6</f>
        <v>98.968333333333334</v>
      </c>
      <c r="AP6" s="20">
        <f>'Empires &amp; Puzzles'!D6</f>
        <v>0</v>
      </c>
      <c r="AQ6" s="19">
        <f>'Empires &amp; Puzzles'!E6</f>
        <v>4.36625E-2</v>
      </c>
      <c r="AR6" s="20">
        <f>'RAID Shadow Legends'!D6</f>
        <v>2.8514285714285714</v>
      </c>
      <c r="AS6" s="19">
        <f>'RAID Shadow Legends'!E6</f>
        <v>1.4257142857142857</v>
      </c>
      <c r="AT6" s="20">
        <f>'Rise of Kingdoms'!D6</f>
        <v>8.5542857142857143E-2</v>
      </c>
      <c r="AU6" s="19">
        <f>'Rise of Kingdoms'!E6</f>
        <v>0.21385714285714286</v>
      </c>
    </row>
    <row r="7" spans="1:47" ht="15.75" customHeight="1" x14ac:dyDescent="0.15">
      <c r="A7" s="12" t="s">
        <v>7</v>
      </c>
      <c r="B7" s="13">
        <f>SUM(AP107,AR107,AT107)</f>
        <v>232</v>
      </c>
      <c r="C7" s="13">
        <f>AVERAGE(AP107,AR107,AT107)</f>
        <v>77.333333333333329</v>
      </c>
      <c r="D7" s="14">
        <f t="shared" ref="D7:E7" si="7">SUM(AN106,AP106,AR106,AT106)</f>
        <v>940.17566517126988</v>
      </c>
      <c r="E7" s="14">
        <f t="shared" si="7"/>
        <v>2413.214884627725</v>
      </c>
      <c r="F7" s="14">
        <f t="shared" si="1"/>
        <v>3353.3905497989949</v>
      </c>
      <c r="G7" s="15">
        <f t="shared" si="2"/>
        <v>4.0524813153934049</v>
      </c>
      <c r="H7" s="15">
        <f t="shared" si="3"/>
        <v>10.40178829580916</v>
      </c>
      <c r="I7" s="15">
        <f t="shared" si="4"/>
        <v>14.454269611202564</v>
      </c>
      <c r="J7" s="16"/>
      <c r="K7" s="12" t="s">
        <v>5</v>
      </c>
      <c r="L7" s="13">
        <f>C5</f>
        <v>32.200000000000003</v>
      </c>
      <c r="M7" s="21">
        <f t="shared" si="6"/>
        <v>1.4016563146997925</v>
      </c>
      <c r="N7" s="16"/>
      <c r="O7" s="17">
        <v>4</v>
      </c>
      <c r="P7" s="18">
        <f>'Bingo Party'!D7</f>
        <v>0.49900000000000005</v>
      </c>
      <c r="Q7" s="19">
        <f>'Bingo Party'!E7</f>
        <v>1.4970000000000001</v>
      </c>
      <c r="R7" s="20">
        <f>'Cash Frenzy'!D7</f>
        <v>0</v>
      </c>
      <c r="S7" s="19">
        <f>'Cash Frenzy'!E7</f>
        <v>0</v>
      </c>
      <c r="T7" s="20">
        <f>'Huuuge Casino'!D7</f>
        <v>1.3972</v>
      </c>
      <c r="U7" s="19">
        <f>'Huuuge Casino'!E7</f>
        <v>7.4137142857142857</v>
      </c>
      <c r="V7" s="20">
        <f>'Lotsa Slots'!D7</f>
        <v>0</v>
      </c>
      <c r="W7" s="19">
        <f>'Lotsa Slots'!E7</f>
        <v>0</v>
      </c>
      <c r="X7" s="20">
        <f>'Scatter Slots'!D7</f>
        <v>0</v>
      </c>
      <c r="Y7" s="19">
        <f>'Scatter Slots'!E7</f>
        <v>0</v>
      </c>
      <c r="Z7" s="20">
        <f>Gardenscapes!D7</f>
        <v>9.9000000000000005E-2</v>
      </c>
      <c r="AA7" s="19">
        <f>Gardenscapes!E7</f>
        <v>1.5177213017999998</v>
      </c>
      <c r="AB7" s="20">
        <f>'Candy Crush Soda'!D7</f>
        <v>3.2202605174555554</v>
      </c>
      <c r="AC7" s="19">
        <f>'Candy Crush Soda'!E7</f>
        <v>6.3016666666666667</v>
      </c>
      <c r="AD7" s="20">
        <f>Fishdom!D7</f>
        <v>0.627</v>
      </c>
      <c r="AE7" s="19">
        <f>Fishdom!E7</f>
        <v>0.89100000000000001</v>
      </c>
      <c r="AF7" s="20">
        <f>Homescapes!D7</f>
        <v>0.627</v>
      </c>
      <c r="AG7" s="19">
        <f>Homescapes!E7</f>
        <v>0.495</v>
      </c>
      <c r="AH7" s="20">
        <f>'Matchington Mansion'!D7</f>
        <v>9.0454545454545454E-2</v>
      </c>
      <c r="AI7" s="19">
        <f>'Matchington Mansion'!E7</f>
        <v>0.54272727272727272</v>
      </c>
      <c r="AJ7" s="20">
        <f>'Hay Day'!D7</f>
        <v>0</v>
      </c>
      <c r="AK7" s="19">
        <f>'Hay Day'!E7</f>
        <v>0</v>
      </c>
      <c r="AL7" s="20">
        <f>Township!D7</f>
        <v>1.4328000000000001</v>
      </c>
      <c r="AM7" s="19">
        <f>Township!E7</f>
        <v>0</v>
      </c>
      <c r="AN7" s="20">
        <f>'AFK Arena'!D7</f>
        <v>0</v>
      </c>
      <c r="AO7" s="19">
        <f>'AFK Arena'!E7</f>
        <v>97.304999999999993</v>
      </c>
      <c r="AP7" s="20">
        <f>'Empires &amp; Puzzles'!D7</f>
        <v>0.62375000000000003</v>
      </c>
      <c r="AQ7" s="19">
        <f>'Empires &amp; Puzzles'!E7</f>
        <v>1.2475000000000001</v>
      </c>
      <c r="AR7" s="20">
        <f>'RAID Shadow Legends'!D7</f>
        <v>0.28514285714285714</v>
      </c>
      <c r="AS7" s="19">
        <f>'RAID Shadow Legends'!E7</f>
        <v>2.2811428571428571</v>
      </c>
      <c r="AT7" s="20">
        <f>'Rise of Kingdoms'!D7</f>
        <v>0.71285714285714297</v>
      </c>
      <c r="AU7" s="19">
        <f>'Rise of Kingdoms'!E7</f>
        <v>2.3761904761904762</v>
      </c>
    </row>
    <row r="8" spans="1:47" ht="15.75" customHeight="1" x14ac:dyDescent="0.15">
      <c r="A8" s="24"/>
      <c r="B8" s="24"/>
      <c r="C8" s="24"/>
      <c r="D8" s="24"/>
      <c r="E8" s="24"/>
      <c r="F8" s="24"/>
      <c r="G8" s="24"/>
      <c r="H8" s="24"/>
      <c r="I8" s="24"/>
      <c r="J8" s="16"/>
      <c r="K8" s="16"/>
      <c r="L8" s="16"/>
      <c r="M8" s="16"/>
      <c r="N8" s="16"/>
      <c r="O8" s="17">
        <v>5</v>
      </c>
      <c r="P8" s="18">
        <f>'Bingo Party'!D8</f>
        <v>0.38384615384615384</v>
      </c>
      <c r="Q8" s="19">
        <f>'Bingo Party'!E8</f>
        <v>1.5353846153846153</v>
      </c>
      <c r="R8" s="20">
        <f>'Cash Frenzy'!D8</f>
        <v>0</v>
      </c>
      <c r="S8" s="19">
        <f>'Cash Frenzy'!E8</f>
        <v>0</v>
      </c>
      <c r="T8" s="20">
        <f>'Huuuge Casino'!D8</f>
        <v>2.1385714285714288</v>
      </c>
      <c r="U8" s="19">
        <f>'Huuuge Casino'!E8</f>
        <v>7.5562857142857141</v>
      </c>
      <c r="V8" s="20">
        <f>'Lotsa Slots'!D8</f>
        <v>5.99</v>
      </c>
      <c r="W8" s="19">
        <f>'Lotsa Slots'!E8</f>
        <v>0</v>
      </c>
      <c r="X8" s="20">
        <f>'Scatter Slots'!D8</f>
        <v>0</v>
      </c>
      <c r="Y8" s="19">
        <f>'Scatter Slots'!E8</f>
        <v>0</v>
      </c>
      <c r="Z8" s="20">
        <f>Gardenscapes!D8</f>
        <v>0.42899999999999999</v>
      </c>
      <c r="AA8" s="19">
        <f>Gardenscapes!E8</f>
        <v>0.99</v>
      </c>
      <c r="AB8" s="20">
        <f>'Candy Crush Soda'!D8</f>
        <v>3.2202605174555554</v>
      </c>
      <c r="AC8" s="19">
        <f>'Candy Crush Soda'!E8</f>
        <v>6.5670000000000002</v>
      </c>
      <c r="AD8" s="20">
        <f>Fishdom!D8</f>
        <v>1.8212655621600002</v>
      </c>
      <c r="AE8" s="19">
        <f>Fishdom!E8</f>
        <v>0</v>
      </c>
      <c r="AF8" s="20">
        <f>Homescapes!D8</f>
        <v>0.45531639053999995</v>
      </c>
      <c r="AG8" s="19">
        <f>Homescapes!E8</f>
        <v>0</v>
      </c>
      <c r="AH8" s="20">
        <f>'Matchington Mansion'!D8</f>
        <v>0.71903743611447801</v>
      </c>
      <c r="AI8" s="19">
        <f>'Matchington Mansion'!E8</f>
        <v>0</v>
      </c>
      <c r="AJ8" s="20">
        <f>'Hay Day'!D8</f>
        <v>3.9800000000000002E-2</v>
      </c>
      <c r="AK8" s="19">
        <f>'Hay Day'!E8</f>
        <v>2.3879999999999999</v>
      </c>
      <c r="AL8" s="20">
        <f>Township!D8</f>
        <v>1.5920000000000001</v>
      </c>
      <c r="AM8" s="19">
        <f>Township!E8</f>
        <v>0</v>
      </c>
      <c r="AN8" s="20">
        <f>'AFK Arena'!D8</f>
        <v>26.06609666666667</v>
      </c>
      <c r="AO8" s="19">
        <f>'AFK Arena'!E8</f>
        <v>112.27499999999999</v>
      </c>
      <c r="AP8" s="20">
        <f>'Empires &amp; Puzzles'!D8</f>
        <v>0</v>
      </c>
      <c r="AQ8" s="19">
        <f>'Empires &amp; Puzzles'!E8</f>
        <v>0</v>
      </c>
      <c r="AR8" s="20">
        <f>'RAID Shadow Legends'!D8</f>
        <v>0.71285714285714286</v>
      </c>
      <c r="AS8" s="19">
        <f>'RAID Shadow Legends'!E8</f>
        <v>2.2811428571428571</v>
      </c>
      <c r="AT8" s="20">
        <f>'Rise of Kingdoms'!D8</f>
        <v>1.4257142857142857</v>
      </c>
      <c r="AU8" s="19">
        <f>'Rise of Kingdoms'!E8</f>
        <v>3.5642857142857141</v>
      </c>
    </row>
    <row r="9" spans="1:47" ht="15.75" customHeight="1" x14ac:dyDescent="0.15">
      <c r="A9" s="4" t="s">
        <v>51</v>
      </c>
      <c r="B9" s="5"/>
      <c r="C9" s="5"/>
      <c r="D9" s="5"/>
      <c r="E9" s="5"/>
      <c r="F9" s="5"/>
      <c r="G9" s="5"/>
      <c r="H9" s="5"/>
      <c r="I9" s="16"/>
      <c r="J9" s="16"/>
      <c r="K9" s="16"/>
      <c r="L9" s="16"/>
      <c r="M9" s="16"/>
      <c r="N9" s="16"/>
      <c r="O9" s="17">
        <v>6</v>
      </c>
      <c r="P9" s="18">
        <f>'Bingo Party'!D9</f>
        <v>0</v>
      </c>
      <c r="Q9" s="19">
        <f>'Bingo Party'!E9</f>
        <v>0</v>
      </c>
      <c r="R9" s="20">
        <f>'Cash Frenzy'!D9</f>
        <v>0</v>
      </c>
      <c r="S9" s="19">
        <f>'Cash Frenzy'!E9</f>
        <v>0.44333333333333336</v>
      </c>
      <c r="T9" s="20">
        <f>'Huuuge Casino'!D9</f>
        <v>0.23411764705882351</v>
      </c>
      <c r="U9" s="19">
        <f>'Huuuge Casino'!E9</f>
        <v>1.0692857142857144</v>
      </c>
      <c r="V9" s="20">
        <f>'Lotsa Slots'!D9</f>
        <v>0</v>
      </c>
      <c r="W9" s="19">
        <f>'Lotsa Slots'!E9</f>
        <v>1.99</v>
      </c>
      <c r="X9" s="20">
        <f>'Scatter Slots'!D9</f>
        <v>0.16633333333333333</v>
      </c>
      <c r="Y9" s="19">
        <f>'Scatter Slots'!E9</f>
        <v>0.37009166666666671</v>
      </c>
      <c r="Z9" s="20">
        <f>Gardenscapes!D9</f>
        <v>0.92399999999999993</v>
      </c>
      <c r="AA9" s="19">
        <f>Gardenscapes!E9</f>
        <v>0</v>
      </c>
      <c r="AB9" s="20">
        <f>'Candy Crush Soda'!D9</f>
        <v>4.1354924539955551</v>
      </c>
      <c r="AC9" s="19">
        <f>'Candy Crush Soda'!E9</f>
        <v>4.3116666666666665</v>
      </c>
      <c r="AD9" s="20">
        <f>Fishdom!D9</f>
        <v>0.29700000000000004</v>
      </c>
      <c r="AE9" s="19">
        <f>Fishdom!E9</f>
        <v>1.254</v>
      </c>
      <c r="AF9" s="20">
        <f>Homescapes!D9</f>
        <v>0</v>
      </c>
      <c r="AG9" s="19">
        <f>Homescapes!E9</f>
        <v>0</v>
      </c>
      <c r="AH9" s="20">
        <f>'Matchington Mansion'!D9</f>
        <v>0.77388888888888896</v>
      </c>
      <c r="AI9" s="19">
        <f>'Matchington Mansion'!E9</f>
        <v>0.84424242424242424</v>
      </c>
      <c r="AJ9" s="20">
        <f>'Hay Day'!D9</f>
        <v>0</v>
      </c>
      <c r="AK9" s="19">
        <f>'Hay Day'!E9</f>
        <v>1.5920000000000001</v>
      </c>
      <c r="AL9" s="20">
        <f>Township!D9</f>
        <v>17.16</v>
      </c>
      <c r="AM9" s="19">
        <f>Township!E9</f>
        <v>0.19900000000000001</v>
      </c>
      <c r="AN9" s="20">
        <f>'AFK Arena'!D9</f>
        <v>43.24666666666667</v>
      </c>
      <c r="AO9" s="19">
        <f>'AFK Arena'!E9</f>
        <v>111.60966666666667</v>
      </c>
      <c r="AP9" s="20">
        <f>'Empires &amp; Puzzles'!D9</f>
        <v>1.4969999999999999E-5</v>
      </c>
      <c r="AQ9" s="19">
        <f>'Empires &amp; Puzzles'!E9</f>
        <v>2.9939999999999998E-5</v>
      </c>
      <c r="AR9" s="20">
        <f>'RAID Shadow Legends'!D9</f>
        <v>1.1405714285714286</v>
      </c>
      <c r="AS9" s="19">
        <f>'RAID Shadow Legends'!E9</f>
        <v>3.6213142857142859</v>
      </c>
      <c r="AT9" s="20">
        <f>'Rise of Kingdoms'!D9</f>
        <v>8.5542857142857143E-2</v>
      </c>
      <c r="AU9" s="19">
        <f>'Rise of Kingdoms'!E9</f>
        <v>0.12831428571428571</v>
      </c>
    </row>
    <row r="10" spans="1:47" ht="27" customHeight="1" x14ac:dyDescent="0.15">
      <c r="A10" s="7" t="s">
        <v>52</v>
      </c>
      <c r="B10" s="7" t="s">
        <v>53</v>
      </c>
      <c r="C10" s="7" t="s">
        <v>54</v>
      </c>
      <c r="D10" s="7" t="s">
        <v>55</v>
      </c>
      <c r="E10" s="7" t="s">
        <v>13</v>
      </c>
      <c r="F10" s="7" t="s">
        <v>56</v>
      </c>
      <c r="G10" s="7" t="s">
        <v>57</v>
      </c>
      <c r="H10" s="7" t="s">
        <v>58</v>
      </c>
      <c r="J10" s="16"/>
      <c r="K10" s="16"/>
      <c r="L10" s="16"/>
      <c r="M10" s="16"/>
      <c r="N10" s="16"/>
      <c r="O10" s="17">
        <v>7</v>
      </c>
      <c r="P10" s="18">
        <f>'Bingo Party'!D10</f>
        <v>0.49900000000000005</v>
      </c>
      <c r="Q10" s="19">
        <f>'Bingo Party'!E10</f>
        <v>1.4970000000000001</v>
      </c>
      <c r="R10" s="20">
        <f>'Cash Frenzy'!D10</f>
        <v>0</v>
      </c>
      <c r="S10" s="19">
        <f>'Cash Frenzy'!E10</f>
        <v>0</v>
      </c>
      <c r="T10" s="20">
        <f>'Huuuge Casino'!D10</f>
        <v>0</v>
      </c>
      <c r="U10" s="19">
        <f>'Huuuge Casino'!E10</f>
        <v>7.8414285714285716</v>
      </c>
      <c r="V10" s="20">
        <f>'Lotsa Slots'!D10</f>
        <v>0</v>
      </c>
      <c r="W10" s="19">
        <f>'Lotsa Slots'!E10</f>
        <v>0.33166666666666667</v>
      </c>
      <c r="X10" s="20">
        <f>'Scatter Slots'!D10</f>
        <v>0</v>
      </c>
      <c r="Y10" s="19">
        <f>'Scatter Slots'!E10</f>
        <v>0</v>
      </c>
      <c r="Z10" s="20">
        <f>Gardenscapes!D10</f>
        <v>0.42899999999999999</v>
      </c>
      <c r="AA10" s="19">
        <f>Gardenscapes!E10</f>
        <v>0.59399999999999997</v>
      </c>
      <c r="AB10" s="20">
        <f>'Candy Crush Soda'!D10</f>
        <v>3.2202605174555554</v>
      </c>
      <c r="AC10" s="19">
        <f>'Candy Crush Soda'!E10</f>
        <v>6.3016666666666667</v>
      </c>
      <c r="AD10" s="20">
        <f>Fishdom!D10</f>
        <v>0.42899999999999999</v>
      </c>
      <c r="AE10" s="19">
        <f>Fishdom!E10</f>
        <v>0</v>
      </c>
      <c r="AF10" s="20">
        <f>Homescapes!D10</f>
        <v>9.9000000000000005E-2</v>
      </c>
      <c r="AG10" s="19">
        <f>Homescapes!E10</f>
        <v>3.2040783037999998</v>
      </c>
      <c r="AH10" s="20">
        <f>'Matchington Mansion'!D10</f>
        <v>9.0454545454545454E-2</v>
      </c>
      <c r="AI10" s="19">
        <f>'Matchington Mansion'!E10</f>
        <v>0.84424242424242424</v>
      </c>
      <c r="AJ10" s="20">
        <f>'Hay Day'!D10</f>
        <v>0</v>
      </c>
      <c r="AK10" s="19">
        <f>'Hay Day'!E10</f>
        <v>1.5920000000000001</v>
      </c>
      <c r="AL10" s="20">
        <f>Township!D10</f>
        <v>1.194</v>
      </c>
      <c r="AM10" s="19">
        <f>Township!E10</f>
        <v>0</v>
      </c>
      <c r="AN10" s="20">
        <f>'AFK Arena'!D10</f>
        <v>0</v>
      </c>
      <c r="AO10" s="19">
        <f>'AFK Arena'!E10</f>
        <v>65.951166666666666</v>
      </c>
      <c r="AP10" s="20">
        <f>'Empires &amp; Puzzles'!D10</f>
        <v>0</v>
      </c>
      <c r="AQ10" s="19">
        <f>'Empires &amp; Puzzles'!E10</f>
        <v>3.7425000000000002</v>
      </c>
      <c r="AR10" s="20">
        <f>'RAID Shadow Legends'!D10</f>
        <v>0.85542857142857143</v>
      </c>
      <c r="AS10" s="19">
        <f>'RAID Shadow Legends'!E10</f>
        <v>0.47523809523809524</v>
      </c>
      <c r="AT10" s="20">
        <f>'Rise of Kingdoms'!D10</f>
        <v>8.7126984126984133E-3</v>
      </c>
      <c r="AU10" s="19">
        <f>'Rise of Kingdoms'!E10</f>
        <v>1.1308686507936507</v>
      </c>
    </row>
    <row r="11" spans="1:47" ht="15.75" customHeight="1" x14ac:dyDescent="0.15">
      <c r="A11" s="16" t="s">
        <v>59</v>
      </c>
      <c r="B11" s="16">
        <v>37</v>
      </c>
      <c r="C11" s="25">
        <v>20.887327810800006</v>
      </c>
      <c r="D11" s="25">
        <v>59.272545055935304</v>
      </c>
      <c r="E11" s="26">
        <f t="shared" ref="E11:E15" si="8">C11+D11</f>
        <v>80.159872866735313</v>
      </c>
      <c r="F11" s="15">
        <f t="shared" ref="F11:F15" si="9">C11/B11</f>
        <v>0.56452237326486499</v>
      </c>
      <c r="G11" s="15">
        <f t="shared" ref="G11:G15" si="10">D11/B11</f>
        <v>1.6019606771874406</v>
      </c>
      <c r="H11" s="15">
        <f t="shared" ref="H11:H15" si="11">E11/B11</f>
        <v>2.1664830504523058</v>
      </c>
      <c r="J11" s="16"/>
      <c r="K11" s="16"/>
      <c r="L11" s="16"/>
      <c r="M11" s="16"/>
      <c r="N11" s="16"/>
      <c r="O11" s="17">
        <v>8</v>
      </c>
      <c r="P11" s="18">
        <f>'Bingo Party'!D11</f>
        <v>0.38384615384615384</v>
      </c>
      <c r="Q11" s="19">
        <f>'Bingo Party'!E11</f>
        <v>0</v>
      </c>
      <c r="R11" s="20">
        <f>'Cash Frenzy'!D11</f>
        <v>0</v>
      </c>
      <c r="S11" s="19">
        <f>'Cash Frenzy'!E11</f>
        <v>0</v>
      </c>
      <c r="T11" s="20">
        <f>'Huuuge Casino'!D11</f>
        <v>0.29264705882352937</v>
      </c>
      <c r="U11" s="19">
        <f>'Huuuge Casino'!E11</f>
        <v>7.984</v>
      </c>
      <c r="V11" s="20">
        <f>'Lotsa Slots'!D11</f>
        <v>0</v>
      </c>
      <c r="W11" s="19">
        <f>'Lotsa Slots'!E11</f>
        <v>0</v>
      </c>
      <c r="X11" s="20">
        <f>'Scatter Slots'!D11</f>
        <v>0</v>
      </c>
      <c r="Y11" s="19">
        <f>'Scatter Slots'!E11</f>
        <v>0.2495</v>
      </c>
      <c r="Z11" s="20">
        <f>Gardenscapes!D11</f>
        <v>0.29699999999999999</v>
      </c>
      <c r="AA11" s="19">
        <f>Gardenscapes!E11</f>
        <v>0.85799999999999998</v>
      </c>
      <c r="AB11" s="20">
        <f>'Candy Crush Soda'!D11</f>
        <v>3.2202605174555554</v>
      </c>
      <c r="AC11" s="19">
        <f>'Candy Crush Soda'!E11</f>
        <v>5.5720000000000001</v>
      </c>
      <c r="AD11" s="20">
        <f>Fishdom!D11</f>
        <v>0.627</v>
      </c>
      <c r="AE11" s="19">
        <f>Fishdom!E11</f>
        <v>0</v>
      </c>
      <c r="AF11" s="20">
        <f>Homescapes!D11</f>
        <v>0.627</v>
      </c>
      <c r="AG11" s="19">
        <f>Homescapes!E11</f>
        <v>0.89100000000000001</v>
      </c>
      <c r="AH11" s="20">
        <f>'Matchington Mansion'!D11</f>
        <v>1.078556154171717</v>
      </c>
      <c r="AI11" s="19">
        <f>'Matchington Mansion'!E11</f>
        <v>2.8966936712040399</v>
      </c>
      <c r="AJ11" s="20">
        <f>'Hay Day'!D11</f>
        <v>0</v>
      </c>
      <c r="AK11" s="19">
        <f>'Hay Day'!E11</f>
        <v>0</v>
      </c>
      <c r="AL11" s="20">
        <f>Township!D11</f>
        <v>0</v>
      </c>
      <c r="AM11" s="19">
        <f>Township!E11</f>
        <v>3.9800000000000002E-2</v>
      </c>
      <c r="AN11" s="20">
        <f>'AFK Arena'!D11</f>
        <v>49.9</v>
      </c>
      <c r="AO11" s="19">
        <f>'AFK Arena'!E11</f>
        <v>50.433930000000011</v>
      </c>
      <c r="AP11" s="20">
        <f>'Empires &amp; Puzzles'!D11</f>
        <v>1.2475000000000001</v>
      </c>
      <c r="AQ11" s="19">
        <f>'Empires &amp; Puzzles'!E11</f>
        <v>1.2475000000000001</v>
      </c>
      <c r="AR11" s="20">
        <f>'RAID Shadow Legends'!D11</f>
        <v>0.35642857142857143</v>
      </c>
      <c r="AS11" s="19">
        <f>'RAID Shadow Legends'!E11</f>
        <v>2.2811428571428571</v>
      </c>
      <c r="AT11" s="20">
        <f>'Rise of Kingdoms'!D11</f>
        <v>8.7126984126984133E-3</v>
      </c>
      <c r="AU11" s="19">
        <f>'Rise of Kingdoms'!E11</f>
        <v>1.7425396825396824E-4</v>
      </c>
    </row>
    <row r="12" spans="1:47" ht="15.75" customHeight="1" x14ac:dyDescent="0.15">
      <c r="A12" s="16" t="s">
        <v>60</v>
      </c>
      <c r="B12" s="16">
        <v>36</v>
      </c>
      <c r="C12" s="25">
        <v>39.660983432400002</v>
      </c>
      <c r="D12" s="25">
        <v>44.522776528999998</v>
      </c>
      <c r="E12" s="26">
        <f t="shared" si="8"/>
        <v>84.1837599614</v>
      </c>
      <c r="F12" s="15">
        <f t="shared" si="9"/>
        <v>1.1016939842333333</v>
      </c>
      <c r="G12" s="15">
        <f t="shared" si="10"/>
        <v>1.2367437924722222</v>
      </c>
      <c r="H12" s="15">
        <f t="shared" si="11"/>
        <v>2.3384377767055557</v>
      </c>
      <c r="J12" s="16"/>
      <c r="K12" s="16"/>
      <c r="L12" s="16"/>
      <c r="M12" s="16"/>
      <c r="N12" s="16"/>
      <c r="O12" s="17">
        <v>9</v>
      </c>
      <c r="P12" s="18">
        <f>'Bingo Party'!D12</f>
        <v>0.38384615384615384</v>
      </c>
      <c r="Q12" s="19">
        <f>'Bingo Party'!E12</f>
        <v>1.5353846153846153</v>
      </c>
      <c r="R12" s="20">
        <f>'Cash Frenzy'!D12</f>
        <v>0</v>
      </c>
      <c r="S12" s="19">
        <f>'Cash Frenzy'!E12</f>
        <v>1.19</v>
      </c>
      <c r="T12" s="20">
        <f>'Huuuge Casino'!D12</f>
        <v>0</v>
      </c>
      <c r="U12" s="19">
        <f>'Huuuge Casino'!E12</f>
        <v>8.1265714285714292</v>
      </c>
      <c r="V12" s="20">
        <f>'Lotsa Slots'!D12</f>
        <v>0</v>
      </c>
      <c r="W12" s="19">
        <f>'Lotsa Slots'!E12</f>
        <v>0</v>
      </c>
      <c r="X12" s="20">
        <f>'Scatter Slots'!D12</f>
        <v>0</v>
      </c>
      <c r="Y12" s="19">
        <f>'Scatter Slots'!E12</f>
        <v>0</v>
      </c>
      <c r="Z12" s="20">
        <f>Gardenscapes!D12</f>
        <v>9.9000000000000005E-2</v>
      </c>
      <c r="AA12" s="19">
        <f>Gardenscapes!E12</f>
        <v>1.254</v>
      </c>
      <c r="AB12" s="20">
        <f>'Candy Crush Soda'!D12</f>
        <v>3.2202605174555554</v>
      </c>
      <c r="AC12" s="19">
        <f>'Candy Crush Soda'!E12</f>
        <v>5.3066666666666666</v>
      </c>
      <c r="AD12" s="20">
        <f>Fishdom!D12</f>
        <v>3.6425311243200005</v>
      </c>
      <c r="AE12" s="19">
        <f>Fishdom!E12</f>
        <v>1.254</v>
      </c>
      <c r="AF12" s="20">
        <f>Homescapes!D12</f>
        <v>0.627</v>
      </c>
      <c r="AG12" s="19">
        <f>Homescapes!E12</f>
        <v>0.495</v>
      </c>
      <c r="AH12" s="20">
        <f>'Matchington Mansion'!D12</f>
        <v>0.73958136286060605</v>
      </c>
      <c r="AI12" s="19">
        <f>'Matchington Mansion'!E12</f>
        <v>1.386969696969697</v>
      </c>
      <c r="AJ12" s="20">
        <f>'Hay Day'!D12</f>
        <v>0.63680000000000003</v>
      </c>
      <c r="AK12" s="19">
        <f>'Hay Day'!E12</f>
        <v>1.5920000000000001</v>
      </c>
      <c r="AL12" s="20">
        <f>Township!D12</f>
        <v>0.95520000000000005</v>
      </c>
      <c r="AM12" s="19">
        <f>Township!E12</f>
        <v>0</v>
      </c>
      <c r="AN12" s="20">
        <f>'AFK Arena'!D12</f>
        <v>49.9</v>
      </c>
      <c r="AO12" s="19">
        <f>'AFK Arena'!E12</f>
        <v>27.278666666666666</v>
      </c>
      <c r="AP12" s="20">
        <f>'Empires &amp; Puzzles'!D12</f>
        <v>0</v>
      </c>
      <c r="AQ12" s="19">
        <f>'Empires &amp; Puzzles'!E12</f>
        <v>2.4950000000000001</v>
      </c>
      <c r="AR12" s="20">
        <f>'RAID Shadow Legends'!D12</f>
        <v>1.1405714285714286</v>
      </c>
      <c r="AS12" s="19">
        <f>'RAID Shadow Legends'!E12</f>
        <v>1.3306666666666667</v>
      </c>
      <c r="AT12" s="20">
        <f>'Rise of Kingdoms'!D12</f>
        <v>0</v>
      </c>
      <c r="AU12" s="19">
        <f>'Rise of Kingdoms'!E12</f>
        <v>0.21385714285714286</v>
      </c>
    </row>
    <row r="13" spans="1:47" ht="15.75" customHeight="1" x14ac:dyDescent="0.15">
      <c r="A13" s="16" t="s">
        <v>61</v>
      </c>
      <c r="B13" s="16">
        <v>36</v>
      </c>
      <c r="C13" s="25">
        <v>23.486779453621555</v>
      </c>
      <c r="D13" s="25">
        <v>53.001937486001999</v>
      </c>
      <c r="E13" s="26">
        <f t="shared" si="8"/>
        <v>76.488716939623558</v>
      </c>
      <c r="F13" s="15">
        <f t="shared" si="9"/>
        <v>0.65241054037837654</v>
      </c>
      <c r="G13" s="15">
        <f t="shared" si="10"/>
        <v>1.4722760412778333</v>
      </c>
      <c r="H13" s="15">
        <f t="shared" si="11"/>
        <v>2.1246865816562099</v>
      </c>
      <c r="J13" s="16"/>
      <c r="K13" s="16"/>
      <c r="L13" s="16"/>
      <c r="M13" s="16"/>
      <c r="N13" s="16"/>
      <c r="O13" s="17">
        <v>10</v>
      </c>
      <c r="P13" s="18">
        <f>'Bingo Party'!D13</f>
        <v>0.49900000000000005</v>
      </c>
      <c r="Q13" s="19">
        <f>'Bingo Party'!E13</f>
        <v>1.4970000000000001</v>
      </c>
      <c r="R13" s="20">
        <f>'Cash Frenzy'!D13</f>
        <v>0</v>
      </c>
      <c r="S13" s="19">
        <f>'Cash Frenzy'!E13</f>
        <v>0</v>
      </c>
      <c r="T13" s="20">
        <f>'Huuuge Casino'!D13</f>
        <v>0.48774509803921567</v>
      </c>
      <c r="U13" s="19">
        <f>'Huuuge Casino'!E13</f>
        <v>2.1385714285714288</v>
      </c>
      <c r="V13" s="20">
        <f>'Lotsa Slots'!D13</f>
        <v>0</v>
      </c>
      <c r="W13" s="19">
        <f>'Lotsa Slots'!E13</f>
        <v>0</v>
      </c>
      <c r="X13" s="20">
        <f>'Scatter Slots'!D13</f>
        <v>0</v>
      </c>
      <c r="Y13" s="19">
        <f>'Scatter Slots'!E13</f>
        <v>0.26613333333333333</v>
      </c>
      <c r="Z13" s="20">
        <f>Gardenscapes!D13</f>
        <v>0.9106327810799999</v>
      </c>
      <c r="AA13" s="19">
        <f>Gardenscapes!E13</f>
        <v>2.1922641025999998</v>
      </c>
      <c r="AB13" s="20">
        <f>'Candy Crush Soda'!D13</f>
        <v>3.2202605174555554</v>
      </c>
      <c r="AC13" s="19">
        <f>'Candy Crush Soda'!E13</f>
        <v>6.3016666666666667</v>
      </c>
      <c r="AD13" s="20">
        <f>Fishdom!D13</f>
        <v>0.29700000000000004</v>
      </c>
      <c r="AE13" s="19">
        <f>Fishdom!E13</f>
        <v>1.5177213018000002</v>
      </c>
      <c r="AF13" s="20">
        <f>Homescapes!D13</f>
        <v>0.45531639053999995</v>
      </c>
      <c r="AG13" s="19">
        <f>Homescapes!E13</f>
        <v>1.254</v>
      </c>
      <c r="AH13" s="20">
        <f>'Matchington Mansion'!D13</f>
        <v>9.0454545454545454E-2</v>
      </c>
      <c r="AI13" s="19">
        <f>'Matchington Mansion'!E13</f>
        <v>4.3142246166868681</v>
      </c>
      <c r="AJ13" s="20">
        <f>'Hay Day'!D13</f>
        <v>0</v>
      </c>
      <c r="AK13" s="19">
        <f>'Hay Day'!E13</f>
        <v>0.59699999999999998</v>
      </c>
      <c r="AL13" s="20">
        <f>Township!D13</f>
        <v>0</v>
      </c>
      <c r="AM13" s="19">
        <f>Township!E13</f>
        <v>1.3266666666666667</v>
      </c>
      <c r="AN13" s="20">
        <f>'AFK Arena'!D13</f>
        <v>43.163500000000006</v>
      </c>
      <c r="AO13" s="19">
        <f>'AFK Arena'!E13</f>
        <v>257.48400000000004</v>
      </c>
      <c r="AP13" s="20">
        <f>'Empires &amp; Puzzles'!D13</f>
        <v>0</v>
      </c>
      <c r="AQ13" s="19">
        <f>'Empires &amp; Puzzles'!E13</f>
        <v>0</v>
      </c>
      <c r="AR13" s="20">
        <f>'RAID Shadow Legends'!D13</f>
        <v>2.2811428571428571</v>
      </c>
      <c r="AS13" s="19">
        <f>'RAID Shadow Legends'!E13</f>
        <v>4.9950000000000001</v>
      </c>
      <c r="AT13" s="20">
        <f>'Rise of Kingdoms'!D13</f>
        <v>0.95047619047619047</v>
      </c>
      <c r="AU13" s="19">
        <f>'Rise of Kingdoms'!E13</f>
        <v>9.5047619047619047</v>
      </c>
    </row>
    <row r="14" spans="1:47" ht="15.75" customHeight="1" x14ac:dyDescent="0.15">
      <c r="A14" s="16" t="s">
        <v>62</v>
      </c>
      <c r="B14" s="16">
        <v>31</v>
      </c>
      <c r="C14" s="25">
        <v>20.762290118459998</v>
      </c>
      <c r="D14" s="27">
        <v>43</v>
      </c>
      <c r="E14" s="26">
        <f t="shared" si="8"/>
        <v>63.762290118460001</v>
      </c>
      <c r="F14" s="15">
        <f t="shared" si="9"/>
        <v>0.66975129414387091</v>
      </c>
      <c r="G14" s="15">
        <f t="shared" si="10"/>
        <v>1.3870967741935485</v>
      </c>
      <c r="H14" s="15">
        <f t="shared" si="11"/>
        <v>2.0568480683374193</v>
      </c>
      <c r="J14" s="16"/>
      <c r="K14" s="16"/>
      <c r="L14" s="16"/>
      <c r="M14" s="16"/>
      <c r="N14" s="16"/>
      <c r="O14" s="17">
        <v>11</v>
      </c>
      <c r="P14" s="18">
        <f>'Bingo Party'!D14</f>
        <v>0</v>
      </c>
      <c r="Q14" s="19">
        <f>'Bingo Party'!E14</f>
        <v>0</v>
      </c>
      <c r="R14" s="20">
        <f>'Cash Frenzy'!D14</f>
        <v>0</v>
      </c>
      <c r="S14" s="19">
        <f>'Cash Frenzy'!E14</f>
        <v>2.3952000000000004</v>
      </c>
      <c r="T14" s="20">
        <f>'Huuuge Casino'!D14</f>
        <v>2.0387714285714287</v>
      </c>
      <c r="U14" s="19">
        <f>'Huuuge Casino'!E14</f>
        <v>8.5542857142857152</v>
      </c>
      <c r="V14" s="20">
        <f>'Lotsa Slots'!D14</f>
        <v>0</v>
      </c>
      <c r="W14" s="19">
        <f>'Lotsa Slots'!E14</f>
        <v>0</v>
      </c>
      <c r="X14" s="20">
        <f>'Scatter Slots'!D14</f>
        <v>0</v>
      </c>
      <c r="Y14" s="19">
        <f>'Scatter Slots'!E14</f>
        <v>0</v>
      </c>
      <c r="Z14" s="20">
        <f>Gardenscapes!D14</f>
        <v>0.95699999999999996</v>
      </c>
      <c r="AA14" s="19">
        <f>Gardenscapes!E14</f>
        <v>1.5840000000000001</v>
      </c>
      <c r="AB14" s="20">
        <f>'Candy Crush Soda'!D14</f>
        <v>14.711505942902221</v>
      </c>
      <c r="AC14" s="19">
        <f>'Candy Crush Soda'!E14</f>
        <v>13.134</v>
      </c>
      <c r="AD14" s="20">
        <f>Fishdom!D14</f>
        <v>0</v>
      </c>
      <c r="AE14" s="19">
        <f>Fishdom!E14</f>
        <v>0</v>
      </c>
      <c r="AF14" s="20">
        <f>Homescapes!D14</f>
        <v>0.627</v>
      </c>
      <c r="AG14" s="19">
        <f>Homescapes!E14</f>
        <v>2.0907543293219844</v>
      </c>
      <c r="AH14" s="20">
        <f>'Matchington Mansion'!D14</f>
        <v>1.0251515151515151</v>
      </c>
      <c r="AI14" s="19">
        <f>'Matchington Mansion'!E14</f>
        <v>0</v>
      </c>
      <c r="AJ14" s="20">
        <f>'Hay Day'!D14</f>
        <v>0</v>
      </c>
      <c r="AK14" s="19">
        <f>'Hay Day'!E14</f>
        <v>0</v>
      </c>
      <c r="AL14" s="20">
        <f>Township!D14</f>
        <v>0.19900000000000001</v>
      </c>
      <c r="AM14" s="19">
        <f>Township!E14</f>
        <v>0</v>
      </c>
      <c r="AN14" s="20">
        <f>'AFK Arena'!D14</f>
        <v>99.8</v>
      </c>
      <c r="AO14" s="19">
        <f>'AFK Arena'!E14</f>
        <v>53.892000000000003</v>
      </c>
      <c r="AP14" s="20">
        <f>'Empires &amp; Puzzles'!D14</f>
        <v>0</v>
      </c>
      <c r="AQ14" s="19">
        <f>'Empires &amp; Puzzles'!E14</f>
        <v>0</v>
      </c>
      <c r="AR14" s="20">
        <f>'RAID Shadow Legends'!D14</f>
        <v>1.1405714285714286</v>
      </c>
      <c r="AS14" s="19">
        <f>'RAID Shadow Legends'!E14</f>
        <v>2.8514285714285714</v>
      </c>
      <c r="AT14" s="20">
        <f>'Rise of Kingdoms'!D14</f>
        <v>1.7425396825396824E-4</v>
      </c>
      <c r="AU14" s="19">
        <f>'Rise of Kingdoms'!E14</f>
        <v>0.45234746031746026</v>
      </c>
    </row>
    <row r="15" spans="1:47" ht="15.75" customHeight="1" x14ac:dyDescent="0.15">
      <c r="A15" s="16" t="s">
        <v>63</v>
      </c>
      <c r="B15" s="16">
        <v>21</v>
      </c>
      <c r="C15" s="25">
        <v>178.52250492087779</v>
      </c>
      <c r="D15" s="25">
        <v>233.50838948335371</v>
      </c>
      <c r="E15" s="26">
        <f t="shared" si="8"/>
        <v>412.0308944042315</v>
      </c>
      <c r="F15" s="15">
        <f t="shared" si="9"/>
        <v>8.5010716628989424</v>
      </c>
      <c r="G15" s="15">
        <f t="shared" si="10"/>
        <v>11.119447118254939</v>
      </c>
      <c r="H15" s="15">
        <f t="shared" si="11"/>
        <v>19.62051878115388</v>
      </c>
      <c r="J15" s="16"/>
      <c r="K15" s="16"/>
      <c r="L15" s="16"/>
      <c r="M15" s="16"/>
      <c r="N15" s="16"/>
      <c r="O15" s="17">
        <v>12</v>
      </c>
      <c r="P15" s="18">
        <f>'Bingo Party'!D15</f>
        <v>0.38384615384615384</v>
      </c>
      <c r="Q15" s="19">
        <f>'Bingo Party'!E15</f>
        <v>1.5353846153846153</v>
      </c>
      <c r="R15" s="20">
        <f>'Cash Frenzy'!D15</f>
        <v>0</v>
      </c>
      <c r="S15" s="19">
        <f>'Cash Frenzy'!E15</f>
        <v>0</v>
      </c>
      <c r="T15" s="20">
        <f>'Huuuge Casino'!D15</f>
        <v>0</v>
      </c>
      <c r="U15" s="19">
        <f>'Huuuge Casino'!E15</f>
        <v>9.2671428571428578</v>
      </c>
      <c r="V15" s="20">
        <f>'Lotsa Slots'!D15</f>
        <v>0</v>
      </c>
      <c r="W15" s="19">
        <f>'Lotsa Slots'!E15</f>
        <v>0</v>
      </c>
      <c r="X15" s="20">
        <f>'Scatter Slots'!D15</f>
        <v>0.29108333333333336</v>
      </c>
      <c r="Y15" s="19">
        <f>'Scatter Slots'!E15</f>
        <v>0</v>
      </c>
      <c r="Z15" s="20">
        <f>Gardenscapes!D15</f>
        <v>0.29699999999999999</v>
      </c>
      <c r="AA15" s="19">
        <f>Gardenscapes!E15</f>
        <v>0.495</v>
      </c>
      <c r="AB15" s="20">
        <f>'Candy Crush Soda'!D15</f>
        <v>3.2202605174555554</v>
      </c>
      <c r="AC15" s="19">
        <f>'Candy Crush Soda'!E15</f>
        <v>4.3116666666666665</v>
      </c>
      <c r="AD15" s="20">
        <f>Fishdom!D15</f>
        <v>0.42899999999999999</v>
      </c>
      <c r="AE15" s="19">
        <f>Fishdom!E15</f>
        <v>1.617</v>
      </c>
      <c r="AF15" s="20">
        <f>Homescapes!D15</f>
        <v>0.14849999999999999</v>
      </c>
      <c r="AG15" s="19">
        <f>Homescapes!E15</f>
        <v>3.2040783037999998</v>
      </c>
      <c r="AH15" s="20">
        <f>'Matchington Mansion'!D15</f>
        <v>0.42212121212121212</v>
      </c>
      <c r="AI15" s="19">
        <f>'Matchington Mansion'!E15</f>
        <v>0.54272727272727272</v>
      </c>
      <c r="AJ15" s="20">
        <f>'Hay Day'!D15</f>
        <v>0</v>
      </c>
      <c r="AK15" s="19">
        <f>'Hay Day'!E15</f>
        <v>0</v>
      </c>
      <c r="AL15" s="20">
        <f>Township!D15</f>
        <v>0</v>
      </c>
      <c r="AM15" s="19">
        <f>Township!E15</f>
        <v>0</v>
      </c>
      <c r="AN15" s="20">
        <f>'AFK Arena'!D15</f>
        <v>11.088888888888889</v>
      </c>
      <c r="AO15" s="19">
        <f>'AFK Arena'!E15</f>
        <v>180.30533333333335</v>
      </c>
      <c r="AP15" s="20">
        <f>'Empires &amp; Puzzles'!D15</f>
        <v>1.4969999999999999E-5</v>
      </c>
      <c r="AQ15" s="19">
        <f>'Empires &amp; Puzzles'!E15</f>
        <v>2.9939999999999998E-5</v>
      </c>
      <c r="AR15" s="20">
        <f>'RAID Shadow Legends'!D15</f>
        <v>2.8514285714285714</v>
      </c>
      <c r="AS15" s="19">
        <f>'RAID Shadow Legends'!E15</f>
        <v>1.4257142857142857</v>
      </c>
      <c r="AT15" s="20">
        <f>'Rise of Kingdoms'!D15</f>
        <v>0</v>
      </c>
      <c r="AU15" s="19">
        <f>'Rise of Kingdoms'!E15</f>
        <v>0</v>
      </c>
    </row>
    <row r="16" spans="1:47" ht="15.75" customHeight="1" x14ac:dyDescent="0.15">
      <c r="A16" s="16"/>
      <c r="B16" s="16"/>
      <c r="C16" s="16"/>
      <c r="D16" s="16"/>
      <c r="E16" s="16"/>
      <c r="F16" s="16"/>
      <c r="G16" s="16"/>
      <c r="H16" s="16"/>
      <c r="I16" s="16"/>
      <c r="J16" s="16"/>
      <c r="K16" s="16"/>
      <c r="L16" s="16"/>
      <c r="M16" s="16"/>
      <c r="N16" s="16"/>
      <c r="O16" s="17">
        <v>13</v>
      </c>
      <c r="P16" s="18">
        <f>'Bingo Party'!D16</f>
        <v>0.49900000000000005</v>
      </c>
      <c r="Q16" s="19">
        <f>'Bingo Party'!E16</f>
        <v>1.4970000000000001</v>
      </c>
      <c r="R16" s="20">
        <f>'Cash Frenzy'!D16</f>
        <v>0</v>
      </c>
      <c r="S16" s="19">
        <f>'Cash Frenzy'!E16</f>
        <v>0.66333333333333333</v>
      </c>
      <c r="T16" s="20">
        <f>'Huuuge Casino'!D16</f>
        <v>2.1385714285714288</v>
      </c>
      <c r="U16" s="19">
        <f>'Huuuge Casino'!E16</f>
        <v>9.98</v>
      </c>
      <c r="V16" s="20">
        <f>'Lotsa Slots'!D16</f>
        <v>0</v>
      </c>
      <c r="W16" s="19">
        <f>'Lotsa Slots'!E16</f>
        <v>0</v>
      </c>
      <c r="X16" s="20">
        <f>'Scatter Slots'!D16</f>
        <v>0</v>
      </c>
      <c r="Y16" s="19">
        <f>'Scatter Slots'!E16</f>
        <v>0.87325000000000008</v>
      </c>
      <c r="Z16" s="20">
        <f>Gardenscapes!D16</f>
        <v>9.9000000000000005E-2</v>
      </c>
      <c r="AA16" s="19">
        <f>Gardenscapes!E16</f>
        <v>0.85799999999999998</v>
      </c>
      <c r="AB16" s="20">
        <f>'Candy Crush Soda'!D16</f>
        <v>3.2202605174555554</v>
      </c>
      <c r="AC16" s="19">
        <f>'Candy Crush Soda'!E16</f>
        <v>6.3016666666666667</v>
      </c>
      <c r="AD16" s="20">
        <f>Fishdom!D16</f>
        <v>0.627</v>
      </c>
      <c r="AE16" s="19">
        <f>Fishdom!E16</f>
        <v>0</v>
      </c>
      <c r="AF16" s="20">
        <f>Homescapes!D16</f>
        <v>0.29699999999999999</v>
      </c>
      <c r="AG16" s="19">
        <f>Homescapes!E16</f>
        <v>0</v>
      </c>
      <c r="AH16" s="20">
        <f>'Matchington Mansion'!D16</f>
        <v>0</v>
      </c>
      <c r="AI16" s="19">
        <f>'Matchington Mansion'!E16</f>
        <v>0.60303030303030303</v>
      </c>
      <c r="AJ16" s="20">
        <f>'Hay Day'!D16</f>
        <v>0.95520000000000005</v>
      </c>
      <c r="AK16" s="19">
        <f>'Hay Day'!E16</f>
        <v>1.5920000000000001</v>
      </c>
      <c r="AL16" s="20">
        <f>Township!D16</f>
        <v>0</v>
      </c>
      <c r="AM16" s="19">
        <f>Township!E16</f>
        <v>0</v>
      </c>
      <c r="AN16" s="20"/>
      <c r="AO16" s="19"/>
      <c r="AP16" s="20">
        <f>'Empires &amp; Puzzles'!D16</f>
        <v>0</v>
      </c>
      <c r="AQ16" s="19">
        <f>'Empires &amp; Puzzles'!E16</f>
        <v>0</v>
      </c>
      <c r="AR16" s="20">
        <f>'RAID Shadow Legends'!D16</f>
        <v>0.28514285714285714</v>
      </c>
      <c r="AS16" s="19">
        <f>'RAID Shadow Legends'!E16</f>
        <v>2.2811428571428571</v>
      </c>
      <c r="AT16" s="20">
        <f>'Rise of Kingdoms'!D16</f>
        <v>0</v>
      </c>
      <c r="AU16" s="19">
        <f>'Rise of Kingdoms'!E16</f>
        <v>2.1385714285714288</v>
      </c>
    </row>
    <row r="17" spans="1:47" ht="15.75" customHeight="1" x14ac:dyDescent="0.15">
      <c r="A17" s="7" t="s">
        <v>52</v>
      </c>
      <c r="B17" s="7" t="s">
        <v>53</v>
      </c>
      <c r="C17" s="7" t="s">
        <v>64</v>
      </c>
      <c r="D17" s="16"/>
      <c r="E17" s="7" t="s">
        <v>52</v>
      </c>
      <c r="F17" s="7" t="s">
        <v>54</v>
      </c>
      <c r="G17" s="7" t="s">
        <v>65</v>
      </c>
      <c r="H17" s="7" t="s">
        <v>55</v>
      </c>
      <c r="I17" s="7" t="s">
        <v>65</v>
      </c>
      <c r="J17" s="16"/>
      <c r="K17" s="16"/>
      <c r="L17" s="16"/>
      <c r="M17" s="16"/>
      <c r="N17" s="16"/>
      <c r="O17" s="17">
        <v>14</v>
      </c>
      <c r="P17" s="18">
        <f>'Bingo Party'!D17</f>
        <v>0.38384615384615384</v>
      </c>
      <c r="Q17" s="19">
        <f>'Bingo Party'!E17</f>
        <v>0</v>
      </c>
      <c r="R17" s="20">
        <f>'Cash Frenzy'!D17</f>
        <v>0</v>
      </c>
      <c r="S17" s="19">
        <f>'Cash Frenzy'!E17</f>
        <v>0</v>
      </c>
      <c r="T17" s="20">
        <f>'Huuuge Casino'!D17</f>
        <v>0</v>
      </c>
      <c r="U17" s="19">
        <f>'Huuuge Casino'!E17</f>
        <v>11.405714285714286</v>
      </c>
      <c r="V17" s="20">
        <f>'Lotsa Slots'!D17</f>
        <v>0</v>
      </c>
      <c r="W17" s="19">
        <f>'Lotsa Slots'!E17</f>
        <v>0</v>
      </c>
      <c r="X17" s="20">
        <f>'Scatter Slots'!D17</f>
        <v>0</v>
      </c>
      <c r="Y17" s="19">
        <f>'Scatter Slots'!E17</f>
        <v>0</v>
      </c>
      <c r="Z17" s="20">
        <f>Gardenscapes!D17</f>
        <v>0.42899999999999999</v>
      </c>
      <c r="AA17" s="19">
        <f>Gardenscapes!E17</f>
        <v>0</v>
      </c>
      <c r="AB17" s="20">
        <f>'Candy Crush Soda'!D17</f>
        <v>3.2202605174555554</v>
      </c>
      <c r="AC17" s="19">
        <f>'Candy Crush Soda'!E17</f>
        <v>5.5720000000000001</v>
      </c>
      <c r="AD17" s="20">
        <f>Fishdom!D17</f>
        <v>3.6425311243200005</v>
      </c>
      <c r="AE17" s="19">
        <f>Fishdom!E17</f>
        <v>1.0961320512999999</v>
      </c>
      <c r="AF17" s="20">
        <f>Homescapes!D17</f>
        <v>0.9106327810799999</v>
      </c>
      <c r="AG17" s="19">
        <f>Homescapes!E17</f>
        <v>0.74250000000000005</v>
      </c>
      <c r="AH17" s="20">
        <f>'Matchington Mansion'!D17</f>
        <v>1.078556154171717</v>
      </c>
      <c r="AI17" s="19">
        <f>'Matchington Mansion'!E17</f>
        <v>0.84424242424242424</v>
      </c>
      <c r="AJ17" s="20">
        <f>'Hay Day'!D17</f>
        <v>0</v>
      </c>
      <c r="AK17" s="19">
        <f>'Hay Day'!E17</f>
        <v>0</v>
      </c>
      <c r="AL17" s="20">
        <f>Township!D17</f>
        <v>0</v>
      </c>
      <c r="AM17" s="19">
        <f>Township!E17</f>
        <v>3.9800000000000002E-2</v>
      </c>
      <c r="AN17" s="20"/>
      <c r="AO17" s="19"/>
      <c r="AP17" s="20">
        <f>'Empires &amp; Puzzles'!D17</f>
        <v>1.8712500000000001</v>
      </c>
      <c r="AQ17" s="19">
        <f>'Empires &amp; Puzzles'!E17</f>
        <v>3.7425000000000002</v>
      </c>
      <c r="AR17" s="20">
        <f>'RAID Shadow Legends'!D17</f>
        <v>22.49</v>
      </c>
      <c r="AS17" s="19">
        <f>'RAID Shadow Legends'!E17</f>
        <v>0</v>
      </c>
      <c r="AT17" s="20">
        <f>'Rise of Kingdoms'!D17</f>
        <v>2.3761904761904762</v>
      </c>
      <c r="AU17" s="19">
        <f>'Rise of Kingdoms'!E17</f>
        <v>0.21385714285714286</v>
      </c>
    </row>
    <row r="18" spans="1:47" ht="15.75" customHeight="1" x14ac:dyDescent="0.15">
      <c r="A18" s="16" t="s">
        <v>59</v>
      </c>
      <c r="B18" s="16">
        <v>37</v>
      </c>
      <c r="C18" s="16"/>
      <c r="D18" s="16"/>
      <c r="E18" s="16" t="s">
        <v>63</v>
      </c>
      <c r="F18" s="25">
        <v>178.52250492087779</v>
      </c>
      <c r="G18" s="16"/>
      <c r="H18" s="25">
        <v>233.50838948335371</v>
      </c>
      <c r="I18" s="16"/>
      <c r="J18" s="16"/>
      <c r="K18" s="16"/>
      <c r="L18" s="16"/>
      <c r="M18" s="16"/>
      <c r="N18" s="16"/>
      <c r="O18" s="17">
        <v>15</v>
      </c>
      <c r="P18" s="18">
        <f>'Bingo Party'!D18</f>
        <v>0.49900000000000005</v>
      </c>
      <c r="Q18" s="19">
        <f>'Bingo Party'!E18</f>
        <v>1.4970000000000001</v>
      </c>
      <c r="R18" s="20">
        <f>'Cash Frenzy'!D18</f>
        <v>0</v>
      </c>
      <c r="S18" s="19">
        <f>'Cash Frenzy'!E18</f>
        <v>0</v>
      </c>
      <c r="T18" s="20">
        <f>'Huuuge Casino'!D18</f>
        <v>0.78039215686274499</v>
      </c>
      <c r="U18" s="19">
        <f>'Huuuge Casino'!E18</f>
        <v>3.2078571428571427</v>
      </c>
      <c r="V18" s="20">
        <f>'Lotsa Slots'!D18</f>
        <v>0.99</v>
      </c>
      <c r="W18" s="19">
        <f>'Lotsa Slots'!E18</f>
        <v>0</v>
      </c>
      <c r="X18" s="20">
        <f>'Scatter Slots'!D18</f>
        <v>0</v>
      </c>
      <c r="Y18" s="19">
        <f>'Scatter Slots'!E18</f>
        <v>0</v>
      </c>
      <c r="Z18" s="20">
        <f>Gardenscapes!D18</f>
        <v>0.627</v>
      </c>
      <c r="AA18" s="19">
        <f>Gardenscapes!E18</f>
        <v>1.254</v>
      </c>
      <c r="AB18" s="20">
        <f>'Candy Crush Soda'!D18</f>
        <v>3.2202605174555554</v>
      </c>
      <c r="AC18" s="19">
        <f>'Candy Crush Soda'!E18</f>
        <v>5.3066666666666666</v>
      </c>
      <c r="AD18" s="20">
        <f>Fishdom!D18</f>
        <v>0.29700000000000004</v>
      </c>
      <c r="AE18" s="19">
        <f>Fishdom!E18</f>
        <v>1.254</v>
      </c>
      <c r="AF18" s="20">
        <f>Homescapes!D18</f>
        <v>0.627</v>
      </c>
      <c r="AG18" s="19">
        <f>Homescapes!E18</f>
        <v>0.89100000000000001</v>
      </c>
      <c r="AH18" s="20">
        <f>'Matchington Mansion'!D18</f>
        <v>1.078556154171717</v>
      </c>
      <c r="AI18" s="19">
        <f>'Matchington Mansion'!E18</f>
        <v>2.8966936712040399</v>
      </c>
      <c r="AJ18" s="20">
        <f>'Hay Day'!D18</f>
        <v>0.63680000000000003</v>
      </c>
      <c r="AK18" s="19">
        <f>'Hay Day'!E18</f>
        <v>0</v>
      </c>
      <c r="AL18" s="20">
        <f>Township!D18</f>
        <v>29.7</v>
      </c>
      <c r="AM18" s="19">
        <f>Township!E18</f>
        <v>0</v>
      </c>
      <c r="AN18" s="20"/>
      <c r="AO18" s="19"/>
      <c r="AP18" s="20">
        <f>'Empires &amp; Puzzles'!D18</f>
        <v>0</v>
      </c>
      <c r="AQ18" s="19">
        <f>'Empires &amp; Puzzles'!E18</f>
        <v>4.36625</v>
      </c>
      <c r="AR18" s="20">
        <f>'RAID Shadow Legends'!D18</f>
        <v>1.3306666666666667</v>
      </c>
      <c r="AS18" s="19">
        <f>'RAID Shadow Legends'!E18</f>
        <v>7.2426285714285719</v>
      </c>
      <c r="AT18" s="20">
        <f>'Rise of Kingdoms'!D18</f>
        <v>0.21385714285714286</v>
      </c>
      <c r="AU18" s="19">
        <f>'Rise of Kingdoms'!E18</f>
        <v>11.405714285714286</v>
      </c>
    </row>
    <row r="19" spans="1:47" ht="15.75" customHeight="1" x14ac:dyDescent="0.15">
      <c r="A19" s="16" t="s">
        <v>60</v>
      </c>
      <c r="B19" s="16">
        <v>36</v>
      </c>
      <c r="C19" s="21">
        <f t="shared" ref="C19:C22" si="12">$B$18/B19-1</f>
        <v>2.7777777777777679E-2</v>
      </c>
      <c r="D19" s="16"/>
      <c r="E19" s="16" t="s">
        <v>60</v>
      </c>
      <c r="F19" s="25">
        <v>39.660983432400002</v>
      </c>
      <c r="G19" s="21">
        <f t="shared" ref="G19:G22" si="13">F19/$F$18-1</f>
        <v>-0.77783762641030618</v>
      </c>
      <c r="H19" s="25">
        <v>44.522776528999998</v>
      </c>
      <c r="I19" s="21">
        <f t="shared" ref="I19:I22" si="14">H19/$H$18-1</f>
        <v>-0.80933114811202989</v>
      </c>
      <c r="J19" s="16"/>
      <c r="K19" s="16"/>
      <c r="L19" s="16"/>
      <c r="M19" s="16"/>
      <c r="N19" s="16"/>
      <c r="O19" s="17">
        <v>16</v>
      </c>
      <c r="P19" s="18">
        <f>'Bingo Party'!D19</f>
        <v>0.38384615384615384</v>
      </c>
      <c r="Q19" s="19">
        <f>'Bingo Party'!E19</f>
        <v>0</v>
      </c>
      <c r="R19" s="20">
        <f>'Cash Frenzy'!D19</f>
        <v>2.99</v>
      </c>
      <c r="S19" s="19">
        <f>'Cash Frenzy'!E19</f>
        <v>0.99</v>
      </c>
      <c r="T19" s="20">
        <f>'Huuuge Casino'!D19</f>
        <v>2.3524285714285713</v>
      </c>
      <c r="U19" s="19">
        <f>'Huuuge Casino'!E19</f>
        <v>12.831428571428571</v>
      </c>
      <c r="V19" s="20">
        <f>'Lotsa Slots'!D19</f>
        <v>0</v>
      </c>
      <c r="W19" s="19">
        <f>'Lotsa Slots'!E19</f>
        <v>1.99</v>
      </c>
      <c r="X19" s="20">
        <f>'Scatter Slots'!D19</f>
        <v>0</v>
      </c>
      <c r="Y19" s="19">
        <f>'Scatter Slots'!E19</f>
        <v>0.41583333333333333</v>
      </c>
      <c r="Z19" s="20">
        <f>Gardenscapes!D19</f>
        <v>9.9000000000000005E-2</v>
      </c>
      <c r="AA19" s="19">
        <f>Gardenscapes!E19</f>
        <v>3.2402655621599998</v>
      </c>
      <c r="AB19" s="20">
        <f>'Candy Crush Soda'!D19</f>
        <v>4.1354924539955551</v>
      </c>
      <c r="AC19" s="19">
        <f>'Candy Crush Soda'!E19</f>
        <v>4.3116666666666665</v>
      </c>
      <c r="AD19" s="20">
        <f>Fishdom!D19</f>
        <v>0.627</v>
      </c>
      <c r="AE19" s="19">
        <f>Fishdom!E19</f>
        <v>1.782</v>
      </c>
      <c r="AF19" s="20">
        <f>Homescapes!D19</f>
        <v>0</v>
      </c>
      <c r="AG19" s="19">
        <f>Homescapes!E19</f>
        <v>0</v>
      </c>
      <c r="AH19" s="20">
        <f>'Matchington Mansion'!D19</f>
        <v>0.73958136286060605</v>
      </c>
      <c r="AI19" s="19">
        <f>'Matchington Mansion'!E19</f>
        <v>1.8090909090909091</v>
      </c>
      <c r="AJ19" s="20">
        <f>'Hay Day'!D19</f>
        <v>0</v>
      </c>
      <c r="AK19" s="19">
        <f>'Hay Day'!E19</f>
        <v>0.59699999999999998</v>
      </c>
      <c r="AL19" s="20">
        <f>Township!D19</f>
        <v>0.11940000000000001</v>
      </c>
      <c r="AM19" s="19">
        <f>Township!E19</f>
        <v>7.9600000000000009</v>
      </c>
      <c r="AN19" s="20"/>
      <c r="AO19" s="19"/>
      <c r="AP19" s="20">
        <f>'Empires &amp; Puzzles'!D19</f>
        <v>1.4969999999999999E-5</v>
      </c>
      <c r="AQ19" s="19">
        <f>'Empires &amp; Puzzles'!E19</f>
        <v>2.9939999999999998E-5</v>
      </c>
      <c r="AR19" s="20">
        <f>'RAID Shadow Legends'!D19</f>
        <v>1.1405714285714286</v>
      </c>
      <c r="AS19" s="19">
        <f>'RAID Shadow Legends'!E19</f>
        <v>22.49</v>
      </c>
      <c r="AT19" s="20">
        <f>'Rise of Kingdoms'!D19</f>
        <v>2.1781746031746034E-2</v>
      </c>
      <c r="AU19" s="19">
        <f>'Rise of Kingdoms'!E19</f>
        <v>2.7880634920634921E-4</v>
      </c>
    </row>
    <row r="20" spans="1:47" ht="15.75" customHeight="1" x14ac:dyDescent="0.15">
      <c r="A20" s="16" t="s">
        <v>61</v>
      </c>
      <c r="B20" s="16">
        <v>36</v>
      </c>
      <c r="C20" s="21">
        <f t="shared" si="12"/>
        <v>2.7777777777777679E-2</v>
      </c>
      <c r="D20" s="16"/>
      <c r="E20" s="16" t="s">
        <v>61</v>
      </c>
      <c r="F20" s="25">
        <v>23.486779453621555</v>
      </c>
      <c r="G20" s="21">
        <f t="shared" si="13"/>
        <v>-0.8684379906946128</v>
      </c>
      <c r="H20" s="25">
        <v>53.001937486001999</v>
      </c>
      <c r="I20" s="21">
        <f t="shared" si="14"/>
        <v>-0.77301912961983588</v>
      </c>
      <c r="J20" s="16"/>
      <c r="K20" s="16"/>
      <c r="L20" s="16"/>
      <c r="M20" s="16"/>
      <c r="N20" s="16"/>
      <c r="O20" s="17">
        <v>17</v>
      </c>
      <c r="P20" s="18">
        <f>'Bingo Party'!D20</f>
        <v>0.38384615384615384</v>
      </c>
      <c r="Q20" s="19">
        <f>'Bingo Party'!E20</f>
        <v>1.5353846153846153</v>
      </c>
      <c r="R20" s="20">
        <f>'Cash Frenzy'!D20</f>
        <v>0</v>
      </c>
      <c r="S20" s="19">
        <f>'Cash Frenzy'!E20</f>
        <v>0</v>
      </c>
      <c r="T20" s="20">
        <f>'Huuuge Casino'!D20</f>
        <v>0</v>
      </c>
      <c r="U20" s="19">
        <f>'Huuuge Casino'!E20</f>
        <v>14.257142857142858</v>
      </c>
      <c r="V20" s="20">
        <f>'Lotsa Slots'!D20</f>
        <v>0</v>
      </c>
      <c r="W20" s="19">
        <f>'Lotsa Slots'!E20</f>
        <v>0.16500000000000001</v>
      </c>
      <c r="X20" s="20">
        <f>'Scatter Slots'!D20</f>
        <v>0</v>
      </c>
      <c r="Y20" s="19">
        <f>'Scatter Slots'!E20</f>
        <v>0.2495</v>
      </c>
      <c r="Z20" s="20">
        <f>Gardenscapes!D20</f>
        <v>0.9106327810799999</v>
      </c>
      <c r="AA20" s="19">
        <f>Gardenscapes!E20</f>
        <v>0.59399999999999997</v>
      </c>
      <c r="AB20" s="20">
        <f>'Candy Crush Soda'!D20</f>
        <v>3.2202605174555554</v>
      </c>
      <c r="AC20" s="19">
        <f>'Candy Crush Soda'!E20</f>
        <v>15.124000000000001</v>
      </c>
      <c r="AD20" s="20">
        <f>Fishdom!D20</f>
        <v>0.42899999999999999</v>
      </c>
      <c r="AE20" s="19">
        <f>Fishdom!E20</f>
        <v>0</v>
      </c>
      <c r="AF20" s="20">
        <f>Homescapes!D20</f>
        <v>0.14849999999999999</v>
      </c>
      <c r="AG20" s="19">
        <f>Homescapes!E20</f>
        <v>6.4081566075999996</v>
      </c>
      <c r="AH20" s="20">
        <f>'Matchington Mansion'!D20</f>
        <v>0.18090909090909091</v>
      </c>
      <c r="AI20" s="19">
        <f>'Matchington Mansion'!E20</f>
        <v>0.54272727272727272</v>
      </c>
      <c r="AJ20" s="20">
        <f>'Hay Day'!D20</f>
        <v>0</v>
      </c>
      <c r="AK20" s="19">
        <f>'Hay Day'!E20</f>
        <v>0</v>
      </c>
      <c r="AL20" s="20">
        <f>Township!D20</f>
        <v>2.3879999999999999</v>
      </c>
      <c r="AM20" s="19">
        <f>Township!E20</f>
        <v>0</v>
      </c>
      <c r="AN20" s="20"/>
      <c r="AO20" s="19"/>
      <c r="AP20" s="20">
        <f>'Empires &amp; Puzzles'!D20</f>
        <v>0</v>
      </c>
      <c r="AQ20" s="19">
        <f>'Empires &amp; Puzzles'!E20</f>
        <v>1.2475000000000001</v>
      </c>
      <c r="AR20" s="20">
        <f>'RAID Shadow Legends'!D20</f>
        <v>0.85542857142857143</v>
      </c>
      <c r="AS20" s="19">
        <f>'RAID Shadow Legends'!E20</f>
        <v>0.47523809523809524</v>
      </c>
      <c r="AT20" s="20">
        <f>'Rise of Kingdoms'!D20</f>
        <v>2.1781746031746034E-2</v>
      </c>
      <c r="AU20" s="19">
        <f>'Rise of Kingdoms'!E20</f>
        <v>2.2617373015873015</v>
      </c>
    </row>
    <row r="21" spans="1:47" ht="15.75" customHeight="1" x14ac:dyDescent="0.15">
      <c r="A21" s="16" t="s">
        <v>62</v>
      </c>
      <c r="B21" s="16">
        <v>31</v>
      </c>
      <c r="C21" s="21">
        <f t="shared" si="12"/>
        <v>0.19354838709677424</v>
      </c>
      <c r="D21" s="16"/>
      <c r="E21" s="16" t="s">
        <v>59</v>
      </c>
      <c r="F21" s="25">
        <v>20.887327810800006</v>
      </c>
      <c r="G21" s="21">
        <f t="shared" si="13"/>
        <v>-0.88299890918482582</v>
      </c>
      <c r="H21" s="25">
        <v>59.272545055935304</v>
      </c>
      <c r="I21" s="21">
        <f t="shared" si="14"/>
        <v>-0.74616524405363727</v>
      </c>
      <c r="J21" s="16"/>
      <c r="K21" s="16"/>
      <c r="L21" s="16"/>
      <c r="M21" s="16"/>
      <c r="N21" s="16"/>
      <c r="O21" s="17">
        <v>18</v>
      </c>
      <c r="P21" s="18">
        <f>'Bingo Party'!D21</f>
        <v>0.49900000000000005</v>
      </c>
      <c r="Q21" s="19">
        <f>'Bingo Party'!E21</f>
        <v>1.4970000000000001</v>
      </c>
      <c r="R21" s="20">
        <f>'Cash Frenzy'!D21</f>
        <v>0</v>
      </c>
      <c r="S21" s="19">
        <f>'Cash Frenzy'!E21</f>
        <v>0</v>
      </c>
      <c r="T21" s="20">
        <f>'Huuuge Casino'!D21</f>
        <v>2.6803428571428571</v>
      </c>
      <c r="U21" s="19">
        <f>'Huuuge Casino'!E21</f>
        <v>21.385714285714286</v>
      </c>
      <c r="V21" s="20">
        <f>'Lotsa Slots'!D21</f>
        <v>0</v>
      </c>
      <c r="W21" s="19">
        <f>'Lotsa Slots'!E21</f>
        <v>0</v>
      </c>
      <c r="X21" s="20">
        <f>'Scatter Slots'!D21</f>
        <v>0.41583333333333333</v>
      </c>
      <c r="Y21" s="19">
        <f>'Scatter Slots'!E21</f>
        <v>0</v>
      </c>
      <c r="Z21" s="20">
        <f>Gardenscapes!D21</f>
        <v>0.29699999999999999</v>
      </c>
      <c r="AA21" s="19">
        <f>Gardenscapes!E21</f>
        <v>0.85799999999999998</v>
      </c>
      <c r="AB21" s="20">
        <f>'Candy Crush Soda'!D21</f>
        <v>3.2202605174555554</v>
      </c>
      <c r="AC21" s="19">
        <f>'Candy Crush Soda'!E21</f>
        <v>4.3116666666666665</v>
      </c>
      <c r="AD21" s="20">
        <f>Fishdom!D21</f>
        <v>0.627</v>
      </c>
      <c r="AE21" s="19">
        <f>Fishdom!E21</f>
        <v>1.254</v>
      </c>
      <c r="AF21" s="20">
        <f>Homescapes!D21</f>
        <v>0.95699999999999996</v>
      </c>
      <c r="AG21" s="19">
        <f>Homescapes!E21</f>
        <v>0.627</v>
      </c>
      <c r="AH21" s="20">
        <f>'Matchington Mansion'!D21</f>
        <v>1.0251515151515151</v>
      </c>
      <c r="AI21" s="19">
        <f>'Matchington Mansion'!E21</f>
        <v>0</v>
      </c>
      <c r="AJ21" s="20">
        <f>'Hay Day'!D21</f>
        <v>0</v>
      </c>
      <c r="AK21" s="19">
        <f>'Hay Day'!E21</f>
        <v>0</v>
      </c>
      <c r="AL21" s="20">
        <f>Township!D21</f>
        <v>0</v>
      </c>
      <c r="AM21" s="19">
        <f>Township!E21</f>
        <v>0</v>
      </c>
      <c r="AN21" s="20"/>
      <c r="AO21" s="19"/>
      <c r="AP21" s="20">
        <f>'Empires &amp; Puzzles'!D21</f>
        <v>0</v>
      </c>
      <c r="AQ21" s="19">
        <f>'Empires &amp; Puzzles'!E21</f>
        <v>0</v>
      </c>
      <c r="AR21" s="20">
        <f>'RAID Shadow Legends'!D21</f>
        <v>0.35642857142857143</v>
      </c>
      <c r="AS21" s="19">
        <f>'RAID Shadow Legends'!E21</f>
        <v>2.2811428571428571</v>
      </c>
      <c r="AT21" s="20">
        <f>'Rise of Kingdoms'!D21</f>
        <v>0</v>
      </c>
      <c r="AU21" s="19">
        <f>'Rise of Kingdoms'!E21</f>
        <v>0</v>
      </c>
    </row>
    <row r="22" spans="1:47" ht="15.75" customHeight="1" x14ac:dyDescent="0.15">
      <c r="A22" s="16" t="s">
        <v>63</v>
      </c>
      <c r="B22" s="16">
        <v>21</v>
      </c>
      <c r="C22" s="21">
        <f t="shared" si="12"/>
        <v>0.76190476190476186</v>
      </c>
      <c r="D22" s="16"/>
      <c r="E22" s="16" t="s">
        <v>62</v>
      </c>
      <c r="F22" s="25">
        <v>20.762290118459998</v>
      </c>
      <c r="G22" s="21">
        <f t="shared" si="13"/>
        <v>-0.8836993121530422</v>
      </c>
      <c r="H22" s="27">
        <v>43</v>
      </c>
      <c r="I22" s="21">
        <f t="shared" si="14"/>
        <v>-0.81585244069757346</v>
      </c>
      <c r="J22" s="16"/>
      <c r="K22" s="16"/>
      <c r="L22" s="16"/>
      <c r="M22" s="16"/>
      <c r="N22" s="16"/>
      <c r="O22" s="17">
        <v>19</v>
      </c>
      <c r="P22" s="18">
        <f>'Bingo Party'!D22</f>
        <v>0.38384615384615384</v>
      </c>
      <c r="Q22" s="19">
        <f>'Bingo Party'!E22</f>
        <v>1.5353846153846153</v>
      </c>
      <c r="R22" s="20">
        <f>'Cash Frenzy'!D22</f>
        <v>0</v>
      </c>
      <c r="S22" s="19">
        <f>'Cash Frenzy'!E22</f>
        <v>0</v>
      </c>
      <c r="T22" s="20">
        <f>'Huuuge Casino'!D22</f>
        <v>0</v>
      </c>
      <c r="U22" s="19">
        <f>'Huuuge Casino'!E22</f>
        <v>28.514285714285716</v>
      </c>
      <c r="V22" s="20">
        <f>'Lotsa Slots'!D22</f>
        <v>0</v>
      </c>
      <c r="W22" s="19">
        <f>'Lotsa Slots'!E22</f>
        <v>0</v>
      </c>
      <c r="X22" s="20">
        <f>'Scatter Slots'!D22</f>
        <v>0</v>
      </c>
      <c r="Y22" s="19">
        <f>'Scatter Slots'!E22</f>
        <v>2.0791666666666666</v>
      </c>
      <c r="Z22" s="20">
        <f>Gardenscapes!D22</f>
        <v>0.42899999999999999</v>
      </c>
      <c r="AA22" s="19">
        <f>Gardenscapes!E22</f>
        <v>1.254</v>
      </c>
      <c r="AB22" s="20">
        <f>'Candy Crush Soda'!D22</f>
        <v>3.2202605174555554</v>
      </c>
      <c r="AC22" s="19">
        <f>'Candy Crush Soda'!E22</f>
        <v>4.3116666666666665</v>
      </c>
      <c r="AD22" s="20">
        <f>Fishdom!D22</f>
        <v>3.6425311243200005</v>
      </c>
      <c r="AE22" s="19">
        <f>Fishdom!E22</f>
        <v>0</v>
      </c>
      <c r="AF22" s="20">
        <f>Homescapes!D22</f>
        <v>0.627</v>
      </c>
      <c r="AG22" s="19">
        <f>Homescapes!E22</f>
        <v>0.74250000000000005</v>
      </c>
      <c r="AH22" s="20">
        <f>'Matchington Mansion'!D22</f>
        <v>0.60303030303030303</v>
      </c>
      <c r="AI22" s="19">
        <f>'Matchington Mansion'!E22</f>
        <v>0.84424242424242424</v>
      </c>
      <c r="AJ22" s="20">
        <f>'Hay Day'!D22</f>
        <v>0.95520000000000005</v>
      </c>
      <c r="AK22" s="19">
        <f>'Hay Day'!E22</f>
        <v>0</v>
      </c>
      <c r="AL22" s="20">
        <f>Township!D22</f>
        <v>0.95520000000000005</v>
      </c>
      <c r="AM22" s="19">
        <f>Township!E22</f>
        <v>4.3780000000000001</v>
      </c>
      <c r="AN22" s="20"/>
      <c r="AO22" s="19"/>
      <c r="AP22" s="20">
        <f>'Empires &amp; Puzzles'!D22</f>
        <v>0</v>
      </c>
      <c r="AQ22" s="19">
        <f>'Empires &amp; Puzzles'!E22</f>
        <v>0.43662499999999999</v>
      </c>
      <c r="AR22" s="20">
        <f>'RAID Shadow Legends'!D22</f>
        <v>1.1405714285714286</v>
      </c>
      <c r="AS22" s="19">
        <f>'RAID Shadow Legends'!E22</f>
        <v>1.3306666666666667</v>
      </c>
      <c r="AT22" s="20">
        <f>'Rise of Kingdoms'!D22</f>
        <v>0.59404761904761905</v>
      </c>
      <c r="AU22" s="19">
        <f>'Rise of Kingdoms'!E22</f>
        <v>1.0455238095238097E-2</v>
      </c>
    </row>
    <row r="23" spans="1:47" ht="15.75" customHeight="1" x14ac:dyDescent="0.15">
      <c r="A23" s="16"/>
      <c r="B23" s="16"/>
      <c r="C23" s="16"/>
      <c r="D23" s="16"/>
      <c r="E23" s="28"/>
      <c r="F23" s="28"/>
      <c r="G23" s="29"/>
      <c r="H23" s="28"/>
      <c r="I23" s="29"/>
      <c r="J23" s="16"/>
      <c r="K23" s="16"/>
      <c r="L23" s="16"/>
      <c r="M23" s="16"/>
      <c r="N23" s="16"/>
      <c r="O23" s="17">
        <v>20</v>
      </c>
      <c r="P23" s="18">
        <f>'Bingo Party'!D23</f>
        <v>0.49900000000000005</v>
      </c>
      <c r="Q23" s="19">
        <f>'Bingo Party'!E23</f>
        <v>1.9960000000000002</v>
      </c>
      <c r="R23" s="20">
        <f>'Cash Frenzy'!D23</f>
        <v>0</v>
      </c>
      <c r="S23" s="19">
        <f>'Cash Frenzy'!E23</f>
        <v>2.99</v>
      </c>
      <c r="T23" s="20">
        <f>'Huuuge Casino'!D23</f>
        <v>3.2078571428571427</v>
      </c>
      <c r="U23" s="19">
        <f>'Huuuge Casino'!E23</f>
        <v>42.771428571428572</v>
      </c>
      <c r="V23" s="20">
        <f>'Lotsa Slots'!D23</f>
        <v>0</v>
      </c>
      <c r="W23" s="19">
        <f>'Lotsa Slots'!E23</f>
        <v>0</v>
      </c>
      <c r="X23" s="20">
        <f>'Scatter Slots'!D23</f>
        <v>0</v>
      </c>
      <c r="Y23" s="19">
        <f>'Scatter Slots'!E23</f>
        <v>0</v>
      </c>
      <c r="Z23" s="20">
        <f>Gardenscapes!D23</f>
        <v>0.627</v>
      </c>
      <c r="AA23" s="19">
        <f>Gardenscapes!E23</f>
        <v>0.51974999999999993</v>
      </c>
      <c r="AB23" s="20">
        <f>'Candy Crush Soda'!D23</f>
        <v>3.2202605174555554</v>
      </c>
      <c r="AC23" s="19">
        <f>'Candy Crush Soda'!E23</f>
        <v>16.715999999999998</v>
      </c>
      <c r="AD23" s="20">
        <f>Fishdom!D23</f>
        <v>0.29700000000000004</v>
      </c>
      <c r="AE23" s="19">
        <f>Fishdom!E23</f>
        <v>1.5177213018000002</v>
      </c>
      <c r="AF23" s="20">
        <f>Homescapes!D23</f>
        <v>0.9106327810799999</v>
      </c>
      <c r="AG23" s="19">
        <f>Homescapes!E23</f>
        <v>0.89100000000000001</v>
      </c>
      <c r="AH23" s="20">
        <f>'Matchington Mansion'!D23</f>
        <v>0</v>
      </c>
      <c r="AI23" s="19">
        <f>'Matchington Mansion'!E23</f>
        <v>2.5792335204646459</v>
      </c>
      <c r="AJ23" s="20">
        <f>'Hay Day'!D23</f>
        <v>0</v>
      </c>
      <c r="AK23" s="19">
        <f>'Hay Day'!E23</f>
        <v>1.5920000000000001</v>
      </c>
      <c r="AL23" s="20">
        <f>Township!D23</f>
        <v>0</v>
      </c>
      <c r="AM23" s="19">
        <f>Township!E23</f>
        <v>0</v>
      </c>
      <c r="AN23" s="20"/>
      <c r="AO23" s="19"/>
      <c r="AP23" s="20">
        <f>'Empires &amp; Puzzles'!D23</f>
        <v>1.2475000000000001</v>
      </c>
      <c r="AQ23" s="19">
        <f>'Empires &amp; Puzzles'!E23</f>
        <v>3.7425000000000002</v>
      </c>
      <c r="AR23" s="20">
        <f>'RAID Shadow Legends'!D23</f>
        <v>3.6213142857142859</v>
      </c>
      <c r="AS23" s="19">
        <f>'RAID Shadow Legends'!E23</f>
        <v>5.9613866666666677</v>
      </c>
      <c r="AT23" s="20">
        <f>'Rise of Kingdoms'!D23</f>
        <v>1.0455238095238097E-2</v>
      </c>
      <c r="AU23" s="19">
        <f>'Rise of Kingdoms'!E23</f>
        <v>0</v>
      </c>
    </row>
    <row r="24" spans="1:47" ht="15.75" customHeight="1" x14ac:dyDescent="0.15">
      <c r="A24" s="16"/>
      <c r="B24" s="16"/>
      <c r="C24" s="16"/>
      <c r="D24" s="16"/>
      <c r="E24" s="16"/>
      <c r="F24" s="16"/>
      <c r="G24" s="16"/>
      <c r="H24" s="16"/>
      <c r="I24" s="16"/>
      <c r="J24" s="16"/>
      <c r="K24" s="16"/>
      <c r="L24" s="16"/>
      <c r="M24" s="16"/>
      <c r="N24" s="16"/>
      <c r="O24" s="17">
        <v>21</v>
      </c>
      <c r="P24" s="18">
        <f>'Bingo Party'!D24</f>
        <v>0</v>
      </c>
      <c r="Q24" s="19">
        <f>'Bingo Party'!E24</f>
        <v>0</v>
      </c>
      <c r="R24" s="20">
        <f>'Cash Frenzy'!D24</f>
        <v>0</v>
      </c>
      <c r="S24" s="19">
        <f>'Cash Frenzy'!E24</f>
        <v>0</v>
      </c>
      <c r="T24" s="20"/>
      <c r="U24" s="19"/>
      <c r="V24" s="20">
        <f>'Lotsa Slots'!D24</f>
        <v>0</v>
      </c>
      <c r="W24" s="19">
        <f>'Lotsa Slots'!E24</f>
        <v>0</v>
      </c>
      <c r="X24" s="20">
        <f>'Scatter Slots'!D24</f>
        <v>0</v>
      </c>
      <c r="Y24" s="19">
        <f>'Scatter Slots'!E24</f>
        <v>0.41583333333333333</v>
      </c>
      <c r="Z24" s="20">
        <f>Gardenscapes!D24</f>
        <v>0.92399999999999993</v>
      </c>
      <c r="AA24" s="19">
        <f>Gardenscapes!E24</f>
        <v>2.810775</v>
      </c>
      <c r="AB24" s="20">
        <f>'Candy Crush Soda'!D24</f>
        <v>84.608107911253327</v>
      </c>
      <c r="AC24" s="19">
        <f>'Candy Crush Soda'!E24</f>
        <v>66.028796494451228</v>
      </c>
      <c r="AD24" s="20">
        <f>Fishdom!D24</f>
        <v>0</v>
      </c>
      <c r="AE24" s="19">
        <f>Fishdom!E24</f>
        <v>0</v>
      </c>
      <c r="AF24" s="20">
        <f>Homescapes!D24</f>
        <v>0</v>
      </c>
      <c r="AG24" s="19">
        <f>Homescapes!E24</f>
        <v>0</v>
      </c>
      <c r="AH24" s="20">
        <f>'Matchington Mansion'!D24</f>
        <v>0</v>
      </c>
      <c r="AI24" s="19">
        <f>'Matchington Mansion'!E24</f>
        <v>2.8966936712040399</v>
      </c>
      <c r="AJ24" s="20">
        <f>'Hay Day'!D24</f>
        <v>1.5920000000000001</v>
      </c>
      <c r="AK24" s="19">
        <f>'Hay Day'!E24</f>
        <v>0</v>
      </c>
      <c r="AL24" s="20">
        <f>Township!D24</f>
        <v>0.19900000000000001</v>
      </c>
      <c r="AM24" s="19">
        <f>Township!E24</f>
        <v>0</v>
      </c>
      <c r="AN24" s="20"/>
      <c r="AO24" s="19"/>
      <c r="AP24" s="20">
        <f>'Empires &amp; Puzzles'!D24</f>
        <v>0</v>
      </c>
      <c r="AQ24" s="19">
        <f>'Empires &amp; Puzzles'!E24</f>
        <v>5.6137500000000005</v>
      </c>
      <c r="AR24" s="20">
        <f>'RAID Shadow Legends'!D24</f>
        <v>1.1405714285714286</v>
      </c>
      <c r="AS24" s="19">
        <f>'RAID Shadow Legends'!E24</f>
        <v>2.8514285714285714</v>
      </c>
      <c r="AT24" s="20">
        <f>'Rise of Kingdoms'!D24</f>
        <v>0.21385714285714286</v>
      </c>
      <c r="AU24" s="19">
        <f>'Rise of Kingdoms'!E24</f>
        <v>0.34217142857142857</v>
      </c>
    </row>
    <row r="25" spans="1:47" ht="15.75" customHeight="1" x14ac:dyDescent="0.15">
      <c r="A25" s="16"/>
      <c r="B25" s="16"/>
      <c r="C25" s="16"/>
      <c r="D25" s="16"/>
      <c r="E25" s="16"/>
      <c r="F25" s="16"/>
      <c r="G25" s="16"/>
      <c r="H25" s="16"/>
      <c r="I25" s="16"/>
      <c r="J25" s="16"/>
      <c r="K25" s="16"/>
      <c r="L25" s="16"/>
      <c r="M25" s="16"/>
      <c r="N25" s="16"/>
      <c r="O25" s="17">
        <v>22</v>
      </c>
      <c r="P25" s="18">
        <f>'Bingo Party'!D25</f>
        <v>0.49900000000000005</v>
      </c>
      <c r="Q25" s="19">
        <f>'Bingo Party'!E25</f>
        <v>1.9960000000000002</v>
      </c>
      <c r="R25" s="20">
        <f>'Cash Frenzy'!D25</f>
        <v>0</v>
      </c>
      <c r="S25" s="19">
        <f>'Cash Frenzy'!E25</f>
        <v>0</v>
      </c>
      <c r="T25" s="20"/>
      <c r="U25" s="19"/>
      <c r="V25" s="20">
        <f>'Lotsa Slots'!D25</f>
        <v>0</v>
      </c>
      <c r="W25" s="19">
        <f>'Lotsa Slots'!E25</f>
        <v>0</v>
      </c>
      <c r="X25" s="20">
        <f>'Scatter Slots'!D25</f>
        <v>0</v>
      </c>
      <c r="Y25" s="19">
        <f>'Scatter Slots'!E25</f>
        <v>0</v>
      </c>
      <c r="Z25" s="20">
        <f>Gardenscapes!D25</f>
        <v>0.29699999999999999</v>
      </c>
      <c r="AA25" s="19">
        <f>Gardenscapes!E25</f>
        <v>1.254</v>
      </c>
      <c r="AB25" s="20"/>
      <c r="AC25" s="19"/>
      <c r="AD25" s="20">
        <f>Fishdom!D25</f>
        <v>0.42899999999999999</v>
      </c>
      <c r="AE25" s="19">
        <f>Fishdom!E25</f>
        <v>1.617</v>
      </c>
      <c r="AF25" s="20">
        <f>Homescapes!D25</f>
        <v>0.19800000000000001</v>
      </c>
      <c r="AG25" s="19">
        <f>Homescapes!E25</f>
        <v>6.4081566075999996</v>
      </c>
      <c r="AH25" s="20">
        <f>'Matchington Mansion'!D25</f>
        <v>0.18090909090909091</v>
      </c>
      <c r="AI25" s="19">
        <f>'Matchington Mansion'!E25</f>
        <v>0.42212121212121212</v>
      </c>
      <c r="AJ25" s="20">
        <f>'Hay Day'!D25</f>
        <v>0</v>
      </c>
      <c r="AK25" s="19">
        <f>'Hay Day'!E25</f>
        <v>0</v>
      </c>
      <c r="AL25" s="20">
        <f>Township!D25</f>
        <v>0</v>
      </c>
      <c r="AM25" s="19">
        <f>Township!E25</f>
        <v>0.59699999999999998</v>
      </c>
      <c r="AN25" s="20"/>
      <c r="AO25" s="19"/>
      <c r="AP25" s="20">
        <f>'Empires &amp; Puzzles'!D25</f>
        <v>1.4969999999999999E-5</v>
      </c>
      <c r="AQ25" s="19">
        <f>'Empires &amp; Puzzles'!E25</f>
        <v>2.9939999999999998E-5</v>
      </c>
      <c r="AR25" s="20">
        <f>'RAID Shadow Legends'!D25</f>
        <v>2.8514285714285714</v>
      </c>
      <c r="AS25" s="19">
        <f>'RAID Shadow Legends'!E25</f>
        <v>1.4257142857142857</v>
      </c>
      <c r="AT25" s="20">
        <f>'Rise of Kingdoms'!D25</f>
        <v>0.21385714285714286</v>
      </c>
      <c r="AU25" s="19">
        <f>'Rise of Kingdoms'!E25</f>
        <v>2.3761904761904762</v>
      </c>
    </row>
    <row r="26" spans="1:47" ht="15.75" customHeight="1" x14ac:dyDescent="0.15">
      <c r="J26" s="16"/>
      <c r="K26" s="16"/>
      <c r="L26" s="16"/>
      <c r="M26" s="16"/>
      <c r="N26" s="16"/>
      <c r="O26" s="17">
        <v>23</v>
      </c>
      <c r="P26" s="18">
        <f>'Bingo Party'!D26</f>
        <v>0.38384615384615384</v>
      </c>
      <c r="Q26" s="19">
        <f>'Bingo Party'!E26</f>
        <v>1.5353846153846153</v>
      </c>
      <c r="R26" s="20">
        <f>'Cash Frenzy'!D26</f>
        <v>0</v>
      </c>
      <c r="S26" s="19">
        <f>'Cash Frenzy'!E26</f>
        <v>0</v>
      </c>
      <c r="T26" s="20"/>
      <c r="U26" s="19"/>
      <c r="V26" s="20">
        <f>'Lotsa Slots'!D26</f>
        <v>0</v>
      </c>
      <c r="W26" s="19">
        <f>'Lotsa Slots'!E26</f>
        <v>0</v>
      </c>
      <c r="X26" s="20">
        <f>'Scatter Slots'!D26</f>
        <v>0</v>
      </c>
      <c r="Y26" s="19">
        <f>'Scatter Slots'!E26</f>
        <v>0.62375000000000003</v>
      </c>
      <c r="Z26" s="20">
        <f>Gardenscapes!D26</f>
        <v>0.42899999999999999</v>
      </c>
      <c r="AA26" s="19">
        <f>Gardenscapes!E26</f>
        <v>1.8212655621599998</v>
      </c>
      <c r="AB26" s="20"/>
      <c r="AC26" s="19"/>
      <c r="AD26" s="20">
        <f>Fishdom!D26</f>
        <v>0.627</v>
      </c>
      <c r="AE26" s="19">
        <f>Fishdom!E26</f>
        <v>0</v>
      </c>
      <c r="AF26" s="20">
        <f>Homescapes!D26</f>
        <v>0.627</v>
      </c>
      <c r="AG26" s="19">
        <f>Homescapes!E26</f>
        <v>1.254</v>
      </c>
      <c r="AH26" s="20">
        <f>'Matchington Mansion'!D26</f>
        <v>1.4791627257212121</v>
      </c>
      <c r="AI26" s="19">
        <f>'Matchington Mansion'!E26</f>
        <v>0.54272727272727272</v>
      </c>
      <c r="AJ26" s="20">
        <f>'Hay Day'!D26</f>
        <v>0.63680000000000003</v>
      </c>
      <c r="AK26" s="19">
        <f>'Hay Day'!E26</f>
        <v>0</v>
      </c>
      <c r="AL26" s="20">
        <f>Township!D26</f>
        <v>52.14</v>
      </c>
      <c r="AM26" s="19">
        <f>Township!E26</f>
        <v>0</v>
      </c>
      <c r="AN26" s="20"/>
      <c r="AO26" s="19"/>
      <c r="AP26" s="20">
        <f>'Empires &amp; Puzzles'!D26</f>
        <v>0</v>
      </c>
      <c r="AQ26" s="19">
        <f>'Empires &amp; Puzzles'!E26</f>
        <v>0</v>
      </c>
      <c r="AR26" s="20">
        <f>'RAID Shadow Legends'!D26</f>
        <v>0.28514285714285714</v>
      </c>
      <c r="AS26" s="19">
        <f>'RAID Shadow Legends'!E26</f>
        <v>2.2811428571428571</v>
      </c>
      <c r="AT26" s="20">
        <f>'Rise of Kingdoms'!D26</f>
        <v>0.21385714285714286</v>
      </c>
      <c r="AU26" s="19">
        <f>'Rise of Kingdoms'!E26</f>
        <v>2.7880634920634921E-4</v>
      </c>
    </row>
    <row r="27" spans="1:47" ht="15.75" customHeight="1" x14ac:dyDescent="0.15">
      <c r="I27" s="16"/>
      <c r="J27" s="16"/>
      <c r="K27" s="16"/>
      <c r="L27" s="16"/>
      <c r="M27" s="16"/>
      <c r="N27" s="16"/>
      <c r="O27" s="17">
        <v>24</v>
      </c>
      <c r="P27" s="18">
        <f>'Bingo Party'!D27</f>
        <v>0.49900000000000005</v>
      </c>
      <c r="Q27" s="19">
        <f>'Bingo Party'!E27</f>
        <v>1.9960000000000002</v>
      </c>
      <c r="R27" s="20">
        <f>'Cash Frenzy'!D27</f>
        <v>0</v>
      </c>
      <c r="S27" s="19">
        <f>'Cash Frenzy'!E27</f>
        <v>0</v>
      </c>
      <c r="T27" s="20"/>
      <c r="U27" s="19"/>
      <c r="V27" s="20">
        <f>'Lotsa Slots'!D27</f>
        <v>0</v>
      </c>
      <c r="W27" s="19">
        <f>'Lotsa Slots'!E27</f>
        <v>0</v>
      </c>
      <c r="X27" s="20">
        <f>'Scatter Slots'!D27</f>
        <v>0.58216666666666672</v>
      </c>
      <c r="Y27" s="19">
        <f>'Scatter Slots'!E27</f>
        <v>0</v>
      </c>
      <c r="Z27" s="20">
        <f>Gardenscapes!D27</f>
        <v>1.8212655621599998</v>
      </c>
      <c r="AA27" s="19">
        <f>Gardenscapes!E27</f>
        <v>0</v>
      </c>
      <c r="AB27" s="20"/>
      <c r="AC27" s="19"/>
      <c r="AD27" s="20">
        <f>Fishdom!D27</f>
        <v>3.6425311243200005</v>
      </c>
      <c r="AE27" s="19">
        <f>Fishdom!E27</f>
        <v>2.1922641025999998</v>
      </c>
      <c r="AF27" s="20">
        <f>Homescapes!D27</f>
        <v>0.9106327810799999</v>
      </c>
      <c r="AG27" s="19">
        <f>Homescapes!E27</f>
        <v>0.99</v>
      </c>
      <c r="AH27" s="20">
        <f>'Matchington Mansion'!D27</f>
        <v>1.078556154171717</v>
      </c>
      <c r="AI27" s="19">
        <f>'Matchington Mansion'!E27</f>
        <v>1.8090909090909091</v>
      </c>
      <c r="AJ27" s="20">
        <f>'Hay Day'!D27</f>
        <v>0</v>
      </c>
      <c r="AK27" s="19">
        <f>'Hay Day'!E27</f>
        <v>1.5920000000000001</v>
      </c>
      <c r="AL27" s="20">
        <f>Township!D27</f>
        <v>1.4328000000000001</v>
      </c>
      <c r="AM27" s="19">
        <f>Township!E27</f>
        <v>0</v>
      </c>
      <c r="AN27" s="20"/>
      <c r="AO27" s="19"/>
      <c r="AP27" s="20">
        <f>'Empires &amp; Puzzles'!D27</f>
        <v>1.8712500000000001</v>
      </c>
      <c r="AQ27" s="19">
        <f>'Empires &amp; Puzzles'!E27</f>
        <v>3.7425000000000002</v>
      </c>
      <c r="AR27" s="20">
        <f>'RAID Shadow Legends'!D27</f>
        <v>22.49</v>
      </c>
      <c r="AS27" s="19">
        <f>'RAID Shadow Legends'!E27</f>
        <v>0</v>
      </c>
      <c r="AT27" s="20">
        <f>'Rise of Kingdoms'!D27</f>
        <v>0.12831428571428571</v>
      </c>
      <c r="AU27" s="19">
        <f>'Rise of Kingdoms'!E27</f>
        <v>11.405714285714286</v>
      </c>
    </row>
    <row r="28" spans="1:47" ht="15.75" customHeight="1" x14ac:dyDescent="0.15">
      <c r="I28" s="16"/>
      <c r="J28" s="16"/>
      <c r="K28" s="16"/>
      <c r="L28" s="16"/>
      <c r="M28" s="16"/>
      <c r="N28" s="16"/>
      <c r="O28" s="17">
        <v>25</v>
      </c>
      <c r="P28" s="18">
        <f>'Bingo Party'!D28</f>
        <v>0.49900000000000005</v>
      </c>
      <c r="Q28" s="19">
        <f>'Bingo Party'!E28</f>
        <v>0</v>
      </c>
      <c r="R28" s="20">
        <f>'Cash Frenzy'!D28</f>
        <v>0</v>
      </c>
      <c r="S28" s="19">
        <f>'Cash Frenzy'!E28</f>
        <v>3.9920000000000004</v>
      </c>
      <c r="T28" s="20"/>
      <c r="U28" s="19"/>
      <c r="V28" s="20">
        <f>'Lotsa Slots'!D28</f>
        <v>0.99</v>
      </c>
      <c r="W28" s="19">
        <f>'Lotsa Slots'!E28</f>
        <v>0</v>
      </c>
      <c r="X28" s="20">
        <f>'Scatter Slots'!D28</f>
        <v>0</v>
      </c>
      <c r="Y28" s="19">
        <f>'Scatter Slots'!E28</f>
        <v>0</v>
      </c>
      <c r="Z28" s="20">
        <f>Gardenscapes!D28</f>
        <v>0.627</v>
      </c>
      <c r="AA28" s="19">
        <f>Gardenscapes!E28</f>
        <v>0.85799999999999998</v>
      </c>
      <c r="AB28" s="20"/>
      <c r="AC28" s="19"/>
      <c r="AD28" s="20">
        <f>Fishdom!D28</f>
        <v>0.29700000000000004</v>
      </c>
      <c r="AE28" s="19">
        <f>Fishdom!E28</f>
        <v>1.254</v>
      </c>
      <c r="AF28" s="20">
        <f>Homescapes!D28</f>
        <v>0.627</v>
      </c>
      <c r="AG28" s="19">
        <f>Homescapes!E28</f>
        <v>3.0354426035999995</v>
      </c>
      <c r="AH28" s="20">
        <f>'Matchington Mansion'!D28</f>
        <v>1.078556154171717</v>
      </c>
      <c r="AI28" s="19">
        <f>'Matchington Mansion'!E28</f>
        <v>1.6884848484848485</v>
      </c>
      <c r="AJ28" s="20">
        <f>'Hay Day'!D28</f>
        <v>0.95520000000000005</v>
      </c>
      <c r="AK28" s="19">
        <f>'Hay Day'!E28</f>
        <v>0.59699999999999998</v>
      </c>
      <c r="AL28" s="20">
        <f>Township!D28</f>
        <v>3.5819999999999999</v>
      </c>
      <c r="AM28" s="19">
        <f>Township!E28</f>
        <v>0</v>
      </c>
      <c r="AN28" s="20"/>
      <c r="AO28" s="19"/>
      <c r="AP28" s="20">
        <f>'Empires &amp; Puzzles'!D28</f>
        <v>0</v>
      </c>
      <c r="AQ28" s="19">
        <f>'Empires &amp; Puzzles'!E28</f>
        <v>0</v>
      </c>
      <c r="AR28" s="20">
        <f>'RAID Shadow Legends'!D28</f>
        <v>0</v>
      </c>
      <c r="AS28" s="19">
        <f>'RAID Shadow Legends'!E28</f>
        <v>5.0755428571428567</v>
      </c>
      <c r="AT28" s="20">
        <f>'Rise of Kingdoms'!D28</f>
        <v>0.57028571428571428</v>
      </c>
      <c r="AU28" s="19">
        <f>'Rise of Kingdoms'!E28</f>
        <v>13.201058201058203</v>
      </c>
    </row>
    <row r="29" spans="1:47" ht="15.75" customHeight="1" x14ac:dyDescent="0.15">
      <c r="K29" s="16"/>
      <c r="L29" s="16"/>
      <c r="M29" s="16"/>
      <c r="N29" s="16"/>
      <c r="O29" s="17">
        <v>26</v>
      </c>
      <c r="P29" s="18">
        <f>'Bingo Party'!D29</f>
        <v>0.49900000000000005</v>
      </c>
      <c r="Q29" s="19">
        <f>'Bingo Party'!E29</f>
        <v>1.9960000000000002</v>
      </c>
      <c r="R29" s="20">
        <f>'Cash Frenzy'!D29</f>
        <v>4.99</v>
      </c>
      <c r="S29" s="19">
        <f>'Cash Frenzy'!E29</f>
        <v>0</v>
      </c>
      <c r="T29" s="20"/>
      <c r="U29" s="19"/>
      <c r="V29" s="20">
        <f>'Lotsa Slots'!D29</f>
        <v>0</v>
      </c>
      <c r="W29" s="19">
        <f>'Lotsa Slots'!E29</f>
        <v>0</v>
      </c>
      <c r="X29" s="20">
        <f>'Scatter Slots'!D29</f>
        <v>0</v>
      </c>
      <c r="Y29" s="19">
        <f>'Scatter Slots'!E29</f>
        <v>0.25781666666666669</v>
      </c>
      <c r="Z29" s="20">
        <f>Gardenscapes!D29</f>
        <v>1.5840000000000001</v>
      </c>
      <c r="AA29" s="19">
        <f>Gardenscapes!E29</f>
        <v>2.6399999999999997</v>
      </c>
      <c r="AB29" s="20"/>
      <c r="AC29" s="19"/>
      <c r="AD29" s="20">
        <f>Fishdom!D29</f>
        <v>0.627</v>
      </c>
      <c r="AE29" s="19">
        <f>Fishdom!E29</f>
        <v>0</v>
      </c>
      <c r="AF29" s="20">
        <f>Homescapes!D29</f>
        <v>0</v>
      </c>
      <c r="AG29" s="19">
        <f>Homescapes!E29</f>
        <v>0</v>
      </c>
      <c r="AH29" s="20">
        <f>'Matchington Mansion'!D29</f>
        <v>0.60303030303030303</v>
      </c>
      <c r="AI29" s="19">
        <f>'Matchington Mansion'!E29</f>
        <v>2.8966936712040399</v>
      </c>
      <c r="AJ29" s="20">
        <f>'Hay Day'!D29</f>
        <v>0</v>
      </c>
      <c r="AK29" s="19">
        <f>'Hay Day'!E29</f>
        <v>18.7</v>
      </c>
      <c r="AL29" s="20">
        <f>Township!D29</f>
        <v>3.9800000000000004</v>
      </c>
      <c r="AM29" s="19">
        <f>Township!E29</f>
        <v>2.3879999999999999</v>
      </c>
      <c r="AN29" s="20"/>
      <c r="AO29" s="19"/>
      <c r="AP29" s="20">
        <f>'Empires &amp; Puzzles'!D29</f>
        <v>1.4969999999999999E-5</v>
      </c>
      <c r="AQ29" s="19">
        <f>'Empires &amp; Puzzles'!E29</f>
        <v>2.9939999999999998E-5</v>
      </c>
      <c r="AR29" s="20">
        <f>'RAID Shadow Legends'!D29</f>
        <v>1.1405714285714286</v>
      </c>
      <c r="AS29" s="19">
        <f>'RAID Shadow Legends'!E29</f>
        <v>22.49</v>
      </c>
      <c r="AT29" s="20">
        <f>'Rise of Kingdoms'!D29</f>
        <v>2.7880634920634921E-4</v>
      </c>
      <c r="AU29" s="19">
        <f>'Rise of Kingdoms'!E29</f>
        <v>3.4850793650793648E-4</v>
      </c>
    </row>
    <row r="30" spans="1:47" ht="15.75" customHeight="1" x14ac:dyDescent="0.15">
      <c r="I30" s="16"/>
      <c r="J30" s="16"/>
      <c r="K30" s="16"/>
      <c r="L30" s="16"/>
      <c r="M30" s="16"/>
      <c r="N30" s="16"/>
      <c r="O30" s="17">
        <v>27</v>
      </c>
      <c r="P30" s="18">
        <f>'Bingo Party'!D30</f>
        <v>0.76769230769230767</v>
      </c>
      <c r="Q30" s="19">
        <f>'Bingo Party'!E30</f>
        <v>1.5353846153846153</v>
      </c>
      <c r="R30" s="20">
        <f>'Cash Frenzy'!D30</f>
        <v>0</v>
      </c>
      <c r="S30" s="19">
        <f>'Cash Frenzy'!E30</f>
        <v>0.44222222222222224</v>
      </c>
      <c r="T30" s="20"/>
      <c r="U30" s="19"/>
      <c r="V30" s="20">
        <f>'Lotsa Slots'!D30</f>
        <v>0</v>
      </c>
      <c r="W30" s="19">
        <f>'Lotsa Slots'!E30</f>
        <v>1.99</v>
      </c>
      <c r="X30" s="20">
        <f>'Scatter Slots'!D30</f>
        <v>0</v>
      </c>
      <c r="Y30" s="19">
        <f>'Scatter Slots'!E30</f>
        <v>0</v>
      </c>
      <c r="Z30" s="20">
        <f>Gardenscapes!D30</f>
        <v>0.29699999999999999</v>
      </c>
      <c r="AA30" s="19">
        <f>Gardenscapes!E30</f>
        <v>1.254</v>
      </c>
      <c r="AB30" s="20"/>
      <c r="AC30" s="19"/>
      <c r="AD30" s="20">
        <f>Fishdom!D30</f>
        <v>0.42899999999999999</v>
      </c>
      <c r="AE30" s="19">
        <f>Fishdom!E30</f>
        <v>3.2040783037999998</v>
      </c>
      <c r="AF30" s="20">
        <f>Homescapes!D30</f>
        <v>0.29699999999999999</v>
      </c>
      <c r="AG30" s="19">
        <f>Homescapes!E30</f>
        <v>1.881</v>
      </c>
      <c r="AH30" s="20">
        <f>'Matchington Mansion'!D30</f>
        <v>0.42212121212121212</v>
      </c>
      <c r="AI30" s="19">
        <f>'Matchington Mansion'!E30</f>
        <v>0.54272727272727272</v>
      </c>
      <c r="AJ30" s="20">
        <f>'Hay Day'!D30</f>
        <v>14.299999999999999</v>
      </c>
      <c r="AK30" s="19">
        <f>'Hay Day'!E30</f>
        <v>0</v>
      </c>
      <c r="AL30" s="20">
        <f>Township!D30</f>
        <v>0</v>
      </c>
      <c r="AM30" s="19">
        <f>Township!E30</f>
        <v>0.59699999999999998</v>
      </c>
      <c r="AN30" s="20"/>
      <c r="AO30" s="19"/>
      <c r="AP30" s="20">
        <f>'Empires &amp; Puzzles'!D30</f>
        <v>0</v>
      </c>
      <c r="AQ30" s="19">
        <f>'Empires &amp; Puzzles'!E30</f>
        <v>8.7324999999999999</v>
      </c>
      <c r="AR30" s="20">
        <f>'RAID Shadow Legends'!D30</f>
        <v>0.85542857142857143</v>
      </c>
      <c r="AS30" s="19">
        <f>'RAID Shadow Legends'!E30</f>
        <v>0.47523809523809524</v>
      </c>
      <c r="AT30" s="20">
        <f>'Rise of Kingdoms'!D30</f>
        <v>0.95047619047619047</v>
      </c>
      <c r="AU30" s="19">
        <f>'Rise of Kingdoms'!E30</f>
        <v>2.1385714285714288</v>
      </c>
    </row>
    <row r="31" spans="1:47" ht="15.75" customHeight="1" x14ac:dyDescent="0.15">
      <c r="I31" s="16"/>
      <c r="J31" s="16"/>
      <c r="K31" s="16"/>
      <c r="L31" s="16"/>
      <c r="M31" s="16"/>
      <c r="N31" s="16"/>
      <c r="O31" s="17">
        <v>28</v>
      </c>
      <c r="P31" s="18">
        <f>'Bingo Party'!D31</f>
        <v>0.49900000000000005</v>
      </c>
      <c r="Q31" s="19">
        <f>'Bingo Party'!E31</f>
        <v>1.9960000000000002</v>
      </c>
      <c r="R31" s="20">
        <f>'Cash Frenzy'!D31</f>
        <v>0</v>
      </c>
      <c r="S31" s="19">
        <f>'Cash Frenzy'!E31</f>
        <v>0</v>
      </c>
      <c r="T31" s="20"/>
      <c r="U31" s="19"/>
      <c r="V31" s="20">
        <f>'Lotsa Slots'!D31</f>
        <v>0</v>
      </c>
      <c r="W31" s="19">
        <f>'Lotsa Slots'!E31</f>
        <v>0</v>
      </c>
      <c r="X31" s="20">
        <f>'Scatter Slots'!D31</f>
        <v>0</v>
      </c>
      <c r="Y31" s="19">
        <f>'Scatter Slots'!E31</f>
        <v>0</v>
      </c>
      <c r="Z31" s="20">
        <f>Gardenscapes!D31</f>
        <v>0.42899999999999999</v>
      </c>
      <c r="AA31" s="19">
        <f>Gardenscapes!E31</f>
        <v>0.59399999999999997</v>
      </c>
      <c r="AB31" s="20"/>
      <c r="AC31" s="19"/>
      <c r="AD31" s="20">
        <f>Fishdom!D31</f>
        <v>0.627</v>
      </c>
      <c r="AE31" s="19">
        <f>Fishdom!E31</f>
        <v>0</v>
      </c>
      <c r="AF31" s="20">
        <f>Homescapes!D31</f>
        <v>0.627</v>
      </c>
      <c r="AG31" s="19">
        <f>Homescapes!E31</f>
        <v>0.99</v>
      </c>
      <c r="AH31" s="20">
        <f>'Matchington Mansion'!D31</f>
        <v>1.4791627257212121</v>
      </c>
      <c r="AI31" s="19">
        <f>'Matchington Mansion'!E31</f>
        <v>5.8218003742626259</v>
      </c>
      <c r="AJ31" s="20">
        <f>'Hay Day'!D31</f>
        <v>0</v>
      </c>
      <c r="AK31" s="19">
        <f>'Hay Day'!E31</f>
        <v>1.5920000000000001</v>
      </c>
      <c r="AL31" s="20">
        <f>Township!D31</f>
        <v>0</v>
      </c>
      <c r="AM31" s="19">
        <f>Township!E31</f>
        <v>2.3879999999999999</v>
      </c>
      <c r="AN31" s="20"/>
      <c r="AO31" s="19"/>
      <c r="AP31" s="20">
        <f>'Empires &amp; Puzzles'!D31</f>
        <v>0</v>
      </c>
      <c r="AQ31" s="19">
        <f>'Empires &amp; Puzzles'!E31</f>
        <v>0</v>
      </c>
      <c r="AR31" s="20">
        <f>'RAID Shadow Legends'!D31</f>
        <v>0.35642857142857143</v>
      </c>
      <c r="AS31" s="19">
        <f>'RAID Shadow Legends'!E31</f>
        <v>2.2811428571428571</v>
      </c>
      <c r="AT31" s="20">
        <f>'Rise of Kingdoms'!D31</f>
        <v>0.71285714285714297</v>
      </c>
      <c r="AU31" s="19">
        <f>'Rise of Kingdoms'!E31</f>
        <v>2.2617373015873015</v>
      </c>
    </row>
    <row r="32" spans="1:47" ht="15.75" customHeight="1" x14ac:dyDescent="0.15">
      <c r="A32" s="16"/>
      <c r="B32" s="16"/>
      <c r="C32" s="16"/>
      <c r="D32" s="16"/>
      <c r="E32" s="16"/>
      <c r="F32" s="16"/>
      <c r="G32" s="16"/>
      <c r="H32" s="16"/>
      <c r="I32" s="16"/>
      <c r="J32" s="16"/>
      <c r="K32" s="16"/>
      <c r="L32" s="16"/>
      <c r="M32" s="16"/>
      <c r="N32" s="16"/>
      <c r="O32" s="17">
        <v>29</v>
      </c>
      <c r="P32" s="18">
        <f>'Bingo Party'!D32</f>
        <v>0.76769230769230767</v>
      </c>
      <c r="Q32" s="19">
        <f>'Bingo Party'!E32</f>
        <v>0</v>
      </c>
      <c r="R32" s="20">
        <f>'Cash Frenzy'!D32</f>
        <v>0</v>
      </c>
      <c r="S32" s="19">
        <f>'Cash Frenzy'!E32</f>
        <v>0</v>
      </c>
      <c r="T32" s="20"/>
      <c r="U32" s="19"/>
      <c r="V32" s="20">
        <f>'Lotsa Slots'!D32</f>
        <v>0</v>
      </c>
      <c r="W32" s="19">
        <f>'Lotsa Slots'!E32</f>
        <v>0.49833333333333341</v>
      </c>
      <c r="X32" s="20">
        <f>'Scatter Slots'!D32</f>
        <v>0</v>
      </c>
      <c r="Y32" s="19">
        <f>'Scatter Slots'!E32</f>
        <v>4.1583333333333332</v>
      </c>
      <c r="Z32" s="20">
        <f>Gardenscapes!D32</f>
        <v>0.627</v>
      </c>
      <c r="AA32" s="19">
        <f>Gardenscapes!E32</f>
        <v>0.85799999999999998</v>
      </c>
      <c r="AB32" s="20"/>
      <c r="AC32" s="19"/>
      <c r="AD32" s="20">
        <f>Fishdom!D32</f>
        <v>3.6425311243200005</v>
      </c>
      <c r="AE32" s="19">
        <f>Fishdom!E32</f>
        <v>1.881</v>
      </c>
      <c r="AF32" s="20">
        <f>Homescapes!D32</f>
        <v>0.29699999999999999</v>
      </c>
      <c r="AG32" s="19">
        <f>Homescapes!E32</f>
        <v>0</v>
      </c>
      <c r="AH32" s="20">
        <f>'Matchington Mansion'!D32</f>
        <v>0.18090909090909091</v>
      </c>
      <c r="AI32" s="19">
        <f>'Matchington Mansion'!E32</f>
        <v>0</v>
      </c>
      <c r="AJ32" s="20">
        <f>'Hay Day'!D32</f>
        <v>0</v>
      </c>
      <c r="AK32" s="19">
        <f>'Hay Day'!E32</f>
        <v>0</v>
      </c>
      <c r="AL32" s="20">
        <f>Township!D32</f>
        <v>0</v>
      </c>
      <c r="AM32" s="19">
        <f>Township!E32</f>
        <v>0</v>
      </c>
      <c r="AN32" s="20"/>
      <c r="AO32" s="19"/>
      <c r="AP32" s="20">
        <f>'Empires &amp; Puzzles'!D32</f>
        <v>0</v>
      </c>
      <c r="AQ32" s="19">
        <f>'Empires &amp; Puzzles'!E32</f>
        <v>1.2475000000000001</v>
      </c>
      <c r="AR32" s="20">
        <f>'RAID Shadow Legends'!D32</f>
        <v>1.1405714285714286</v>
      </c>
      <c r="AS32" s="19">
        <f>'RAID Shadow Legends'!E32</f>
        <v>1.3306666666666667</v>
      </c>
      <c r="AT32" s="20">
        <f>'Rise of Kingdoms'!D32</f>
        <v>0</v>
      </c>
      <c r="AU32" s="19">
        <f>'Rise of Kingdoms'!E32</f>
        <v>3.4850793650793655E-3</v>
      </c>
    </row>
    <row r="33" spans="1:47" ht="15.75" customHeight="1" x14ac:dyDescent="0.15">
      <c r="A33" s="16"/>
      <c r="B33" s="16"/>
      <c r="C33" s="16"/>
      <c r="D33" s="16"/>
      <c r="E33" s="16"/>
      <c r="F33" s="16"/>
      <c r="G33" s="16"/>
      <c r="H33" s="16"/>
      <c r="I33" s="16"/>
      <c r="J33" s="16"/>
      <c r="K33" s="16"/>
      <c r="L33" s="16"/>
      <c r="M33" s="16"/>
      <c r="N33" s="16"/>
      <c r="O33" s="17">
        <v>30</v>
      </c>
      <c r="P33" s="18">
        <f>'Bingo Party'!D33</f>
        <v>0.76769230769230767</v>
      </c>
      <c r="Q33" s="19">
        <f>'Bingo Party'!E33</f>
        <v>1.5353846153846153</v>
      </c>
      <c r="R33" s="20">
        <f>'Cash Frenzy'!D33</f>
        <v>0</v>
      </c>
      <c r="S33" s="19">
        <f>'Cash Frenzy'!E33</f>
        <v>2.99</v>
      </c>
      <c r="T33" s="20"/>
      <c r="U33" s="19"/>
      <c r="V33" s="20">
        <f>'Lotsa Slots'!D33</f>
        <v>0</v>
      </c>
      <c r="W33" s="19">
        <f>'Lotsa Slots'!E33</f>
        <v>9.99</v>
      </c>
      <c r="X33" s="20">
        <f>'Scatter Slots'!D33</f>
        <v>0.95225833333333343</v>
      </c>
      <c r="Y33" s="19">
        <f>'Scatter Slots'!E33</f>
        <v>0</v>
      </c>
      <c r="Z33" s="20">
        <f>Gardenscapes!D33</f>
        <v>3.6692655621599997</v>
      </c>
      <c r="AA33" s="19">
        <f>Gardenscapes!E33</f>
        <v>9.9939708088000003</v>
      </c>
      <c r="AB33" s="20"/>
      <c r="AC33" s="19"/>
      <c r="AD33" s="20">
        <f>Fishdom!D33</f>
        <v>0.29700000000000004</v>
      </c>
      <c r="AE33" s="19">
        <f>Fishdom!E33</f>
        <v>3.0354426036000004</v>
      </c>
      <c r="AF33" s="20">
        <f>Homescapes!D33</f>
        <v>0.9106327810799999</v>
      </c>
      <c r="AG33" s="19">
        <f>Homescapes!E33</f>
        <v>1.881</v>
      </c>
      <c r="AH33" s="20">
        <f>'Matchington Mansion'!D33</f>
        <v>1.078556154171717</v>
      </c>
      <c r="AI33" s="19">
        <f>'Matchington Mansion'!E33</f>
        <v>0.60303030303030303</v>
      </c>
      <c r="AJ33" s="20">
        <f>'Hay Day'!D33</f>
        <v>18.7</v>
      </c>
      <c r="AK33" s="19">
        <f>'Hay Day'!E33</f>
        <v>37.949999999999996</v>
      </c>
      <c r="AL33" s="20">
        <f>Township!D33</f>
        <v>1.4328000000000001</v>
      </c>
      <c r="AM33" s="19">
        <f>Township!E33</f>
        <v>0.79600000000000004</v>
      </c>
      <c r="AN33" s="20"/>
      <c r="AO33" s="19"/>
      <c r="AP33" s="20">
        <f>'Empires &amp; Puzzles'!D33</f>
        <v>0</v>
      </c>
      <c r="AQ33" s="19">
        <f>'Empires &amp; Puzzles'!E33</f>
        <v>0</v>
      </c>
      <c r="AR33" s="20">
        <f>'RAID Shadow Legends'!D33</f>
        <v>2.2811428571428571</v>
      </c>
      <c r="AS33" s="19">
        <f>'RAID Shadow Legends'!E33</f>
        <v>2.5662857142857143</v>
      </c>
      <c r="AT33" s="20">
        <f>'Rise of Kingdoms'!D33</f>
        <v>4.2771428571428576</v>
      </c>
      <c r="AU33" s="19">
        <f>'Rise of Kingdoms'!E33</f>
        <v>132.01058201058203</v>
      </c>
    </row>
    <row r="34" spans="1:47" ht="15.75" customHeight="1" x14ac:dyDescent="0.15">
      <c r="A34" s="16"/>
      <c r="B34" s="16"/>
      <c r="C34" s="16"/>
      <c r="D34" s="16"/>
      <c r="E34" s="16"/>
      <c r="F34" s="16"/>
      <c r="G34" s="16"/>
      <c r="H34" s="16"/>
      <c r="I34" s="16"/>
      <c r="J34" s="16"/>
      <c r="K34" s="16"/>
      <c r="L34" s="16"/>
      <c r="M34" s="16"/>
      <c r="N34" s="16"/>
      <c r="O34" s="17">
        <v>31</v>
      </c>
      <c r="P34" s="18">
        <f>'Bingo Party'!D34</f>
        <v>0.49900000000000005</v>
      </c>
      <c r="Q34" s="19">
        <f>'Bingo Party'!E34</f>
        <v>2.4950000000000001</v>
      </c>
      <c r="R34" s="20">
        <f>'Cash Frenzy'!D34</f>
        <v>0</v>
      </c>
      <c r="S34" s="19">
        <f>'Cash Frenzy'!E34</f>
        <v>0</v>
      </c>
      <c r="T34" s="20"/>
      <c r="U34" s="19"/>
      <c r="V34" s="20">
        <f>'Lotsa Slots'!D34</f>
        <v>0</v>
      </c>
      <c r="W34" s="19">
        <f>'Lotsa Slots'!E34</f>
        <v>0</v>
      </c>
      <c r="X34" s="20">
        <f>'Scatter Slots'!D34</f>
        <v>0</v>
      </c>
      <c r="Y34" s="19">
        <f>'Scatter Slots'!E34</f>
        <v>0</v>
      </c>
      <c r="Z34" s="20">
        <f>Gardenscapes!D34</f>
        <v>0</v>
      </c>
      <c r="AA34" s="19">
        <f>Gardenscapes!E34</f>
        <v>0</v>
      </c>
      <c r="AB34" s="20"/>
      <c r="AC34" s="19"/>
      <c r="AD34" s="20">
        <f>Fishdom!D34</f>
        <v>0</v>
      </c>
      <c r="AE34" s="19">
        <f>Fishdom!E34</f>
        <v>0</v>
      </c>
      <c r="AF34" s="20">
        <f>Homescapes!D34</f>
        <v>3.6692655621599997</v>
      </c>
      <c r="AG34" s="19">
        <f>Homescapes!E34</f>
        <v>0</v>
      </c>
      <c r="AH34" s="20">
        <f>'Matchington Mansion'!D34</f>
        <v>0</v>
      </c>
      <c r="AI34" s="19">
        <f>'Matchington Mansion'!E34</f>
        <v>1.9012839378424242</v>
      </c>
      <c r="AJ34" s="20">
        <f>'Hay Day'!D34</f>
        <v>0</v>
      </c>
      <c r="AK34" s="19">
        <f>'Hay Day'!E34</f>
        <v>0</v>
      </c>
      <c r="AL34" s="20">
        <f>Township!D34</f>
        <v>0.35820000000000002</v>
      </c>
      <c r="AM34" s="19">
        <f>Township!E34</f>
        <v>0</v>
      </c>
      <c r="AN34" s="20"/>
      <c r="AO34" s="19"/>
      <c r="AP34" s="20">
        <f>'Empires &amp; Puzzles'!D34</f>
        <v>0</v>
      </c>
      <c r="AQ34" s="19">
        <f>'Empires &amp; Puzzles'!E34</f>
        <v>0</v>
      </c>
      <c r="AR34" s="20">
        <f>'RAID Shadow Legends'!D34</f>
        <v>1.1405714285714286</v>
      </c>
      <c r="AS34" s="19">
        <f>'RAID Shadow Legends'!E34</f>
        <v>2.8514285714285714</v>
      </c>
      <c r="AT34" s="20">
        <f>'Rise of Kingdoms'!D34</f>
        <v>0</v>
      </c>
      <c r="AU34" s="19">
        <f>'Rise of Kingdoms'!E34</f>
        <v>0</v>
      </c>
    </row>
    <row r="35" spans="1:47" ht="15.75" customHeight="1" x14ac:dyDescent="0.15">
      <c r="A35" s="16"/>
      <c r="B35" s="16"/>
      <c r="C35" s="16"/>
      <c r="D35" s="16"/>
      <c r="E35" s="16"/>
      <c r="F35" s="16"/>
      <c r="G35" s="16"/>
      <c r="H35" s="16"/>
      <c r="I35" s="16"/>
      <c r="J35" s="16"/>
      <c r="K35" s="16"/>
      <c r="L35" s="16"/>
      <c r="M35" s="16"/>
      <c r="N35" s="16"/>
      <c r="O35" s="17">
        <v>32</v>
      </c>
      <c r="P35" s="18">
        <f>'Bingo Party'!D35</f>
        <v>0.76769230769230767</v>
      </c>
      <c r="Q35" s="19">
        <f>'Bingo Party'!E35</f>
        <v>1.5353846153846153</v>
      </c>
      <c r="R35" s="20">
        <f>'Cash Frenzy'!D35</f>
        <v>0</v>
      </c>
      <c r="S35" s="19">
        <f>'Cash Frenzy'!E35</f>
        <v>0</v>
      </c>
      <c r="T35" s="20"/>
      <c r="U35" s="19"/>
      <c r="V35" s="20">
        <f>'Lotsa Slots'!D35</f>
        <v>0</v>
      </c>
      <c r="W35" s="19">
        <f>'Lotsa Slots'!E35</f>
        <v>0</v>
      </c>
      <c r="X35" s="20">
        <f>'Scatter Slots'!D35</f>
        <v>0</v>
      </c>
      <c r="Y35" s="19">
        <f>'Scatter Slots'!E35</f>
        <v>8.3166666666666664</v>
      </c>
      <c r="Z35" s="20"/>
      <c r="AA35" s="19"/>
      <c r="AB35" s="20"/>
      <c r="AC35" s="19"/>
      <c r="AD35" s="20">
        <f>Fishdom!D35</f>
        <v>0.42899999999999999</v>
      </c>
      <c r="AE35" s="19">
        <f>Fishdom!E35</f>
        <v>4.3845282051999996</v>
      </c>
      <c r="AF35" s="20">
        <f>Homescapes!D35</f>
        <v>0.495</v>
      </c>
      <c r="AG35" s="19">
        <f>Homescapes!E35</f>
        <v>3.0354426035999995</v>
      </c>
      <c r="AH35" s="20">
        <f>'Matchington Mansion'!D35</f>
        <v>1.6281818181818182</v>
      </c>
      <c r="AI35" s="19">
        <f>'Matchington Mansion'!E35</f>
        <v>0.60303030303030303</v>
      </c>
      <c r="AJ35" s="20">
        <f>'Hay Day'!D35</f>
        <v>0</v>
      </c>
      <c r="AK35" s="19">
        <f>'Hay Day'!E35</f>
        <v>0</v>
      </c>
      <c r="AL35" s="20">
        <f>Township!D35</f>
        <v>1.4328000000000001</v>
      </c>
      <c r="AM35" s="19">
        <f>Township!E35</f>
        <v>7.1639999999999997</v>
      </c>
      <c r="AN35" s="20"/>
      <c r="AO35" s="19"/>
      <c r="AP35" s="20">
        <f>'Empires &amp; Puzzles'!D35</f>
        <v>1.4969999999999999E-5</v>
      </c>
      <c r="AQ35" s="19">
        <f>'Empires &amp; Puzzles'!E35</f>
        <v>2.9939999999999998E-5</v>
      </c>
      <c r="AR35" s="20">
        <f>'RAID Shadow Legends'!D35</f>
        <v>2.8514285714285714</v>
      </c>
      <c r="AS35" s="19">
        <f>'RAID Shadow Legends'!E35</f>
        <v>14.257256914285714</v>
      </c>
      <c r="AT35" s="20">
        <f>'Rise of Kingdoms'!D35</f>
        <v>1.4257142857142857</v>
      </c>
      <c r="AU35" s="19">
        <f>'Rise of Kingdoms'!E35</f>
        <v>1.0265142857142857</v>
      </c>
    </row>
    <row r="36" spans="1:47" ht="15.75" customHeight="1" x14ac:dyDescent="0.15">
      <c r="A36" s="16"/>
      <c r="B36" s="16"/>
      <c r="C36" s="16"/>
      <c r="D36" s="16"/>
      <c r="E36" s="16"/>
      <c r="F36" s="16"/>
      <c r="G36" s="16"/>
      <c r="H36" s="16"/>
      <c r="I36" s="16"/>
      <c r="J36" s="16"/>
      <c r="K36" s="16"/>
      <c r="L36" s="16"/>
      <c r="M36" s="16"/>
      <c r="N36" s="16"/>
      <c r="O36" s="17">
        <v>33</v>
      </c>
      <c r="P36" s="18">
        <f>'Bingo Party'!D36</f>
        <v>0</v>
      </c>
      <c r="Q36" s="19">
        <f>'Bingo Party'!E36</f>
        <v>0</v>
      </c>
      <c r="R36" s="20">
        <f>'Cash Frenzy'!D36</f>
        <v>0</v>
      </c>
      <c r="S36" s="19">
        <f>'Cash Frenzy'!E36</f>
        <v>0</v>
      </c>
      <c r="T36" s="20"/>
      <c r="U36" s="19"/>
      <c r="V36" s="20">
        <f>'Lotsa Slots'!D36</f>
        <v>0</v>
      </c>
      <c r="W36" s="19">
        <f>'Lotsa Slots'!E36</f>
        <v>0</v>
      </c>
      <c r="X36" s="20">
        <f>'Scatter Slots'!D36</f>
        <v>0</v>
      </c>
      <c r="Y36" s="19">
        <f>'Scatter Slots'!E36</f>
        <v>0</v>
      </c>
      <c r="Z36" s="20"/>
      <c r="AA36" s="19"/>
      <c r="AB36" s="20"/>
      <c r="AC36" s="19"/>
      <c r="AD36" s="20">
        <f>Fishdom!D36</f>
        <v>0.627</v>
      </c>
      <c r="AE36" s="19">
        <f>Fishdom!E36</f>
        <v>1.617</v>
      </c>
      <c r="AF36" s="20">
        <f>Homescapes!D36</f>
        <v>0.627</v>
      </c>
      <c r="AG36" s="19">
        <f>Homescapes!E36</f>
        <v>0.89100000000000001</v>
      </c>
      <c r="AH36" s="20">
        <f>'Matchington Mansion'!D36</f>
        <v>0</v>
      </c>
      <c r="AI36" s="19">
        <f>'Matchington Mansion'!E36</f>
        <v>0.90454545454545454</v>
      </c>
      <c r="AJ36" s="20">
        <f>'Hay Day'!D36</f>
        <v>0</v>
      </c>
      <c r="AK36" s="19">
        <f>'Hay Day'!E36</f>
        <v>0</v>
      </c>
      <c r="AL36" s="20">
        <f>Township!D36</f>
        <v>0.23880000000000001</v>
      </c>
      <c r="AM36" s="19">
        <f>Township!E36</f>
        <v>0</v>
      </c>
      <c r="AN36" s="20"/>
      <c r="AO36" s="19"/>
      <c r="AP36" s="20">
        <f>'Empires &amp; Puzzles'!D36</f>
        <v>0</v>
      </c>
      <c r="AQ36" s="19">
        <f>'Empires &amp; Puzzles'!E36</f>
        <v>8.7324999999999999</v>
      </c>
      <c r="AR36" s="20">
        <f>'RAID Shadow Legends'!D36</f>
        <v>0.28514285714285714</v>
      </c>
      <c r="AS36" s="19">
        <f>'RAID Shadow Legends'!E36</f>
        <v>2.2811428571428571</v>
      </c>
      <c r="AT36" s="20">
        <f>'Rise of Kingdoms'!D36</f>
        <v>0</v>
      </c>
      <c r="AU36" s="19">
        <f>'Rise of Kingdoms'!E36</f>
        <v>4.1820952380952381E-4</v>
      </c>
    </row>
    <row r="37" spans="1:47" ht="15.75" customHeight="1" x14ac:dyDescent="0.15">
      <c r="A37" s="16"/>
      <c r="B37" s="16"/>
      <c r="C37" s="16"/>
      <c r="D37" s="16"/>
      <c r="E37" s="16"/>
      <c r="F37" s="16"/>
      <c r="G37" s="16"/>
      <c r="H37" s="16"/>
      <c r="I37" s="16"/>
      <c r="J37" s="16"/>
      <c r="K37" s="16"/>
      <c r="L37" s="16"/>
      <c r="M37" s="16"/>
      <c r="N37" s="16"/>
      <c r="O37" s="17">
        <v>34</v>
      </c>
      <c r="P37" s="18">
        <f>'Bingo Party'!D37</f>
        <v>0.49900000000000005</v>
      </c>
      <c r="Q37" s="19">
        <f>'Bingo Party'!E37</f>
        <v>2.4950000000000001</v>
      </c>
      <c r="R37" s="20">
        <f>'Cash Frenzy'!D37</f>
        <v>0</v>
      </c>
      <c r="S37" s="19">
        <f>'Cash Frenzy'!E37</f>
        <v>2.99</v>
      </c>
      <c r="T37" s="20"/>
      <c r="U37" s="19"/>
      <c r="V37" s="20">
        <f>'Lotsa Slots'!D37</f>
        <v>0</v>
      </c>
      <c r="W37" s="19">
        <f>'Lotsa Slots'!E37</f>
        <v>0</v>
      </c>
      <c r="X37" s="20">
        <f>'Scatter Slots'!D37</f>
        <v>0</v>
      </c>
      <c r="Y37" s="19">
        <f>'Scatter Slots'!E37</f>
        <v>0</v>
      </c>
      <c r="Z37" s="20"/>
      <c r="AA37" s="19"/>
      <c r="AB37" s="30"/>
      <c r="AC37" s="31"/>
      <c r="AD37" s="20">
        <f>Fishdom!D37</f>
        <v>5.4637966864800003</v>
      </c>
      <c r="AE37" s="19">
        <f>Fishdom!E37</f>
        <v>6.4081566075999996</v>
      </c>
      <c r="AF37" s="20">
        <f>Homescapes!D37</f>
        <v>1.8212655621599998</v>
      </c>
      <c r="AG37" s="19">
        <f>Homescapes!E37</f>
        <v>1.98</v>
      </c>
      <c r="AH37" s="20">
        <f>'Matchington Mansion'!D37</f>
        <v>0</v>
      </c>
      <c r="AI37" s="19">
        <f>'Matchington Mansion'!E37</f>
        <v>0</v>
      </c>
      <c r="AJ37" s="20">
        <f>'Hay Day'!D37</f>
        <v>0</v>
      </c>
      <c r="AK37" s="19">
        <f>'Hay Day'!E37</f>
        <v>0</v>
      </c>
      <c r="AL37" s="20">
        <f>Township!D37</f>
        <v>0.79600000000000004</v>
      </c>
      <c r="AM37" s="19">
        <f>Township!E37</f>
        <v>0</v>
      </c>
      <c r="AN37" s="20"/>
      <c r="AO37" s="19"/>
      <c r="AP37" s="20">
        <f>'Empires &amp; Puzzles'!D37</f>
        <v>0</v>
      </c>
      <c r="AQ37" s="19">
        <f>'Empires &amp; Puzzles'!E37</f>
        <v>0</v>
      </c>
      <c r="AR37" s="20">
        <f>'RAID Shadow Legends'!D37</f>
        <v>22.49</v>
      </c>
      <c r="AS37" s="19">
        <f>'RAID Shadow Legends'!E37</f>
        <v>0</v>
      </c>
      <c r="AT37" s="20">
        <f>'Rise of Kingdoms'!D37</f>
        <v>0</v>
      </c>
      <c r="AU37" s="19">
        <f>'Rise of Kingdoms'!E37</f>
        <v>2.3761904761904762</v>
      </c>
    </row>
    <row r="38" spans="1:47" ht="15.75" customHeight="1" x14ac:dyDescent="0.15">
      <c r="A38" s="16"/>
      <c r="B38" s="16"/>
      <c r="C38" s="16"/>
      <c r="D38" s="16"/>
      <c r="E38" s="16"/>
      <c r="F38" s="16"/>
      <c r="G38" s="16"/>
      <c r="H38" s="16"/>
      <c r="I38" s="16"/>
      <c r="J38" s="16"/>
      <c r="K38" s="16"/>
      <c r="L38" s="16"/>
      <c r="M38" s="16"/>
      <c r="N38" s="16"/>
      <c r="O38" s="17">
        <v>35</v>
      </c>
      <c r="P38" s="18">
        <f>'Bingo Party'!D38</f>
        <v>0.76769230769230767</v>
      </c>
      <c r="Q38" s="19">
        <f>'Bingo Party'!E38</f>
        <v>1.5353846153846153</v>
      </c>
      <c r="R38" s="20">
        <f>'Cash Frenzy'!D38</f>
        <v>0</v>
      </c>
      <c r="S38" s="19">
        <f>'Cash Frenzy'!E38</f>
        <v>0</v>
      </c>
      <c r="T38" s="20"/>
      <c r="U38" s="19"/>
      <c r="V38" s="20">
        <f>'Lotsa Slots'!D38</f>
        <v>0.99</v>
      </c>
      <c r="W38" s="19">
        <f>'Lotsa Slots'!E38</f>
        <v>0</v>
      </c>
      <c r="X38" s="20">
        <f>'Scatter Slots'!D38</f>
        <v>0</v>
      </c>
      <c r="Y38" s="19">
        <f>'Scatter Slots'!E38</f>
        <v>2.0791666666666666</v>
      </c>
      <c r="Z38" s="20"/>
      <c r="AA38" s="19"/>
      <c r="AB38" s="30"/>
      <c r="AC38" s="31"/>
      <c r="AD38" s="20">
        <f>Fishdom!D38</f>
        <v>1.617</v>
      </c>
      <c r="AE38" s="19">
        <f>Fishdom!E38</f>
        <v>0</v>
      </c>
      <c r="AF38" s="20">
        <f>Homescapes!D38</f>
        <v>0</v>
      </c>
      <c r="AG38" s="19">
        <f>Homescapes!E38</f>
        <v>5.4637966864799994</v>
      </c>
      <c r="AH38" s="20">
        <f>'Matchington Mansion'!D38</f>
        <v>2.9583254514424242</v>
      </c>
      <c r="AI38" s="19">
        <f>'Matchington Mansion'!E38</f>
        <v>0</v>
      </c>
      <c r="AJ38" s="20">
        <f>'Hay Day'!D38</f>
        <v>0</v>
      </c>
      <c r="AK38" s="19">
        <f>'Hay Day'!E38</f>
        <v>0</v>
      </c>
      <c r="AL38" s="20">
        <f>Township!D38</f>
        <v>0</v>
      </c>
      <c r="AM38" s="19">
        <f>Township!E38</f>
        <v>2.9850000000000003</v>
      </c>
      <c r="AN38" s="20"/>
      <c r="AO38" s="19"/>
      <c r="AP38" s="20">
        <f>'Empires &amp; Puzzles'!D38</f>
        <v>0</v>
      </c>
      <c r="AQ38" s="19">
        <f>'Empires &amp; Puzzles'!E38</f>
        <v>0</v>
      </c>
      <c r="AR38" s="20">
        <f>'RAID Shadow Legends'!D38</f>
        <v>3.6213142857142859</v>
      </c>
      <c r="AS38" s="19">
        <f>'RAID Shadow Legends'!E38</f>
        <v>0</v>
      </c>
      <c r="AT38" s="20">
        <f>'Rise of Kingdoms'!D38</f>
        <v>1.0455238095238097E-2</v>
      </c>
      <c r="AU38" s="19">
        <f>'Rise of Kingdoms'!E38</f>
        <v>0</v>
      </c>
    </row>
    <row r="39" spans="1:47" ht="15.75" customHeight="1" x14ac:dyDescent="0.15">
      <c r="A39" s="16"/>
      <c r="B39" s="16"/>
      <c r="C39" s="16"/>
      <c r="D39" s="16"/>
      <c r="E39" s="16"/>
      <c r="F39" s="16"/>
      <c r="G39" s="16"/>
      <c r="H39" s="16"/>
      <c r="I39" s="16"/>
      <c r="J39" s="16"/>
      <c r="K39" s="16"/>
      <c r="L39" s="16"/>
      <c r="M39" s="16"/>
      <c r="N39" s="16"/>
      <c r="O39" s="17">
        <v>36</v>
      </c>
      <c r="P39" s="18">
        <f>'Bingo Party'!D39</f>
        <v>0.49900000000000005</v>
      </c>
      <c r="Q39" s="19">
        <f>'Bingo Party'!E39</f>
        <v>2.4950000000000001</v>
      </c>
      <c r="R39" s="20">
        <f>'Cash Frenzy'!D39</f>
        <v>7.99</v>
      </c>
      <c r="S39" s="19">
        <f>'Cash Frenzy'!E39</f>
        <v>0</v>
      </c>
      <c r="T39" s="20"/>
      <c r="U39" s="19"/>
      <c r="V39" s="20">
        <f>'Lotsa Slots'!D39</f>
        <v>0</v>
      </c>
      <c r="W39" s="19">
        <f>'Lotsa Slots'!E39</f>
        <v>1.99</v>
      </c>
      <c r="X39" s="20">
        <f>'Scatter Slots'!D39</f>
        <v>0</v>
      </c>
      <c r="Y39" s="19">
        <f>'Scatter Slots'!E39</f>
        <v>2.4950000000000001</v>
      </c>
      <c r="Z39" s="20"/>
      <c r="AA39" s="19"/>
      <c r="AB39" s="30"/>
      <c r="AC39" s="31"/>
      <c r="AD39" s="20">
        <f>Fishdom!D39</f>
        <v>0</v>
      </c>
      <c r="AE39" s="19">
        <f>Fishdom!E39</f>
        <v>2.673</v>
      </c>
      <c r="AF39" s="20">
        <f>Homescapes!D39</f>
        <v>0</v>
      </c>
      <c r="AG39" s="19">
        <f>Homescapes!E39</f>
        <v>6.5833177083333325</v>
      </c>
      <c r="AH39" s="20">
        <f>'Matchington Mansion'!D39</f>
        <v>0</v>
      </c>
      <c r="AI39" s="19">
        <f>'Matchington Mansion'!E39</f>
        <v>6.485133707595959</v>
      </c>
      <c r="AJ39" s="20">
        <f>'Hay Day'!D39</f>
        <v>0</v>
      </c>
      <c r="AK39" s="19">
        <f>'Hay Day'!E39</f>
        <v>0</v>
      </c>
      <c r="AL39" s="20">
        <f>Township!D39</f>
        <v>0</v>
      </c>
      <c r="AM39" s="19">
        <f>Township!E39</f>
        <v>0</v>
      </c>
      <c r="AN39" s="20"/>
      <c r="AO39" s="19"/>
      <c r="AP39" s="20">
        <f>'Empires &amp; Puzzles'!D39</f>
        <v>1.4969999999999999E-5</v>
      </c>
      <c r="AQ39" s="19">
        <f>'Empires &amp; Puzzles'!E39</f>
        <v>2.9939999999999998E-5</v>
      </c>
      <c r="AR39" s="20">
        <f>'RAID Shadow Legends'!D39</f>
        <v>1.1405714285714286</v>
      </c>
      <c r="AS39" s="19">
        <f>'RAID Shadow Legends'!E39</f>
        <v>22.49</v>
      </c>
      <c r="AT39" s="20">
        <f>'Rise of Kingdoms'!D39</f>
        <v>0</v>
      </c>
      <c r="AU39" s="19">
        <f>'Rise of Kingdoms'!E39</f>
        <v>6.970158730158731E-3</v>
      </c>
    </row>
    <row r="40" spans="1:47" ht="15.75" customHeight="1" x14ac:dyDescent="0.15">
      <c r="A40" s="16"/>
      <c r="B40" s="16"/>
      <c r="C40" s="16"/>
      <c r="D40" s="16"/>
      <c r="E40" s="16"/>
      <c r="F40" s="16"/>
      <c r="G40" s="16"/>
      <c r="H40" s="16"/>
      <c r="I40" s="16"/>
      <c r="J40" s="16"/>
      <c r="K40" s="16"/>
      <c r="L40" s="16"/>
      <c r="M40" s="16"/>
      <c r="N40" s="16"/>
      <c r="O40" s="17">
        <v>37</v>
      </c>
      <c r="P40" s="18">
        <f>'Bingo Party'!D40</f>
        <v>0</v>
      </c>
      <c r="Q40" s="19">
        <f>'Bingo Party'!E40</f>
        <v>0</v>
      </c>
      <c r="R40" s="20">
        <f>'Cash Frenzy'!D40</f>
        <v>0</v>
      </c>
      <c r="S40" s="19">
        <f>'Cash Frenzy'!E40</f>
        <v>0</v>
      </c>
      <c r="T40" s="20"/>
      <c r="U40" s="19"/>
      <c r="V40" s="20">
        <f>'Lotsa Slots'!D40</f>
        <v>0</v>
      </c>
      <c r="W40" s="19">
        <f>'Lotsa Slots'!E40</f>
        <v>0</v>
      </c>
      <c r="X40" s="20">
        <f>'Scatter Slots'!D40</f>
        <v>0</v>
      </c>
      <c r="Y40" s="19">
        <f>'Scatter Slots'!E40</f>
        <v>0</v>
      </c>
      <c r="Z40" s="20"/>
      <c r="AA40" s="19"/>
      <c r="AB40" s="30"/>
      <c r="AC40" s="31"/>
      <c r="AD40" s="30"/>
      <c r="AE40" s="31"/>
      <c r="AF40" s="20">
        <f>Homescapes!D40</f>
        <v>0</v>
      </c>
      <c r="AG40" s="19">
        <f>Homescapes!E40</f>
        <v>0</v>
      </c>
      <c r="AH40" s="30"/>
      <c r="AI40" s="31"/>
      <c r="AJ40" s="20">
        <f>'Hay Day'!D40</f>
        <v>0</v>
      </c>
      <c r="AK40" s="19">
        <f>'Hay Day'!E40</f>
        <v>0</v>
      </c>
      <c r="AL40" s="20">
        <f>Township!D40</f>
        <v>0</v>
      </c>
      <c r="AM40" s="19">
        <f>Township!E40</f>
        <v>0</v>
      </c>
      <c r="AN40" s="20"/>
      <c r="AO40" s="19"/>
      <c r="AP40" s="20">
        <f>'Empires &amp; Puzzles'!D40</f>
        <v>0</v>
      </c>
      <c r="AQ40" s="19">
        <f>'Empires &amp; Puzzles'!E40</f>
        <v>3.7009166666666671</v>
      </c>
      <c r="AR40" s="20">
        <f>'RAID Shadow Legends'!D40</f>
        <v>0.85542857142857143</v>
      </c>
      <c r="AS40" s="19">
        <f>'RAID Shadow Legends'!E40</f>
        <v>0.47523809523809524</v>
      </c>
      <c r="AT40" s="20">
        <f>'Rise of Kingdoms'!D40</f>
        <v>0</v>
      </c>
      <c r="AU40" s="19">
        <f>'Rise of Kingdoms'!E40</f>
        <v>5.97</v>
      </c>
    </row>
    <row r="41" spans="1:47" ht="15.75" customHeight="1" x14ac:dyDescent="0.15">
      <c r="A41" s="16"/>
      <c r="B41" s="16"/>
      <c r="C41" s="16"/>
      <c r="D41" s="16"/>
      <c r="E41" s="16"/>
      <c r="F41" s="16"/>
      <c r="G41" s="16"/>
      <c r="H41" s="16"/>
      <c r="I41" s="16"/>
      <c r="J41" s="16"/>
      <c r="K41" s="16"/>
      <c r="L41" s="16"/>
      <c r="M41" s="16"/>
      <c r="N41" s="16"/>
      <c r="O41" s="17">
        <v>38</v>
      </c>
      <c r="P41" s="17"/>
      <c r="Q41" s="31"/>
      <c r="R41" s="20">
        <f>'Cash Frenzy'!D41</f>
        <v>0</v>
      </c>
      <c r="S41" s="19">
        <f>'Cash Frenzy'!E41</f>
        <v>0</v>
      </c>
      <c r="T41" s="30"/>
      <c r="U41" s="31"/>
      <c r="V41" s="20">
        <f>'Lotsa Slots'!D41</f>
        <v>0</v>
      </c>
      <c r="W41" s="19">
        <f>'Lotsa Slots'!E41</f>
        <v>0</v>
      </c>
      <c r="X41" s="20">
        <f>'Scatter Slots'!D41</f>
        <v>4.5741666666666667</v>
      </c>
      <c r="Y41" s="19">
        <f>'Scatter Slots'!E41</f>
        <v>4.99</v>
      </c>
      <c r="Z41" s="20"/>
      <c r="AA41" s="19"/>
      <c r="AB41" s="30"/>
      <c r="AC41" s="31"/>
      <c r="AD41" s="30"/>
      <c r="AE41" s="31"/>
      <c r="AF41" s="30"/>
      <c r="AG41" s="31"/>
      <c r="AH41" s="30"/>
      <c r="AI41" s="31"/>
      <c r="AJ41" s="20">
        <f>'Hay Day'!D41</f>
        <v>0</v>
      </c>
      <c r="AK41" s="19">
        <f>'Hay Day'!E41</f>
        <v>0</v>
      </c>
      <c r="AL41" s="20">
        <f>Township!D41</f>
        <v>0</v>
      </c>
      <c r="AM41" s="19">
        <f>Township!E41</f>
        <v>0</v>
      </c>
      <c r="AN41" s="30"/>
      <c r="AO41" s="31"/>
      <c r="AP41" s="20">
        <f>'Empires &amp; Puzzles'!D41</f>
        <v>3.7425000000000002</v>
      </c>
      <c r="AQ41" s="19">
        <f>'Empires &amp; Puzzles'!E41</f>
        <v>7.4850000000000003</v>
      </c>
      <c r="AR41" s="20">
        <f>'RAID Shadow Legends'!D41</f>
        <v>0.35642857142857143</v>
      </c>
      <c r="AS41" s="19">
        <f>'RAID Shadow Legends'!E41</f>
        <v>2.2811428571428571</v>
      </c>
      <c r="AT41" s="20">
        <f>'Rise of Kingdoms'!D41</f>
        <v>0</v>
      </c>
      <c r="AU41" s="19">
        <f>'Rise of Kingdoms'!E41</f>
        <v>5.7028571428571428</v>
      </c>
    </row>
    <row r="42" spans="1:47" ht="15.75" customHeight="1" x14ac:dyDescent="0.15">
      <c r="A42" s="16"/>
      <c r="B42" s="16"/>
      <c r="C42" s="16"/>
      <c r="D42" s="16"/>
      <c r="E42" s="16"/>
      <c r="F42" s="16"/>
      <c r="G42" s="16"/>
      <c r="H42" s="16"/>
      <c r="I42" s="16"/>
      <c r="J42" s="16"/>
      <c r="K42" s="16"/>
      <c r="L42" s="16"/>
      <c r="M42" s="16"/>
      <c r="N42" s="16"/>
      <c r="O42" s="17">
        <v>39</v>
      </c>
      <c r="P42" s="17"/>
      <c r="Q42" s="31"/>
      <c r="R42" s="20">
        <f>'Cash Frenzy'!D42</f>
        <v>0</v>
      </c>
      <c r="S42" s="19">
        <f>'Cash Frenzy'!E42</f>
        <v>5.99</v>
      </c>
      <c r="T42" s="30"/>
      <c r="U42" s="31"/>
      <c r="V42" s="20">
        <f>'Lotsa Slots'!D42</f>
        <v>0</v>
      </c>
      <c r="W42" s="19">
        <f>'Lotsa Slots'!E42</f>
        <v>0</v>
      </c>
      <c r="X42" s="20">
        <f>'Scatter Slots'!D42</f>
        <v>0</v>
      </c>
      <c r="Y42" s="19">
        <f>'Scatter Slots'!E42</f>
        <v>0</v>
      </c>
      <c r="Z42" s="20"/>
      <c r="AA42" s="19"/>
      <c r="AB42" s="30"/>
      <c r="AC42" s="31"/>
      <c r="AD42" s="30"/>
      <c r="AE42" s="31"/>
      <c r="AF42" s="30"/>
      <c r="AG42" s="31"/>
      <c r="AH42" s="30"/>
      <c r="AI42" s="31"/>
      <c r="AJ42" s="20">
        <f>'Hay Day'!D42</f>
        <v>0</v>
      </c>
      <c r="AK42" s="19">
        <f>'Hay Day'!E42</f>
        <v>0</v>
      </c>
      <c r="AL42" s="20">
        <f>Township!D42</f>
        <v>0</v>
      </c>
      <c r="AM42" s="19">
        <f>Township!E42</f>
        <v>0</v>
      </c>
      <c r="AN42" s="30"/>
      <c r="AO42" s="31"/>
      <c r="AP42" s="20">
        <f>'Empires &amp; Puzzles'!D42</f>
        <v>0</v>
      </c>
      <c r="AQ42" s="19">
        <f>'Empires &amp; Puzzles'!E42</f>
        <v>3.7425000000000002</v>
      </c>
      <c r="AR42" s="20">
        <f>'RAID Shadow Legends'!D42</f>
        <v>1.1405714285714286</v>
      </c>
      <c r="AS42" s="19">
        <f>'RAID Shadow Legends'!E42</f>
        <v>1.3306666666666667</v>
      </c>
      <c r="AT42" s="20">
        <f>'Rise of Kingdoms'!D42</f>
        <v>1.1880952380952381</v>
      </c>
      <c r="AU42" s="19">
        <f>'Rise of Kingdoms'!E42</f>
        <v>1.1308686507936507</v>
      </c>
    </row>
    <row r="43" spans="1:47" ht="15.75" customHeight="1" x14ac:dyDescent="0.15">
      <c r="A43" s="16"/>
      <c r="B43" s="16"/>
      <c r="C43" s="16"/>
      <c r="D43" s="16"/>
      <c r="E43" s="16"/>
      <c r="F43" s="16"/>
      <c r="G43" s="16"/>
      <c r="H43" s="16"/>
      <c r="I43" s="16"/>
      <c r="J43" s="16"/>
      <c r="K43" s="16"/>
      <c r="L43" s="16"/>
      <c r="M43" s="16"/>
      <c r="N43" s="16"/>
      <c r="O43" s="17">
        <v>40</v>
      </c>
      <c r="P43" s="17"/>
      <c r="Q43" s="31"/>
      <c r="R43" s="20">
        <f>'Cash Frenzy'!D43</f>
        <v>0</v>
      </c>
      <c r="S43" s="19">
        <f>'Cash Frenzy'!E43</f>
        <v>0</v>
      </c>
      <c r="T43" s="30"/>
      <c r="U43" s="31"/>
      <c r="V43" s="20">
        <f>'Lotsa Slots'!D43</f>
        <v>0</v>
      </c>
      <c r="W43" s="19">
        <f>'Lotsa Slots'!E43</f>
        <v>9.99</v>
      </c>
      <c r="X43" s="20">
        <f>'Scatter Slots'!D43</f>
        <v>0</v>
      </c>
      <c r="Y43" s="19">
        <f>'Scatter Slots'!E43</f>
        <v>0</v>
      </c>
      <c r="Z43" s="20"/>
      <c r="AA43" s="19"/>
      <c r="AB43" s="30"/>
      <c r="AC43" s="31"/>
      <c r="AD43" s="30"/>
      <c r="AE43" s="31"/>
      <c r="AF43" s="30"/>
      <c r="AG43" s="31"/>
      <c r="AH43" s="30"/>
      <c r="AI43" s="31"/>
      <c r="AJ43" s="20">
        <f>'Hay Day'!D43</f>
        <v>0</v>
      </c>
      <c r="AK43" s="19">
        <f>'Hay Day'!E43</f>
        <v>0</v>
      </c>
      <c r="AL43" s="20">
        <f>Township!D43</f>
        <v>0</v>
      </c>
      <c r="AM43" s="19">
        <f>Township!E43</f>
        <v>0</v>
      </c>
      <c r="AN43" s="30"/>
      <c r="AO43" s="31"/>
      <c r="AP43" s="20">
        <f>'Empires &amp; Puzzles'!D43</f>
        <v>1.4803666666666668</v>
      </c>
      <c r="AQ43" s="19">
        <f>'Empires &amp; Puzzles'!E43</f>
        <v>3.7009166666666671</v>
      </c>
      <c r="AR43" s="20">
        <f>'RAID Shadow Legends'!D43</f>
        <v>4.9950000000000001</v>
      </c>
      <c r="AS43" s="19">
        <f>'RAID Shadow Legends'!E43</f>
        <v>24.99</v>
      </c>
      <c r="AT43" s="20">
        <f>'Rise of Kingdoms'!D43</f>
        <v>1.9009523809523809</v>
      </c>
      <c r="AU43" s="19">
        <f>'Rise of Kingdoms'!E43</f>
        <v>66.005291005291014</v>
      </c>
    </row>
    <row r="44" spans="1:47" ht="15.75" customHeight="1" x14ac:dyDescent="0.15">
      <c r="A44" s="16"/>
      <c r="B44" s="16"/>
      <c r="C44" s="16"/>
      <c r="D44" s="16"/>
      <c r="E44" s="16"/>
      <c r="F44" s="16"/>
      <c r="G44" s="16"/>
      <c r="H44" s="16"/>
      <c r="I44" s="16"/>
      <c r="J44" s="16"/>
      <c r="K44" s="16"/>
      <c r="L44" s="16"/>
      <c r="M44" s="16"/>
      <c r="N44" s="16"/>
      <c r="O44" s="17">
        <v>41</v>
      </c>
      <c r="P44" s="17"/>
      <c r="Q44" s="31"/>
      <c r="R44" s="20">
        <f>'Cash Frenzy'!D44</f>
        <v>0</v>
      </c>
      <c r="S44" s="19">
        <f>'Cash Frenzy'!E44</f>
        <v>0</v>
      </c>
      <c r="T44" s="30"/>
      <c r="U44" s="31"/>
      <c r="V44" s="20">
        <f>'Lotsa Slots'!D44</f>
        <v>0</v>
      </c>
      <c r="W44" s="19">
        <f>'Lotsa Slots'!E44</f>
        <v>0</v>
      </c>
      <c r="X44" s="20">
        <f>'Scatter Slots'!D44</f>
        <v>0</v>
      </c>
      <c r="Y44" s="19">
        <f>'Scatter Slots'!E44</f>
        <v>1.0395833333333333</v>
      </c>
      <c r="Z44" s="20"/>
      <c r="AA44" s="19"/>
      <c r="AB44" s="30"/>
      <c r="AC44" s="31"/>
      <c r="AD44" s="30"/>
      <c r="AE44" s="31"/>
      <c r="AF44" s="30"/>
      <c r="AG44" s="31"/>
      <c r="AH44" s="30"/>
      <c r="AI44" s="31"/>
      <c r="AJ44" s="20">
        <f>'Hay Day'!D44</f>
        <v>0</v>
      </c>
      <c r="AK44" s="19">
        <f>'Hay Day'!E44</f>
        <v>0</v>
      </c>
      <c r="AL44" s="30"/>
      <c r="AM44" s="31"/>
      <c r="AN44" s="30"/>
      <c r="AO44" s="31"/>
      <c r="AP44" s="20">
        <f>'Empires &amp; Puzzles'!D44</f>
        <v>0</v>
      </c>
      <c r="AQ44" s="19">
        <f>'Empires &amp; Puzzles'!E44</f>
        <v>0.87324999999999997</v>
      </c>
      <c r="AR44" s="20">
        <f>'RAID Shadow Legends'!D44</f>
        <v>1.1405714285714286</v>
      </c>
      <c r="AS44" s="19">
        <f>'RAID Shadow Legends'!E44</f>
        <v>2.8514285714285714</v>
      </c>
      <c r="AT44" s="20">
        <f>'Rise of Kingdoms'!D44</f>
        <v>0</v>
      </c>
      <c r="AU44" s="19">
        <f>'Rise of Kingdoms'!E44</f>
        <v>20.910476190476185</v>
      </c>
    </row>
    <row r="45" spans="1:47" ht="15.75" customHeight="1" x14ac:dyDescent="0.15">
      <c r="A45" s="16"/>
      <c r="B45" s="16"/>
      <c r="C45" s="16"/>
      <c r="D45" s="16"/>
      <c r="E45" s="16"/>
      <c r="F45" s="16"/>
      <c r="G45" s="16"/>
      <c r="H45" s="16"/>
      <c r="I45" s="16"/>
      <c r="J45" s="16"/>
      <c r="K45" s="16"/>
      <c r="L45" s="16"/>
      <c r="M45" s="16"/>
      <c r="N45" s="16"/>
      <c r="O45" s="17">
        <v>42</v>
      </c>
      <c r="P45" s="17"/>
      <c r="Q45" s="31"/>
      <c r="R45" s="20">
        <f>'Cash Frenzy'!D45</f>
        <v>0</v>
      </c>
      <c r="S45" s="19">
        <f>'Cash Frenzy'!E45</f>
        <v>0.995</v>
      </c>
      <c r="T45" s="30"/>
      <c r="U45" s="31"/>
      <c r="V45" s="20">
        <f>'Lotsa Slots'!D45</f>
        <v>0</v>
      </c>
      <c r="W45" s="19">
        <f>'Lotsa Slots'!E45</f>
        <v>0</v>
      </c>
      <c r="X45" s="20">
        <f>'Scatter Slots'!D45</f>
        <v>0</v>
      </c>
      <c r="Y45" s="19">
        <f>'Scatter Slots'!E45</f>
        <v>0</v>
      </c>
      <c r="Z45" s="20"/>
      <c r="AA45" s="19"/>
      <c r="AB45" s="30"/>
      <c r="AC45" s="31"/>
      <c r="AD45" s="30"/>
      <c r="AE45" s="31"/>
      <c r="AF45" s="30"/>
      <c r="AG45" s="31"/>
      <c r="AH45" s="30"/>
      <c r="AI45" s="31"/>
      <c r="AJ45" s="30"/>
      <c r="AK45" s="31"/>
      <c r="AL45" s="30"/>
      <c r="AM45" s="31"/>
      <c r="AN45" s="30"/>
      <c r="AO45" s="31"/>
      <c r="AP45" s="20">
        <f>'Empires &amp; Puzzles'!D45</f>
        <v>1.4969999999999999E-5</v>
      </c>
      <c r="AQ45" s="19">
        <f>'Empires &amp; Puzzles'!E45</f>
        <v>2.9939999999999998E-5</v>
      </c>
      <c r="AR45" s="20">
        <f>'RAID Shadow Legends'!D45</f>
        <v>2.8514285714285714</v>
      </c>
      <c r="AS45" s="19">
        <f>'RAID Shadow Legends'!E45</f>
        <v>1.4257142857142857</v>
      </c>
      <c r="AT45" s="20">
        <f>'Rise of Kingdoms'!D45</f>
        <v>0.85542857142857143</v>
      </c>
      <c r="AU45" s="19">
        <f>'Rise of Kingdoms'!E45</f>
        <v>1.7108571428571429</v>
      </c>
    </row>
    <row r="46" spans="1:47" ht="15.75" customHeight="1" x14ac:dyDescent="0.15">
      <c r="A46" s="16"/>
      <c r="B46" s="16"/>
      <c r="C46" s="16"/>
      <c r="D46" s="16"/>
      <c r="E46" s="16"/>
      <c r="F46" s="16"/>
      <c r="G46" s="16"/>
      <c r="H46" s="16"/>
      <c r="I46" s="16"/>
      <c r="J46" s="16"/>
      <c r="K46" s="16"/>
      <c r="L46" s="16"/>
      <c r="M46" s="16"/>
      <c r="N46" s="16"/>
      <c r="O46" s="17">
        <v>43</v>
      </c>
      <c r="P46" s="17"/>
      <c r="Q46" s="31"/>
      <c r="R46" s="20">
        <f>'Cash Frenzy'!D46</f>
        <v>0</v>
      </c>
      <c r="S46" s="19">
        <f>'Cash Frenzy'!E46</f>
        <v>0</v>
      </c>
      <c r="T46" s="30"/>
      <c r="U46" s="31"/>
      <c r="V46" s="20">
        <f>'Lotsa Slots'!D46</f>
        <v>0</v>
      </c>
      <c r="W46" s="19">
        <f>'Lotsa Slots'!E46</f>
        <v>0</v>
      </c>
      <c r="X46" s="20">
        <f>'Scatter Slots'!D46</f>
        <v>0</v>
      </c>
      <c r="Y46" s="19">
        <f>'Scatter Slots'!E46</f>
        <v>4.1167500000000006</v>
      </c>
      <c r="Z46" s="20"/>
      <c r="AA46" s="19"/>
      <c r="AB46" s="30"/>
      <c r="AC46" s="31"/>
      <c r="AD46" s="30"/>
      <c r="AE46" s="31"/>
      <c r="AF46" s="30"/>
      <c r="AG46" s="31"/>
      <c r="AH46" s="30"/>
      <c r="AI46" s="31"/>
      <c r="AJ46" s="20"/>
      <c r="AK46" s="19"/>
      <c r="AL46" s="30"/>
      <c r="AM46" s="31"/>
      <c r="AN46" s="30"/>
      <c r="AO46" s="31"/>
      <c r="AP46" s="20">
        <f>'Empires &amp; Puzzles'!D46</f>
        <v>0</v>
      </c>
      <c r="AQ46" s="19">
        <f>'Empires &amp; Puzzles'!E46</f>
        <v>7.4850000000000003</v>
      </c>
      <c r="AR46" s="20">
        <f>'RAID Shadow Legends'!D46</f>
        <v>0.28514285714285714</v>
      </c>
      <c r="AS46" s="19">
        <f>'RAID Shadow Legends'!E46</f>
        <v>2.2811428571428571</v>
      </c>
      <c r="AT46" s="20">
        <f>'Rise of Kingdoms'!D46</f>
        <v>0</v>
      </c>
      <c r="AU46" s="19">
        <f>'Rise of Kingdoms'!E46</f>
        <v>0</v>
      </c>
    </row>
    <row r="47" spans="1:47" ht="15.75" customHeight="1" x14ac:dyDescent="0.15">
      <c r="A47" s="16"/>
      <c r="B47" s="16"/>
      <c r="C47" s="16"/>
      <c r="D47" s="16"/>
      <c r="E47" s="16"/>
      <c r="F47" s="16"/>
      <c r="G47" s="16"/>
      <c r="H47" s="16"/>
      <c r="I47" s="16"/>
      <c r="J47" s="16"/>
      <c r="K47" s="16"/>
      <c r="L47" s="16"/>
      <c r="M47" s="16"/>
      <c r="N47" s="16"/>
      <c r="O47" s="17">
        <v>44</v>
      </c>
      <c r="P47" s="17"/>
      <c r="Q47" s="31"/>
      <c r="R47" s="20">
        <f>'Cash Frenzy'!D47</f>
        <v>0</v>
      </c>
      <c r="S47" s="19">
        <f>'Cash Frenzy'!E47</f>
        <v>7.9840000000000009</v>
      </c>
      <c r="T47" s="30"/>
      <c r="U47" s="31"/>
      <c r="V47" s="20">
        <f>'Lotsa Slots'!D47</f>
        <v>0</v>
      </c>
      <c r="W47" s="19">
        <f>'Lotsa Slots'!E47</f>
        <v>0</v>
      </c>
      <c r="X47" s="20">
        <f>'Scatter Slots'!D47</f>
        <v>0</v>
      </c>
      <c r="Y47" s="19">
        <f>'Scatter Slots'!E47</f>
        <v>0</v>
      </c>
      <c r="Z47" s="20"/>
      <c r="AA47" s="19"/>
      <c r="AB47" s="30"/>
      <c r="AC47" s="31"/>
      <c r="AD47" s="30"/>
      <c r="AE47" s="31"/>
      <c r="AF47" s="30"/>
      <c r="AG47" s="31"/>
      <c r="AH47" s="30"/>
      <c r="AI47" s="31"/>
      <c r="AJ47" s="20"/>
      <c r="AK47" s="19"/>
      <c r="AL47" s="30"/>
      <c r="AM47" s="31"/>
      <c r="AN47" s="30"/>
      <c r="AO47" s="31"/>
      <c r="AP47" s="20">
        <f>'Empires &amp; Puzzles'!D47</f>
        <v>8.4206249999999994</v>
      </c>
      <c r="AQ47" s="19">
        <f>'Empires &amp; Puzzles'!E47</f>
        <v>8.4206249999999994</v>
      </c>
      <c r="AR47" s="20">
        <f>'RAID Shadow Legends'!D47</f>
        <v>33.323333333333331</v>
      </c>
      <c r="AS47" s="19">
        <f>'RAID Shadow Legends'!E47</f>
        <v>0</v>
      </c>
      <c r="AT47" s="20">
        <f>'Rise of Kingdoms'!D47</f>
        <v>1.1880952380952381</v>
      </c>
      <c r="AU47" s="19">
        <f>'Rise of Kingdoms'!E47</f>
        <v>2.3761904761904762</v>
      </c>
    </row>
    <row r="48" spans="1:47" ht="15.75" customHeight="1" x14ac:dyDescent="0.15">
      <c r="A48" s="16"/>
      <c r="B48" s="16"/>
      <c r="C48" s="16"/>
      <c r="D48" s="16"/>
      <c r="E48" s="16"/>
      <c r="F48" s="16"/>
      <c r="G48" s="16"/>
      <c r="H48" s="16"/>
      <c r="I48" s="16"/>
      <c r="J48" s="16"/>
      <c r="K48" s="16"/>
      <c r="L48" s="16"/>
      <c r="M48" s="16"/>
      <c r="N48" s="16"/>
      <c r="O48" s="17">
        <v>45</v>
      </c>
      <c r="P48" s="17"/>
      <c r="Q48" s="31"/>
      <c r="R48" s="20">
        <f>'Cash Frenzy'!D48</f>
        <v>0</v>
      </c>
      <c r="S48" s="19">
        <f>'Cash Frenzy'!E48</f>
        <v>0</v>
      </c>
      <c r="T48" s="30"/>
      <c r="U48" s="31"/>
      <c r="V48" s="20">
        <f>'Lotsa Slots'!D48</f>
        <v>0</v>
      </c>
      <c r="W48" s="19">
        <f>'Lotsa Slots'!E48</f>
        <v>0</v>
      </c>
      <c r="X48" s="20">
        <f>'Scatter Slots'!D48</f>
        <v>0</v>
      </c>
      <c r="Y48" s="19">
        <f>'Scatter Slots'!E48</f>
        <v>0</v>
      </c>
      <c r="Z48" s="20"/>
      <c r="AA48" s="19"/>
      <c r="AB48" s="30"/>
      <c r="AC48" s="31"/>
      <c r="AD48" s="30"/>
      <c r="AE48" s="31"/>
      <c r="AF48" s="30"/>
      <c r="AG48" s="31"/>
      <c r="AH48" s="30"/>
      <c r="AI48" s="31"/>
      <c r="AJ48" s="20"/>
      <c r="AK48" s="19"/>
      <c r="AL48" s="30"/>
      <c r="AM48" s="31"/>
      <c r="AN48" s="30"/>
      <c r="AO48" s="31"/>
      <c r="AP48" s="20">
        <f>'Empires &amp; Puzzles'!D48</f>
        <v>0</v>
      </c>
      <c r="AQ48" s="19">
        <f>'Empires &amp; Puzzles'!E48</f>
        <v>0</v>
      </c>
      <c r="AR48" s="20">
        <f>'RAID Shadow Legends'!D48</f>
        <v>1.3306666666666667</v>
      </c>
      <c r="AS48" s="19">
        <f>'RAID Shadow Legends'!E48</f>
        <v>19.019028571428571</v>
      </c>
      <c r="AT48" s="20">
        <f>'Rise of Kingdoms'!D48</f>
        <v>11.405714285714286</v>
      </c>
      <c r="AU48" s="19">
        <f>'Rise of Kingdoms'!E48</f>
        <v>0</v>
      </c>
    </row>
    <row r="49" spans="1:47" ht="15.75" customHeight="1" x14ac:dyDescent="0.15">
      <c r="A49" s="16"/>
      <c r="B49" s="16"/>
      <c r="C49" s="16"/>
      <c r="D49" s="16"/>
      <c r="E49" s="16"/>
      <c r="F49" s="16"/>
      <c r="G49" s="16"/>
      <c r="H49" s="16"/>
      <c r="I49" s="16"/>
      <c r="J49" s="16"/>
      <c r="K49" s="16"/>
      <c r="L49" s="16"/>
      <c r="M49" s="16"/>
      <c r="N49" s="16"/>
      <c r="O49" s="17">
        <v>46</v>
      </c>
      <c r="P49" s="17"/>
      <c r="Q49" s="31"/>
      <c r="R49" s="20">
        <f>'Cash Frenzy'!D49</f>
        <v>9.99</v>
      </c>
      <c r="S49" s="19">
        <f>'Cash Frenzy'!E49</f>
        <v>0</v>
      </c>
      <c r="T49" s="30"/>
      <c r="U49" s="31"/>
      <c r="V49" s="20">
        <f>'Lotsa Slots'!D49</f>
        <v>0</v>
      </c>
      <c r="W49" s="19">
        <f>'Lotsa Slots'!E49</f>
        <v>1.99</v>
      </c>
      <c r="X49" s="20">
        <f>'Scatter Slots'!D49</f>
        <v>4.5741666666666667</v>
      </c>
      <c r="Y49" s="19">
        <f>'Scatter Slots'!E49</f>
        <v>0</v>
      </c>
      <c r="Z49" s="20"/>
      <c r="AA49" s="19"/>
      <c r="AB49" s="30"/>
      <c r="AC49" s="31"/>
      <c r="AD49" s="30"/>
      <c r="AE49" s="31"/>
      <c r="AF49" s="30"/>
      <c r="AG49" s="31"/>
      <c r="AH49" s="30"/>
      <c r="AI49" s="31"/>
      <c r="AJ49" s="20"/>
      <c r="AK49" s="19"/>
      <c r="AL49" s="30"/>
      <c r="AM49" s="31"/>
      <c r="AN49" s="30"/>
      <c r="AO49" s="31"/>
      <c r="AP49" s="20">
        <f>'Empires &amp; Puzzles'!D49</f>
        <v>1.4969999999999999E-5</v>
      </c>
      <c r="AQ49" s="19">
        <f>'Empires &amp; Puzzles'!E49</f>
        <v>2.9939999999999998E-5</v>
      </c>
      <c r="AR49" s="20">
        <f>'RAID Shadow Legends'!D49</f>
        <v>1.1405714285714286</v>
      </c>
      <c r="AS49" s="19">
        <f>'RAID Shadow Legends'!E49</f>
        <v>33.323333333333331</v>
      </c>
      <c r="AT49" s="20">
        <f>'Rise of Kingdoms'!D49</f>
        <v>0</v>
      </c>
      <c r="AU49" s="19">
        <f>'Rise of Kingdoms'!E49</f>
        <v>8.7126984126984136E-2</v>
      </c>
    </row>
    <row r="50" spans="1:47" ht="15.75" customHeight="1" x14ac:dyDescent="0.15">
      <c r="A50" s="16"/>
      <c r="B50" s="16"/>
      <c r="C50" s="16"/>
      <c r="D50" s="16"/>
      <c r="E50" s="16"/>
      <c r="F50" s="16"/>
      <c r="G50" s="16"/>
      <c r="H50" s="16"/>
      <c r="I50" s="16"/>
      <c r="J50" s="16"/>
      <c r="K50" s="16"/>
      <c r="L50" s="16"/>
      <c r="M50" s="16"/>
      <c r="N50" s="16"/>
      <c r="O50" s="17">
        <v>47</v>
      </c>
      <c r="P50" s="17"/>
      <c r="Q50" s="31"/>
      <c r="R50" s="20">
        <f>'Cash Frenzy'!D50</f>
        <v>0</v>
      </c>
      <c r="S50" s="19">
        <f>'Cash Frenzy'!E50</f>
        <v>0</v>
      </c>
      <c r="T50" s="30"/>
      <c r="U50" s="31"/>
      <c r="V50" s="20">
        <f>'Lotsa Slots'!D50</f>
        <v>0</v>
      </c>
      <c r="W50" s="19">
        <f>'Lotsa Slots'!E50</f>
        <v>0</v>
      </c>
      <c r="X50" s="20">
        <f>'Scatter Slots'!D50</f>
        <v>0</v>
      </c>
      <c r="Y50" s="19">
        <f>'Scatter Slots'!E50</f>
        <v>2.5781666666666667</v>
      </c>
      <c r="Z50" s="20"/>
      <c r="AA50" s="19"/>
      <c r="AB50" s="30"/>
      <c r="AC50" s="31"/>
      <c r="AD50" s="30"/>
      <c r="AE50" s="31"/>
      <c r="AF50" s="30"/>
      <c r="AG50" s="31"/>
      <c r="AH50" s="30"/>
      <c r="AI50" s="31"/>
      <c r="AJ50" s="20"/>
      <c r="AK50" s="19"/>
      <c r="AL50" s="30"/>
      <c r="AM50" s="31"/>
      <c r="AN50" s="30"/>
      <c r="AO50" s="31"/>
      <c r="AP50" s="20">
        <f>'Empires &amp; Puzzles'!D50</f>
        <v>0</v>
      </c>
      <c r="AQ50" s="19">
        <f>'Empires &amp; Puzzles'!E50</f>
        <v>0</v>
      </c>
      <c r="AR50" s="20">
        <f>'RAID Shadow Legends'!D50</f>
        <v>0.85542857142857143</v>
      </c>
      <c r="AS50" s="19">
        <f>'RAID Shadow Legends'!E50</f>
        <v>0.47523809523809524</v>
      </c>
      <c r="AT50" s="20">
        <f>'Rise of Kingdoms'!D50</f>
        <v>2.6138095238095242E-2</v>
      </c>
      <c r="AU50" s="19">
        <f>'Rise of Kingdoms'!E50</f>
        <v>8.7126984126984136E-2</v>
      </c>
    </row>
    <row r="51" spans="1:47" ht="15.75" customHeight="1" x14ac:dyDescent="0.15">
      <c r="A51" s="16"/>
      <c r="B51" s="16"/>
      <c r="C51" s="16"/>
      <c r="D51" s="16"/>
      <c r="E51" s="16"/>
      <c r="F51" s="16"/>
      <c r="G51" s="16"/>
      <c r="H51" s="16"/>
      <c r="I51" s="16"/>
      <c r="J51" s="16"/>
      <c r="K51" s="16"/>
      <c r="L51" s="16"/>
      <c r="M51" s="16"/>
      <c r="N51" s="16"/>
      <c r="O51" s="17">
        <v>48</v>
      </c>
      <c r="P51" s="17"/>
      <c r="Q51" s="31"/>
      <c r="R51" s="20">
        <f>'Cash Frenzy'!D51</f>
        <v>0</v>
      </c>
      <c r="S51" s="19">
        <f>'Cash Frenzy'!E51</f>
        <v>0</v>
      </c>
      <c r="T51" s="30"/>
      <c r="U51" s="31"/>
      <c r="V51" s="20">
        <f>'Lotsa Slots'!D51</f>
        <v>0</v>
      </c>
      <c r="W51" s="19">
        <f>'Lotsa Slots'!E51</f>
        <v>0</v>
      </c>
      <c r="X51" s="20">
        <f>'Scatter Slots'!D51</f>
        <v>0</v>
      </c>
      <c r="Y51" s="19">
        <f>'Scatter Slots'!E51</f>
        <v>0</v>
      </c>
      <c r="Z51" s="20"/>
      <c r="AA51" s="19"/>
      <c r="AB51" s="30"/>
      <c r="AC51" s="31"/>
      <c r="AD51" s="30"/>
      <c r="AE51" s="31"/>
      <c r="AF51" s="30"/>
      <c r="AG51" s="31"/>
      <c r="AH51" s="30"/>
      <c r="AI51" s="31"/>
      <c r="AJ51" s="20"/>
      <c r="AK51" s="19"/>
      <c r="AL51" s="30"/>
      <c r="AM51" s="31"/>
      <c r="AN51" s="30"/>
      <c r="AO51" s="31"/>
      <c r="AP51" s="20">
        <f>'Empires &amp; Puzzles'!D51</f>
        <v>0</v>
      </c>
      <c r="AQ51" s="19">
        <f>'Empires &amp; Puzzles'!E51</f>
        <v>0</v>
      </c>
      <c r="AR51" s="20">
        <f>'RAID Shadow Legends'!D51</f>
        <v>0.35642857142857143</v>
      </c>
      <c r="AS51" s="19">
        <f>'RAID Shadow Legends'!E51</f>
        <v>2.2811428571428571</v>
      </c>
      <c r="AT51" s="20">
        <f>'Rise of Kingdoms'!D51</f>
        <v>0</v>
      </c>
      <c r="AU51" s="19">
        <f>'Rise of Kingdoms'!E51</f>
        <v>20.910476190476185</v>
      </c>
    </row>
    <row r="52" spans="1:47" ht="15.75" customHeight="1" x14ac:dyDescent="0.15">
      <c r="A52" s="16"/>
      <c r="B52" s="16"/>
      <c r="C52" s="16"/>
      <c r="D52" s="16"/>
      <c r="E52" s="16"/>
      <c r="F52" s="16"/>
      <c r="G52" s="16"/>
      <c r="H52" s="16"/>
      <c r="I52" s="16"/>
      <c r="J52" s="16"/>
      <c r="K52" s="16"/>
      <c r="L52" s="16"/>
      <c r="M52" s="16"/>
      <c r="N52" s="16"/>
      <c r="O52" s="17">
        <v>49</v>
      </c>
      <c r="P52" s="17"/>
      <c r="Q52" s="31"/>
      <c r="R52" s="20">
        <f>'Cash Frenzy'!D52</f>
        <v>0</v>
      </c>
      <c r="S52" s="19">
        <f>'Cash Frenzy'!E52</f>
        <v>0</v>
      </c>
      <c r="T52" s="30"/>
      <c r="U52" s="31"/>
      <c r="V52" s="20">
        <f>'Lotsa Slots'!D52</f>
        <v>0</v>
      </c>
      <c r="W52" s="19">
        <f>'Lotsa Slots'!E52</f>
        <v>0</v>
      </c>
      <c r="X52" s="20">
        <f>'Scatter Slots'!D52</f>
        <v>0</v>
      </c>
      <c r="Y52" s="19">
        <f>'Scatter Slots'!E52</f>
        <v>6.6533333333333333</v>
      </c>
      <c r="Z52" s="20"/>
      <c r="AA52" s="19"/>
      <c r="AB52" s="30"/>
      <c r="AC52" s="31"/>
      <c r="AD52" s="30"/>
      <c r="AE52" s="31"/>
      <c r="AF52" s="30"/>
      <c r="AG52" s="31"/>
      <c r="AH52" s="30"/>
      <c r="AI52" s="31"/>
      <c r="AJ52" s="20"/>
      <c r="AK52" s="19"/>
      <c r="AL52" s="30"/>
      <c r="AM52" s="31"/>
      <c r="AN52" s="30"/>
      <c r="AO52" s="31"/>
      <c r="AP52" s="20">
        <f>'Empires &amp; Puzzles'!D52</f>
        <v>0</v>
      </c>
      <c r="AQ52" s="19">
        <f>'Empires &amp; Puzzles'!E52</f>
        <v>0</v>
      </c>
      <c r="AR52" s="20">
        <f>'RAID Shadow Legends'!D52</f>
        <v>1.1405714285714286</v>
      </c>
      <c r="AS52" s="19">
        <f>'RAID Shadow Legends'!E52</f>
        <v>1.3306666666666667</v>
      </c>
      <c r="AT52" s="20">
        <f>'Rise of Kingdoms'!D52</f>
        <v>2.6138095238095242E-2</v>
      </c>
      <c r="AU52" s="19">
        <f>'Rise of Kingdoms'!E52</f>
        <v>78.414285714285711</v>
      </c>
    </row>
    <row r="53" spans="1:47" ht="15.75" customHeight="1" x14ac:dyDescent="0.15">
      <c r="A53" s="16"/>
      <c r="B53" s="16"/>
      <c r="C53" s="16"/>
      <c r="D53" s="16"/>
      <c r="E53" s="16"/>
      <c r="F53" s="16"/>
      <c r="G53" s="16"/>
      <c r="H53" s="16"/>
      <c r="I53" s="16"/>
      <c r="J53" s="16"/>
      <c r="K53" s="16"/>
      <c r="L53" s="16"/>
      <c r="M53" s="16"/>
      <c r="N53" s="16"/>
      <c r="O53" s="17">
        <v>50</v>
      </c>
      <c r="P53" s="17"/>
      <c r="Q53" s="31"/>
      <c r="R53" s="20">
        <f>'Cash Frenzy'!D53</f>
        <v>0</v>
      </c>
      <c r="S53" s="19">
        <f>'Cash Frenzy'!E53</f>
        <v>1.4924999999999999</v>
      </c>
      <c r="T53" s="30"/>
      <c r="U53" s="31"/>
      <c r="V53" s="20">
        <f>'Lotsa Slots'!D53</f>
        <v>0</v>
      </c>
      <c r="W53" s="19">
        <f>'Lotsa Slots'!E53</f>
        <v>0</v>
      </c>
      <c r="X53" s="20">
        <f>'Scatter Slots'!D53</f>
        <v>0</v>
      </c>
      <c r="Y53" s="19">
        <f>'Scatter Slots'!E53</f>
        <v>0</v>
      </c>
      <c r="Z53" s="20"/>
      <c r="AA53" s="19"/>
      <c r="AB53" s="30"/>
      <c r="AC53" s="31"/>
      <c r="AD53" s="30"/>
      <c r="AE53" s="31"/>
      <c r="AF53" s="30"/>
      <c r="AG53" s="31"/>
      <c r="AH53" s="30"/>
      <c r="AI53" s="31"/>
      <c r="AJ53" s="30"/>
      <c r="AK53" s="31"/>
      <c r="AL53" s="30"/>
      <c r="AM53" s="31"/>
      <c r="AN53" s="30"/>
      <c r="AO53" s="31"/>
      <c r="AP53" s="20">
        <f>'Empires &amp; Puzzles'!D53</f>
        <v>0</v>
      </c>
      <c r="AQ53" s="19">
        <f>'Empires &amp; Puzzles'!E53</f>
        <v>0</v>
      </c>
      <c r="AR53" s="20">
        <f>'RAID Shadow Legends'!D53</f>
        <v>2.5662857142857143</v>
      </c>
      <c r="AS53" s="19">
        <f>'RAID Shadow Legends'!E53</f>
        <v>3.2787626666666672</v>
      </c>
      <c r="AT53" s="20">
        <f>'Rise of Kingdoms'!D53</f>
        <v>6.9701587301587306E-2</v>
      </c>
      <c r="AU53" s="19">
        <f>'Rise of Kingdoms'!E53</f>
        <v>10.93047619047619</v>
      </c>
    </row>
    <row r="54" spans="1:47" ht="15.75" customHeight="1" x14ac:dyDescent="0.15">
      <c r="A54" s="16"/>
      <c r="B54" s="16"/>
      <c r="C54" s="16"/>
      <c r="D54" s="16"/>
      <c r="E54" s="16"/>
      <c r="F54" s="16"/>
      <c r="G54" s="16"/>
      <c r="H54" s="16"/>
      <c r="I54" s="16"/>
      <c r="J54" s="16"/>
      <c r="K54" s="16"/>
      <c r="L54" s="16"/>
      <c r="M54" s="16"/>
      <c r="N54" s="16"/>
      <c r="O54" s="17">
        <v>51</v>
      </c>
      <c r="P54" s="17"/>
      <c r="Q54" s="31"/>
      <c r="R54" s="20">
        <f>'Cash Frenzy'!D54</f>
        <v>10.99</v>
      </c>
      <c r="S54" s="19">
        <f>'Cash Frenzy'!E54</f>
        <v>0</v>
      </c>
      <c r="T54" s="30"/>
      <c r="U54" s="31"/>
      <c r="V54" s="20">
        <f>'Lotsa Slots'!D54</f>
        <v>0</v>
      </c>
      <c r="W54" s="19">
        <f>'Lotsa Slots'!E54</f>
        <v>0</v>
      </c>
      <c r="X54" s="30"/>
      <c r="Y54" s="31"/>
      <c r="Z54" s="30"/>
      <c r="AA54" s="31"/>
      <c r="AB54" s="30"/>
      <c r="AC54" s="31"/>
      <c r="AD54" s="30"/>
      <c r="AE54" s="31"/>
      <c r="AF54" s="30"/>
      <c r="AG54" s="31"/>
      <c r="AH54" s="30"/>
      <c r="AI54" s="31"/>
      <c r="AJ54" s="30"/>
      <c r="AK54" s="31"/>
      <c r="AL54" s="30"/>
      <c r="AM54" s="31"/>
      <c r="AN54" s="30"/>
      <c r="AO54" s="31"/>
      <c r="AP54" s="20"/>
      <c r="AQ54" s="19"/>
      <c r="AR54" s="20">
        <f>'RAID Shadow Legends'!D54</f>
        <v>1.1405714285714286</v>
      </c>
      <c r="AS54" s="19">
        <f>'RAID Shadow Legends'!E54</f>
        <v>2.8514285714285714</v>
      </c>
      <c r="AT54" s="20">
        <f>'Rise of Kingdoms'!D54</f>
        <v>0</v>
      </c>
      <c r="AU54" s="19">
        <f>'Rise of Kingdoms'!E54</f>
        <v>2.8514285714285714</v>
      </c>
    </row>
    <row r="55" spans="1:47" ht="15.75" customHeight="1" x14ac:dyDescent="0.15">
      <c r="A55" s="16"/>
      <c r="B55" s="16"/>
      <c r="C55" s="16"/>
      <c r="D55" s="16"/>
      <c r="E55" s="16"/>
      <c r="F55" s="16"/>
      <c r="G55" s="16"/>
      <c r="H55" s="16"/>
      <c r="I55" s="16"/>
      <c r="J55" s="16"/>
      <c r="K55" s="16"/>
      <c r="L55" s="16"/>
      <c r="M55" s="16"/>
      <c r="N55" s="16"/>
      <c r="O55" s="17">
        <v>52</v>
      </c>
      <c r="P55" s="17"/>
      <c r="Q55" s="31"/>
      <c r="R55" s="20">
        <f>'Cash Frenzy'!D55</f>
        <v>0</v>
      </c>
      <c r="S55" s="19">
        <f>'Cash Frenzy'!E55</f>
        <v>5.99</v>
      </c>
      <c r="T55" s="30"/>
      <c r="U55" s="31"/>
      <c r="V55" s="20">
        <f>'Lotsa Slots'!D55</f>
        <v>0</v>
      </c>
      <c r="W55" s="19">
        <f>'Lotsa Slots'!E55</f>
        <v>0</v>
      </c>
      <c r="X55" s="30"/>
      <c r="Y55" s="31"/>
      <c r="Z55" s="30"/>
      <c r="AA55" s="31"/>
      <c r="AB55" s="30"/>
      <c r="AC55" s="31"/>
      <c r="AD55" s="30"/>
      <c r="AE55" s="31"/>
      <c r="AF55" s="30"/>
      <c r="AG55" s="31"/>
      <c r="AH55" s="30"/>
      <c r="AI55" s="31"/>
      <c r="AJ55" s="30"/>
      <c r="AK55" s="31"/>
      <c r="AL55" s="30"/>
      <c r="AM55" s="31"/>
      <c r="AN55" s="30"/>
      <c r="AO55" s="31"/>
      <c r="AP55" s="20"/>
      <c r="AQ55" s="19"/>
      <c r="AR55" s="20">
        <f>'RAID Shadow Legends'!D55</f>
        <v>2.8514285714285714</v>
      </c>
      <c r="AS55" s="19">
        <f>'RAID Shadow Legends'!E55</f>
        <v>1.4257142857142857</v>
      </c>
      <c r="AT55" s="20">
        <f>'Rise of Kingdoms'!D55</f>
        <v>23.52428571428571</v>
      </c>
      <c r="AU55" s="19">
        <f>'Rise of Kingdoms'!E55</f>
        <v>5.9404761904761907</v>
      </c>
    </row>
    <row r="56" spans="1:47" ht="15.75" customHeight="1" x14ac:dyDescent="0.15">
      <c r="A56" s="16"/>
      <c r="B56" s="16"/>
      <c r="C56" s="16"/>
      <c r="D56" s="16"/>
      <c r="E56" s="16"/>
      <c r="F56" s="16"/>
      <c r="G56" s="16"/>
      <c r="H56" s="16"/>
      <c r="I56" s="16"/>
      <c r="J56" s="16"/>
      <c r="K56" s="16"/>
      <c r="L56" s="16"/>
      <c r="M56" s="16"/>
      <c r="N56" s="16"/>
      <c r="O56" s="17">
        <v>53</v>
      </c>
      <c r="P56" s="17"/>
      <c r="Q56" s="31"/>
      <c r="R56" s="20">
        <f>'Cash Frenzy'!D56</f>
        <v>0</v>
      </c>
      <c r="S56" s="19">
        <f>'Cash Frenzy'!E56</f>
        <v>0</v>
      </c>
      <c r="T56" s="30"/>
      <c r="U56" s="31"/>
      <c r="V56" s="20">
        <f>'Lotsa Slots'!D56</f>
        <v>0</v>
      </c>
      <c r="W56" s="19">
        <f>'Lotsa Slots'!E56</f>
        <v>0</v>
      </c>
      <c r="X56" s="30"/>
      <c r="Y56" s="31"/>
      <c r="Z56" s="30"/>
      <c r="AA56" s="31"/>
      <c r="AB56" s="30"/>
      <c r="AC56" s="31"/>
      <c r="AD56" s="30"/>
      <c r="AE56" s="31"/>
      <c r="AF56" s="30"/>
      <c r="AG56" s="31"/>
      <c r="AH56" s="30"/>
      <c r="AI56" s="31"/>
      <c r="AJ56" s="30"/>
      <c r="AK56" s="31"/>
      <c r="AL56" s="30"/>
      <c r="AM56" s="31"/>
      <c r="AN56" s="30"/>
      <c r="AO56" s="31"/>
      <c r="AP56" s="20"/>
      <c r="AQ56" s="19"/>
      <c r="AR56" s="20">
        <f>'RAID Shadow Legends'!D56</f>
        <v>0.28514285714285714</v>
      </c>
      <c r="AS56" s="19">
        <f>'RAID Shadow Legends'!E56</f>
        <v>2.2811428571428571</v>
      </c>
      <c r="AT56" s="20">
        <f>'Rise of Kingdoms'!D56</f>
        <v>0</v>
      </c>
      <c r="AU56" s="19">
        <f>'Rise of Kingdoms'!E56</f>
        <v>2.1385714285714288</v>
      </c>
    </row>
    <row r="57" spans="1:47" ht="15.75" customHeight="1" x14ac:dyDescent="0.15">
      <c r="A57" s="16"/>
      <c r="B57" s="16"/>
      <c r="C57" s="16"/>
      <c r="D57" s="16"/>
      <c r="E57" s="16"/>
      <c r="F57" s="16"/>
      <c r="G57" s="16"/>
      <c r="H57" s="16"/>
      <c r="I57" s="16"/>
      <c r="J57" s="16"/>
      <c r="K57" s="16"/>
      <c r="L57" s="16"/>
      <c r="M57" s="16"/>
      <c r="N57" s="16"/>
      <c r="O57" s="17">
        <v>54</v>
      </c>
      <c r="P57" s="17"/>
      <c r="Q57" s="31"/>
      <c r="R57" s="20">
        <f>'Cash Frenzy'!D57</f>
        <v>0</v>
      </c>
      <c r="S57" s="19">
        <f>'Cash Frenzy'!E57</f>
        <v>0</v>
      </c>
      <c r="T57" s="30"/>
      <c r="U57" s="31"/>
      <c r="V57" s="20">
        <f>'Lotsa Slots'!D57</f>
        <v>0</v>
      </c>
      <c r="W57" s="19">
        <f>'Lotsa Slots'!E57</f>
        <v>0</v>
      </c>
      <c r="X57" s="30"/>
      <c r="Y57" s="31"/>
      <c r="Z57" s="30"/>
      <c r="AA57" s="31"/>
      <c r="AB57" s="30"/>
      <c r="AC57" s="31"/>
      <c r="AD57" s="30"/>
      <c r="AE57" s="31"/>
      <c r="AF57" s="30"/>
      <c r="AG57" s="31"/>
      <c r="AH57" s="30"/>
      <c r="AI57" s="31"/>
      <c r="AJ57" s="30"/>
      <c r="AK57" s="31"/>
      <c r="AL57" s="30"/>
      <c r="AM57" s="31"/>
      <c r="AN57" s="30"/>
      <c r="AO57" s="31"/>
      <c r="AP57" s="20">
        <f>'Empires &amp; Puzzles'!D56</f>
        <v>0</v>
      </c>
      <c r="AQ57" s="19">
        <f>'Empires &amp; Puzzles'!E56</f>
        <v>0</v>
      </c>
      <c r="AR57" s="20">
        <f>'RAID Shadow Legends'!D57</f>
        <v>33.323333333333331</v>
      </c>
      <c r="AS57" s="19">
        <f>'RAID Shadow Legends'!E57</f>
        <v>0</v>
      </c>
      <c r="AT57" s="20">
        <f>'Rise of Kingdoms'!D57</f>
        <v>0</v>
      </c>
      <c r="AU57" s="19">
        <f>'Rise of Kingdoms'!E57</f>
        <v>2.6138095238095245E-2</v>
      </c>
    </row>
    <row r="58" spans="1:47" ht="15.75" customHeight="1" x14ac:dyDescent="0.15">
      <c r="A58" s="16"/>
      <c r="B58" s="16"/>
      <c r="C58" s="16"/>
      <c r="D58" s="16"/>
      <c r="E58" s="16"/>
      <c r="F58" s="16"/>
      <c r="G58" s="16"/>
      <c r="H58" s="16"/>
      <c r="I58" s="16"/>
      <c r="J58" s="16"/>
      <c r="K58" s="16"/>
      <c r="L58" s="16"/>
      <c r="M58" s="16"/>
      <c r="N58" s="16"/>
      <c r="O58" s="17">
        <v>55</v>
      </c>
      <c r="P58" s="17"/>
      <c r="Q58" s="31"/>
      <c r="R58" s="20">
        <f>'Cash Frenzy'!D58</f>
        <v>0</v>
      </c>
      <c r="S58" s="19">
        <f>'Cash Frenzy'!E58</f>
        <v>1.99</v>
      </c>
      <c r="T58" s="30"/>
      <c r="U58" s="31"/>
      <c r="V58" s="20">
        <f>'Lotsa Slots'!D58</f>
        <v>1.99</v>
      </c>
      <c r="W58" s="19">
        <f>'Lotsa Slots'!E58</f>
        <v>0</v>
      </c>
      <c r="X58" s="30"/>
      <c r="Y58" s="31"/>
      <c r="Z58" s="30"/>
      <c r="AA58" s="31"/>
      <c r="AB58" s="30"/>
      <c r="AC58" s="31"/>
      <c r="AD58" s="30"/>
      <c r="AE58" s="31"/>
      <c r="AF58" s="30"/>
      <c r="AG58" s="31"/>
      <c r="AH58" s="30"/>
      <c r="AI58" s="31"/>
      <c r="AJ58" s="30"/>
      <c r="AK58" s="31"/>
      <c r="AL58" s="30"/>
      <c r="AM58" s="31"/>
      <c r="AN58" s="30"/>
      <c r="AO58" s="31"/>
      <c r="AP58" s="20"/>
      <c r="AQ58" s="19"/>
      <c r="AR58" s="20">
        <f>'RAID Shadow Legends'!D58</f>
        <v>0</v>
      </c>
      <c r="AS58" s="19">
        <f>'RAID Shadow Legends'!E58</f>
        <v>2.2811428571428571</v>
      </c>
      <c r="AT58" s="20">
        <f>'Rise of Kingdoms'!D58</f>
        <v>6.9701587301587306E-2</v>
      </c>
      <c r="AU58" s="19">
        <f>'Rise of Kingdoms'!E58</f>
        <v>1.7425396825396824E-4</v>
      </c>
    </row>
    <row r="59" spans="1:47" ht="15.75" customHeight="1" x14ac:dyDescent="0.15">
      <c r="A59" s="16"/>
      <c r="B59" s="16"/>
      <c r="C59" s="16"/>
      <c r="D59" s="16"/>
      <c r="E59" s="16"/>
      <c r="F59" s="16"/>
      <c r="G59" s="16"/>
      <c r="H59" s="16"/>
      <c r="I59" s="16"/>
      <c r="J59" s="16"/>
      <c r="K59" s="16"/>
      <c r="L59" s="16"/>
      <c r="M59" s="16"/>
      <c r="N59" s="16"/>
      <c r="O59" s="17">
        <v>56</v>
      </c>
      <c r="P59" s="17"/>
      <c r="Q59" s="31"/>
      <c r="R59" s="20">
        <f>'Cash Frenzy'!D59</f>
        <v>11.99</v>
      </c>
      <c r="S59" s="19">
        <f>'Cash Frenzy'!E59</f>
        <v>0</v>
      </c>
      <c r="T59" s="30"/>
      <c r="U59" s="31"/>
      <c r="V59" s="20">
        <f>'Lotsa Slots'!D59</f>
        <v>0</v>
      </c>
      <c r="W59" s="19">
        <f>'Lotsa Slots'!E59</f>
        <v>3.99</v>
      </c>
      <c r="X59" s="30"/>
      <c r="Y59" s="31"/>
      <c r="Z59" s="30"/>
      <c r="AA59" s="31"/>
      <c r="AB59" s="30"/>
      <c r="AC59" s="31"/>
      <c r="AD59" s="30"/>
      <c r="AE59" s="31"/>
      <c r="AF59" s="30"/>
      <c r="AG59" s="31"/>
      <c r="AH59" s="30"/>
      <c r="AI59" s="31"/>
      <c r="AJ59" s="30"/>
      <c r="AK59" s="31"/>
      <c r="AL59" s="30"/>
      <c r="AM59" s="31"/>
      <c r="AN59" s="30"/>
      <c r="AO59" s="31"/>
      <c r="AP59" s="20"/>
      <c r="AQ59" s="19"/>
      <c r="AR59" s="20">
        <f>'RAID Shadow Legends'!D59</f>
        <v>3.7638857142857143</v>
      </c>
      <c r="AS59" s="19">
        <f>'RAID Shadow Legends'!E59</f>
        <v>33.323333333333331</v>
      </c>
      <c r="AT59" s="20">
        <f>'Rise of Kingdoms'!D59</f>
        <v>0</v>
      </c>
      <c r="AU59" s="19">
        <f>'Rise of Kingdoms'!E59</f>
        <v>5.7028571428571428</v>
      </c>
    </row>
    <row r="60" spans="1:47" ht="15.75" customHeight="1" x14ac:dyDescent="0.15">
      <c r="A60" s="16"/>
      <c r="B60" s="16"/>
      <c r="C60" s="16"/>
      <c r="D60" s="16"/>
      <c r="E60" s="16"/>
      <c r="F60" s="16"/>
      <c r="G60" s="16"/>
      <c r="H60" s="16"/>
      <c r="I60" s="16"/>
      <c r="J60" s="16"/>
      <c r="K60" s="16"/>
      <c r="L60" s="16"/>
      <c r="M60" s="16"/>
      <c r="N60" s="16"/>
      <c r="O60" s="17">
        <v>57</v>
      </c>
      <c r="P60" s="17"/>
      <c r="Q60" s="31"/>
      <c r="R60" s="20">
        <f>'Cash Frenzy'!D60</f>
        <v>0</v>
      </c>
      <c r="S60" s="19">
        <f>'Cash Frenzy'!E60</f>
        <v>0</v>
      </c>
      <c r="T60" s="30"/>
      <c r="U60" s="31"/>
      <c r="V60" s="20">
        <f>'Lotsa Slots'!D60</f>
        <v>0</v>
      </c>
      <c r="W60" s="19">
        <f>'Lotsa Slots'!E60</f>
        <v>0</v>
      </c>
      <c r="X60" s="30"/>
      <c r="Y60" s="31"/>
      <c r="Z60" s="30"/>
      <c r="AA60" s="31"/>
      <c r="AB60" s="30"/>
      <c r="AC60" s="31"/>
      <c r="AD60" s="30"/>
      <c r="AE60" s="31"/>
      <c r="AF60" s="30"/>
      <c r="AG60" s="31"/>
      <c r="AH60" s="30"/>
      <c r="AI60" s="31"/>
      <c r="AJ60" s="30"/>
      <c r="AK60" s="31"/>
      <c r="AL60" s="30"/>
      <c r="AM60" s="31"/>
      <c r="AN60" s="30"/>
      <c r="AO60" s="31"/>
      <c r="AP60" s="20"/>
      <c r="AQ60" s="19"/>
      <c r="AR60" s="20">
        <f>'RAID Shadow Legends'!D60</f>
        <v>0.85542857142857143</v>
      </c>
      <c r="AS60" s="19">
        <f>'RAID Shadow Legends'!E60</f>
        <v>0.47523809523809524</v>
      </c>
      <c r="AT60" s="20">
        <f>'Rise of Kingdoms'!D60</f>
        <v>0</v>
      </c>
      <c r="AU60" s="19">
        <f>'Rise of Kingdoms'!E60</f>
        <v>0</v>
      </c>
    </row>
    <row r="61" spans="1:47" ht="15.75" customHeight="1" x14ac:dyDescent="0.15">
      <c r="A61" s="16"/>
      <c r="B61" s="16"/>
      <c r="C61" s="16"/>
      <c r="D61" s="16"/>
      <c r="E61" s="16"/>
      <c r="F61" s="16"/>
      <c r="G61" s="16"/>
      <c r="H61" s="16"/>
      <c r="I61" s="16"/>
      <c r="J61" s="16"/>
      <c r="K61" s="16"/>
      <c r="L61" s="16"/>
      <c r="M61" s="16"/>
      <c r="N61" s="16"/>
      <c r="O61" s="17">
        <v>58</v>
      </c>
      <c r="P61" s="17"/>
      <c r="Q61" s="31"/>
      <c r="R61" s="20">
        <f>'Cash Frenzy'!D61</f>
        <v>0</v>
      </c>
      <c r="S61" s="19">
        <f>'Cash Frenzy'!E61</f>
        <v>0</v>
      </c>
      <c r="T61" s="30"/>
      <c r="U61" s="31"/>
      <c r="V61" s="20">
        <f>'Lotsa Slots'!D61</f>
        <v>0</v>
      </c>
      <c r="W61" s="19">
        <f>'Lotsa Slots'!E61</f>
        <v>0</v>
      </c>
      <c r="X61" s="30"/>
      <c r="Y61" s="31"/>
      <c r="Z61" s="30"/>
      <c r="AA61" s="31"/>
      <c r="AB61" s="30"/>
      <c r="AC61" s="31"/>
      <c r="AD61" s="30"/>
      <c r="AE61" s="31"/>
      <c r="AF61" s="30"/>
      <c r="AG61" s="31"/>
      <c r="AH61" s="30"/>
      <c r="AI61" s="31"/>
      <c r="AJ61" s="30"/>
      <c r="AK61" s="31"/>
      <c r="AL61" s="30"/>
      <c r="AM61" s="31"/>
      <c r="AN61" s="30"/>
      <c r="AO61" s="31"/>
      <c r="AP61" s="20"/>
      <c r="AQ61" s="19"/>
      <c r="AR61" s="20">
        <f>'RAID Shadow Legends'!D61</f>
        <v>0.35642857142857143</v>
      </c>
      <c r="AS61" s="19">
        <f>'RAID Shadow Legends'!E61</f>
        <v>0.35642857142857143</v>
      </c>
      <c r="AT61" s="20">
        <f>'Rise of Kingdoms'!D61</f>
        <v>0</v>
      </c>
      <c r="AU61" s="19">
        <f>'Rise of Kingdoms'!E61</f>
        <v>1.1308686507936507</v>
      </c>
    </row>
    <row r="62" spans="1:47" ht="15.75" customHeight="1" x14ac:dyDescent="0.15">
      <c r="A62" s="16"/>
      <c r="B62" s="16"/>
      <c r="C62" s="16"/>
      <c r="D62" s="16"/>
      <c r="E62" s="16"/>
      <c r="F62" s="16"/>
      <c r="G62" s="16"/>
      <c r="H62" s="16"/>
      <c r="I62" s="16"/>
      <c r="J62" s="16"/>
      <c r="K62" s="16"/>
      <c r="L62" s="16"/>
      <c r="M62" s="16"/>
      <c r="N62" s="16"/>
      <c r="O62" s="17">
        <v>59</v>
      </c>
      <c r="P62" s="17"/>
      <c r="Q62" s="31"/>
      <c r="R62" s="20">
        <f>'Cash Frenzy'!D62</f>
        <v>0</v>
      </c>
      <c r="S62" s="19">
        <f>'Cash Frenzy'!E62</f>
        <v>0</v>
      </c>
      <c r="T62" s="30"/>
      <c r="U62" s="31"/>
      <c r="V62" s="20">
        <f>'Lotsa Slots'!D62</f>
        <v>0</v>
      </c>
      <c r="W62" s="19">
        <f>'Lotsa Slots'!E62</f>
        <v>2.66</v>
      </c>
      <c r="X62" s="30"/>
      <c r="Y62" s="31"/>
      <c r="Z62" s="30"/>
      <c r="AA62" s="31"/>
      <c r="AB62" s="30"/>
      <c r="AC62" s="31"/>
      <c r="AD62" s="30"/>
      <c r="AE62" s="31"/>
      <c r="AF62" s="30"/>
      <c r="AG62" s="31"/>
      <c r="AH62" s="30"/>
      <c r="AI62" s="31"/>
      <c r="AJ62" s="30"/>
      <c r="AK62" s="31"/>
      <c r="AL62" s="30"/>
      <c r="AM62" s="31"/>
      <c r="AN62" s="30"/>
      <c r="AO62" s="31"/>
      <c r="AP62" s="20"/>
      <c r="AQ62" s="19"/>
      <c r="AR62" s="20">
        <f>'RAID Shadow Legends'!D62</f>
        <v>1.1405714285714286</v>
      </c>
      <c r="AS62" s="19">
        <f>'RAID Shadow Legends'!E62</f>
        <v>1.1405714285714286</v>
      </c>
      <c r="AT62" s="20">
        <f>'Rise of Kingdoms'!D62</f>
        <v>1.3686857142857143</v>
      </c>
      <c r="AU62" s="19">
        <f>'Rise of Kingdoms'!E62</f>
        <v>4.2771428571428576</v>
      </c>
    </row>
    <row r="63" spans="1:47" ht="15.75" customHeight="1" x14ac:dyDescent="0.15">
      <c r="A63" s="16"/>
      <c r="B63" s="16"/>
      <c r="C63" s="16"/>
      <c r="D63" s="16"/>
      <c r="E63" s="16"/>
      <c r="F63" s="16"/>
      <c r="G63" s="16"/>
      <c r="H63" s="16"/>
      <c r="I63" s="16"/>
      <c r="J63" s="16"/>
      <c r="K63" s="16"/>
      <c r="L63" s="16"/>
      <c r="M63" s="16"/>
      <c r="N63" s="16"/>
      <c r="O63" s="17">
        <v>60</v>
      </c>
      <c r="P63" s="17"/>
      <c r="Q63" s="31"/>
      <c r="R63" s="20">
        <f>'Cash Frenzy'!D63</f>
        <v>0</v>
      </c>
      <c r="S63" s="19">
        <f>'Cash Frenzy'!E63</f>
        <v>5.99</v>
      </c>
      <c r="T63" s="30"/>
      <c r="U63" s="31"/>
      <c r="V63" s="20">
        <f>'Lotsa Slots'!D63</f>
        <v>0.49833333333333341</v>
      </c>
      <c r="W63" s="19">
        <f>'Lotsa Slots'!E63</f>
        <v>19.989999999999998</v>
      </c>
      <c r="X63" s="30"/>
      <c r="Y63" s="31"/>
      <c r="Z63" s="30"/>
      <c r="AA63" s="31"/>
      <c r="AB63" s="30"/>
      <c r="AC63" s="31"/>
      <c r="AD63" s="30"/>
      <c r="AE63" s="31"/>
      <c r="AF63" s="30"/>
      <c r="AG63" s="31"/>
      <c r="AH63" s="30"/>
      <c r="AI63" s="31"/>
      <c r="AJ63" s="30"/>
      <c r="AK63" s="31"/>
      <c r="AL63" s="30"/>
      <c r="AM63" s="31"/>
      <c r="AN63" s="30"/>
      <c r="AO63" s="31"/>
      <c r="AP63" s="20"/>
      <c r="AQ63" s="19"/>
      <c r="AR63" s="20">
        <f>'RAID Shadow Legends'!D63</f>
        <v>5.0755428571428567</v>
      </c>
      <c r="AS63" s="19">
        <f>'RAID Shadow Legends'!E63</f>
        <v>2.5662857142857143</v>
      </c>
      <c r="AT63" s="20">
        <f>'Rise of Kingdoms'!D63</f>
        <v>6.9701587301587306E-2</v>
      </c>
      <c r="AU63" s="19">
        <f>'Rise of Kingdoms'!E63</f>
        <v>9.5047619047619047</v>
      </c>
    </row>
    <row r="64" spans="1:47" ht="15.75" customHeight="1" x14ac:dyDescent="0.15">
      <c r="A64" s="16"/>
      <c r="B64" s="16"/>
      <c r="C64" s="16"/>
      <c r="D64" s="16"/>
      <c r="E64" s="16"/>
      <c r="F64" s="16"/>
      <c r="G64" s="16"/>
      <c r="H64" s="16"/>
      <c r="I64" s="16"/>
      <c r="J64" s="16"/>
      <c r="K64" s="16"/>
      <c r="L64" s="16"/>
      <c r="M64" s="16"/>
      <c r="N64" s="16"/>
      <c r="O64" s="17">
        <v>61</v>
      </c>
      <c r="P64" s="17"/>
      <c r="Q64" s="31"/>
      <c r="R64" s="20">
        <f>'Cash Frenzy'!D64</f>
        <v>13.99</v>
      </c>
      <c r="S64" s="19">
        <f>'Cash Frenzy'!E64</f>
        <v>0</v>
      </c>
      <c r="T64" s="30"/>
      <c r="U64" s="31"/>
      <c r="V64" s="20">
        <f>'Lotsa Slots'!D64</f>
        <v>0</v>
      </c>
      <c r="W64" s="19">
        <f>'Lotsa Slots'!E64</f>
        <v>0</v>
      </c>
      <c r="X64" s="30"/>
      <c r="Y64" s="31"/>
      <c r="Z64" s="30"/>
      <c r="AA64" s="31"/>
      <c r="AB64" s="30"/>
      <c r="AC64" s="31"/>
      <c r="AD64" s="30"/>
      <c r="AE64" s="31"/>
      <c r="AF64" s="30"/>
      <c r="AG64" s="31"/>
      <c r="AH64" s="30"/>
      <c r="AI64" s="31"/>
      <c r="AJ64" s="30"/>
      <c r="AK64" s="31"/>
      <c r="AL64" s="30"/>
      <c r="AM64" s="31"/>
      <c r="AN64" s="30"/>
      <c r="AO64" s="31"/>
      <c r="AP64" s="20"/>
      <c r="AQ64" s="19"/>
      <c r="AR64" s="20">
        <f>'RAID Shadow Legends'!D64</f>
        <v>1.1405714285714286</v>
      </c>
      <c r="AS64" s="19">
        <f>'RAID Shadow Legends'!E64</f>
        <v>2.8514285714285714</v>
      </c>
      <c r="AT64" s="20">
        <f>'Rise of Kingdoms'!D64</f>
        <v>0</v>
      </c>
      <c r="AU64" s="19">
        <f>'Rise of Kingdoms'!E64</f>
        <v>5.7028571428571428</v>
      </c>
    </row>
    <row r="65" spans="1:47" ht="15.75" customHeight="1" x14ac:dyDescent="0.15">
      <c r="A65" s="16"/>
      <c r="B65" s="16"/>
      <c r="C65" s="16"/>
      <c r="D65" s="16"/>
      <c r="E65" s="16"/>
      <c r="F65" s="16"/>
      <c r="G65" s="16"/>
      <c r="H65" s="16"/>
      <c r="I65" s="16"/>
      <c r="J65" s="16"/>
      <c r="K65" s="16"/>
      <c r="L65" s="16"/>
      <c r="M65" s="16"/>
      <c r="N65" s="16"/>
      <c r="O65" s="17">
        <v>62</v>
      </c>
      <c r="P65" s="17"/>
      <c r="Q65" s="31"/>
      <c r="R65" s="20">
        <f>'Cash Frenzy'!D65</f>
        <v>0</v>
      </c>
      <c r="S65" s="19">
        <f>'Cash Frenzy'!E65</f>
        <v>0</v>
      </c>
      <c r="T65" s="30"/>
      <c r="U65" s="31"/>
      <c r="V65" s="20">
        <f>'Lotsa Slots'!D65</f>
        <v>0</v>
      </c>
      <c r="W65" s="19">
        <f>'Lotsa Slots'!E65</f>
        <v>0</v>
      </c>
      <c r="X65" s="30"/>
      <c r="Y65" s="31"/>
      <c r="Z65" s="30"/>
      <c r="AA65" s="31"/>
      <c r="AB65" s="30"/>
      <c r="AC65" s="31"/>
      <c r="AD65" s="30"/>
      <c r="AE65" s="31"/>
      <c r="AF65" s="30"/>
      <c r="AG65" s="31"/>
      <c r="AH65" s="30"/>
      <c r="AI65" s="31"/>
      <c r="AJ65" s="30"/>
      <c r="AK65" s="31"/>
      <c r="AL65" s="30"/>
      <c r="AM65" s="31"/>
      <c r="AN65" s="30"/>
      <c r="AO65" s="31"/>
      <c r="AP65" s="20"/>
      <c r="AQ65" s="19"/>
      <c r="AR65" s="20">
        <f>'RAID Shadow Legends'!D65</f>
        <v>2.8514285714285714</v>
      </c>
      <c r="AS65" s="19">
        <f>'RAID Shadow Legends'!E65</f>
        <v>1.4257142857142857</v>
      </c>
      <c r="AT65" s="20">
        <f>'Rise of Kingdoms'!D65</f>
        <v>1.3069047619047621E-2</v>
      </c>
      <c r="AU65" s="19">
        <f>'Rise of Kingdoms'!E65</f>
        <v>1.5397714285714286</v>
      </c>
    </row>
    <row r="66" spans="1:47" ht="15.75" customHeight="1" x14ac:dyDescent="0.15">
      <c r="A66" s="16"/>
      <c r="B66" s="16"/>
      <c r="C66" s="16"/>
      <c r="D66" s="16"/>
      <c r="E66" s="16"/>
      <c r="F66" s="16"/>
      <c r="G66" s="16"/>
      <c r="H66" s="16"/>
      <c r="I66" s="16"/>
      <c r="J66" s="16"/>
      <c r="K66" s="16"/>
      <c r="L66" s="16"/>
      <c r="M66" s="16"/>
      <c r="N66" s="16"/>
      <c r="O66" s="17">
        <v>63</v>
      </c>
      <c r="P66" s="17"/>
      <c r="Q66" s="31"/>
      <c r="R66" s="20">
        <f>'Cash Frenzy'!D66</f>
        <v>0</v>
      </c>
      <c r="S66" s="19">
        <f>'Cash Frenzy'!E66</f>
        <v>0</v>
      </c>
      <c r="T66" s="30"/>
      <c r="U66" s="31"/>
      <c r="V66" s="20">
        <f>'Lotsa Slots'!D66</f>
        <v>0</v>
      </c>
      <c r="W66" s="19">
        <f>'Lotsa Slots'!E66</f>
        <v>0</v>
      </c>
      <c r="X66" s="30"/>
      <c r="Y66" s="31"/>
      <c r="Z66" s="30"/>
      <c r="AA66" s="31"/>
      <c r="AB66" s="30"/>
      <c r="AC66" s="31"/>
      <c r="AD66" s="30"/>
      <c r="AE66" s="31"/>
      <c r="AF66" s="30"/>
      <c r="AG66" s="31"/>
      <c r="AH66" s="30"/>
      <c r="AI66" s="31"/>
      <c r="AJ66" s="30"/>
      <c r="AK66" s="31"/>
      <c r="AL66" s="30"/>
      <c r="AM66" s="31"/>
      <c r="AN66" s="30"/>
      <c r="AO66" s="31"/>
      <c r="AP66" s="20"/>
      <c r="AQ66" s="19"/>
      <c r="AR66" s="20">
        <f>'RAID Shadow Legends'!D66</f>
        <v>0.28514285714285714</v>
      </c>
      <c r="AS66" s="19">
        <f>'RAID Shadow Legends'!E66</f>
        <v>2.2811428571428571</v>
      </c>
      <c r="AT66" s="20">
        <f>'Rise of Kingdoms'!D66</f>
        <v>0</v>
      </c>
      <c r="AU66" s="19">
        <f>'Rise of Kingdoms'!E66</f>
        <v>1.5397714285714286</v>
      </c>
    </row>
    <row r="67" spans="1:47" ht="15.75" customHeight="1" x14ac:dyDescent="0.15">
      <c r="A67" s="16"/>
      <c r="B67" s="16"/>
      <c r="C67" s="16"/>
      <c r="D67" s="16"/>
      <c r="E67" s="16"/>
      <c r="F67" s="16"/>
      <c r="G67" s="16"/>
      <c r="H67" s="16"/>
      <c r="I67" s="16"/>
      <c r="J67" s="16"/>
      <c r="K67" s="16"/>
      <c r="L67" s="16"/>
      <c r="M67" s="16"/>
      <c r="N67" s="16"/>
      <c r="O67" s="17">
        <v>64</v>
      </c>
      <c r="P67" s="17"/>
      <c r="Q67" s="31"/>
      <c r="R67" s="20">
        <f>'Cash Frenzy'!D67</f>
        <v>0</v>
      </c>
      <c r="S67" s="19">
        <f>'Cash Frenzy'!E67</f>
        <v>0</v>
      </c>
      <c r="T67" s="30"/>
      <c r="U67" s="31"/>
      <c r="V67" s="20">
        <f>'Lotsa Slots'!D67</f>
        <v>0</v>
      </c>
      <c r="W67" s="19">
        <f>'Lotsa Slots'!E67</f>
        <v>0</v>
      </c>
      <c r="X67" s="30"/>
      <c r="Y67" s="31"/>
      <c r="Z67" s="30"/>
      <c r="AA67" s="31"/>
      <c r="AB67" s="30"/>
      <c r="AC67" s="31"/>
      <c r="AD67" s="30"/>
      <c r="AE67" s="31"/>
      <c r="AF67" s="30"/>
      <c r="AG67" s="31"/>
      <c r="AH67" s="30"/>
      <c r="AI67" s="31"/>
      <c r="AJ67" s="30"/>
      <c r="AK67" s="31"/>
      <c r="AL67" s="30"/>
      <c r="AM67" s="31"/>
      <c r="AN67" s="30"/>
      <c r="AO67" s="31"/>
      <c r="AP67" s="20"/>
      <c r="AQ67" s="19"/>
      <c r="AR67" s="20">
        <f>'RAID Shadow Legends'!D67</f>
        <v>33.323333333333331</v>
      </c>
      <c r="AS67" s="19">
        <f>'RAID Shadow Legends'!E67</f>
        <v>0</v>
      </c>
      <c r="AT67" s="20">
        <f>'Rise of Kingdoms'!D67</f>
        <v>3.9207142857142864E-2</v>
      </c>
      <c r="AU67" s="19">
        <f>'Rise of Kingdoms'!E67</f>
        <v>1.5397714285714286</v>
      </c>
    </row>
    <row r="68" spans="1:47" ht="15.75" customHeight="1" x14ac:dyDescent="0.15">
      <c r="A68" s="16"/>
      <c r="B68" s="16"/>
      <c r="C68" s="16"/>
      <c r="D68" s="16"/>
      <c r="E68" s="16"/>
      <c r="F68" s="16"/>
      <c r="G68" s="16"/>
      <c r="H68" s="16"/>
      <c r="I68" s="16"/>
      <c r="J68" s="16"/>
      <c r="K68" s="16"/>
      <c r="L68" s="16"/>
      <c r="M68" s="16"/>
      <c r="N68" s="16"/>
      <c r="O68" s="17">
        <v>65</v>
      </c>
      <c r="P68" s="17"/>
      <c r="Q68" s="31"/>
      <c r="R68" s="20">
        <f>'Cash Frenzy'!D68</f>
        <v>0</v>
      </c>
      <c r="S68" s="19">
        <f>'Cash Frenzy'!E68</f>
        <v>0</v>
      </c>
      <c r="T68" s="30"/>
      <c r="U68" s="31"/>
      <c r="V68" s="20">
        <f>'Lotsa Slots'!D68</f>
        <v>1.99</v>
      </c>
      <c r="W68" s="19">
        <f>'Lotsa Slots'!E68</f>
        <v>0</v>
      </c>
      <c r="X68" s="30"/>
      <c r="Y68" s="31"/>
      <c r="Z68" s="30"/>
      <c r="AA68" s="31"/>
      <c r="AB68" s="30"/>
      <c r="AC68" s="31"/>
      <c r="AD68" s="30"/>
      <c r="AE68" s="31"/>
      <c r="AF68" s="30"/>
      <c r="AG68" s="31"/>
      <c r="AH68" s="30"/>
      <c r="AI68" s="31"/>
      <c r="AJ68" s="30"/>
      <c r="AK68" s="31"/>
      <c r="AL68" s="30"/>
      <c r="AM68" s="31"/>
      <c r="AN68" s="30"/>
      <c r="AO68" s="31"/>
      <c r="AP68" s="20"/>
      <c r="AQ68" s="19"/>
      <c r="AR68" s="20">
        <f>'RAID Shadow Legends'!D68</f>
        <v>1.3306666666666667</v>
      </c>
      <c r="AS68" s="19">
        <f>'RAID Shadow Legends'!E68</f>
        <v>0</v>
      </c>
      <c r="AT68" s="20">
        <f>'Rise of Kingdoms'!D68</f>
        <v>6.9701587301587306E-2</v>
      </c>
      <c r="AU68" s="19">
        <f>'Rise of Kingdoms'!E68</f>
        <v>13.201058201058203</v>
      </c>
    </row>
    <row r="69" spans="1:47" ht="15.75" customHeight="1" x14ac:dyDescent="0.15">
      <c r="A69" s="16"/>
      <c r="B69" s="16"/>
      <c r="C69" s="16"/>
      <c r="D69" s="16"/>
      <c r="E69" s="16"/>
      <c r="F69" s="16"/>
      <c r="G69" s="16"/>
      <c r="H69" s="16"/>
      <c r="I69" s="16"/>
      <c r="J69" s="16"/>
      <c r="K69" s="16"/>
      <c r="L69" s="16"/>
      <c r="M69" s="16"/>
      <c r="N69" s="16"/>
      <c r="O69" s="17">
        <v>66</v>
      </c>
      <c r="P69" s="17"/>
      <c r="Q69" s="31"/>
      <c r="R69" s="20">
        <f>'Cash Frenzy'!D69</f>
        <v>15.99</v>
      </c>
      <c r="S69" s="19">
        <f>'Cash Frenzy'!E69</f>
        <v>0</v>
      </c>
      <c r="T69" s="30"/>
      <c r="U69" s="31"/>
      <c r="V69" s="20">
        <f>'Lotsa Slots'!D69</f>
        <v>0</v>
      </c>
      <c r="W69" s="19">
        <f>'Lotsa Slots'!E69</f>
        <v>3.99</v>
      </c>
      <c r="X69" s="30"/>
      <c r="Y69" s="31"/>
      <c r="Z69" s="30"/>
      <c r="AA69" s="31"/>
      <c r="AB69" s="30"/>
      <c r="AC69" s="31"/>
      <c r="AD69" s="30"/>
      <c r="AE69" s="31"/>
      <c r="AF69" s="30"/>
      <c r="AG69" s="31"/>
      <c r="AH69" s="30"/>
      <c r="AI69" s="31"/>
      <c r="AJ69" s="30"/>
      <c r="AK69" s="31"/>
      <c r="AL69" s="30"/>
      <c r="AM69" s="31"/>
      <c r="AN69" s="30"/>
      <c r="AO69" s="31"/>
      <c r="AP69" s="20"/>
      <c r="AQ69" s="19"/>
      <c r="AR69" s="20">
        <f>'RAID Shadow Legends'!D69</f>
        <v>3.7638857142857143</v>
      </c>
      <c r="AS69" s="19">
        <f>'RAID Shadow Legends'!E69</f>
        <v>33.323333333333331</v>
      </c>
      <c r="AT69" s="20">
        <f>'Rise of Kingdoms'!D69</f>
        <v>0</v>
      </c>
      <c r="AU69" s="19">
        <f>'Rise of Kingdoms'!E69</f>
        <v>23.761904761904763</v>
      </c>
    </row>
    <row r="70" spans="1:47" ht="15.75" customHeight="1" x14ac:dyDescent="0.15">
      <c r="A70" s="16"/>
      <c r="B70" s="16"/>
      <c r="C70" s="16"/>
      <c r="D70" s="16"/>
      <c r="E70" s="16"/>
      <c r="F70" s="16"/>
      <c r="G70" s="16"/>
      <c r="H70" s="16"/>
      <c r="I70" s="16"/>
      <c r="J70" s="16"/>
      <c r="K70" s="16"/>
      <c r="L70" s="16"/>
      <c r="M70" s="16"/>
      <c r="N70" s="16"/>
      <c r="O70" s="17">
        <v>67</v>
      </c>
      <c r="P70" s="17"/>
      <c r="Q70" s="31"/>
      <c r="R70" s="20">
        <f>'Cash Frenzy'!D70</f>
        <v>0</v>
      </c>
      <c r="S70" s="19">
        <f>'Cash Frenzy'!E70</f>
        <v>1.3266666666666667</v>
      </c>
      <c r="T70" s="30"/>
      <c r="U70" s="31"/>
      <c r="V70" s="20">
        <f>'Lotsa Slots'!D70</f>
        <v>0</v>
      </c>
      <c r="W70" s="19">
        <f>'Lotsa Slots'!E70</f>
        <v>3.99</v>
      </c>
      <c r="X70" s="30"/>
      <c r="Y70" s="31"/>
      <c r="Z70" s="30"/>
      <c r="AA70" s="31"/>
      <c r="AB70" s="30"/>
      <c r="AC70" s="31"/>
      <c r="AD70" s="30"/>
      <c r="AE70" s="31"/>
      <c r="AF70" s="30"/>
      <c r="AG70" s="31"/>
      <c r="AH70" s="30"/>
      <c r="AI70" s="31"/>
      <c r="AJ70" s="30"/>
      <c r="AK70" s="31"/>
      <c r="AL70" s="30"/>
      <c r="AM70" s="31"/>
      <c r="AN70" s="30"/>
      <c r="AO70" s="31"/>
      <c r="AP70" s="20"/>
      <c r="AQ70" s="19"/>
      <c r="AR70" s="20">
        <f>'RAID Shadow Legends'!D70</f>
        <v>0.85542857142857143</v>
      </c>
      <c r="AS70" s="19">
        <f>'RAID Shadow Legends'!E70</f>
        <v>0.47523809523809524</v>
      </c>
      <c r="AT70" s="20">
        <f>'Rise of Kingdoms'!D70</f>
        <v>23.52428571428571</v>
      </c>
      <c r="AU70" s="19">
        <f>'Rise of Kingdoms'!E70</f>
        <v>1.1880952380952381</v>
      </c>
    </row>
    <row r="71" spans="1:47" ht="15.75" customHeight="1" x14ac:dyDescent="0.15">
      <c r="A71" s="16"/>
      <c r="B71" s="16"/>
      <c r="C71" s="16"/>
      <c r="D71" s="16"/>
      <c r="E71" s="16"/>
      <c r="F71" s="16"/>
      <c r="G71" s="16"/>
      <c r="H71" s="16"/>
      <c r="I71" s="16"/>
      <c r="J71" s="16"/>
      <c r="K71" s="16"/>
      <c r="L71" s="16"/>
      <c r="M71" s="16"/>
      <c r="N71" s="16"/>
      <c r="O71" s="17">
        <v>68</v>
      </c>
      <c r="P71" s="17"/>
      <c r="Q71" s="31"/>
      <c r="R71" s="20">
        <f>'Cash Frenzy'!D71</f>
        <v>0</v>
      </c>
      <c r="S71" s="19">
        <f>'Cash Frenzy'!E71</f>
        <v>0</v>
      </c>
      <c r="T71" s="30"/>
      <c r="U71" s="31"/>
      <c r="V71" s="20">
        <f>'Lotsa Slots'!D71</f>
        <v>0</v>
      </c>
      <c r="W71" s="19">
        <f>'Lotsa Slots'!E71</f>
        <v>0</v>
      </c>
      <c r="X71" s="30"/>
      <c r="Y71" s="31"/>
      <c r="Z71" s="30"/>
      <c r="AA71" s="31"/>
      <c r="AB71" s="30"/>
      <c r="AC71" s="31"/>
      <c r="AD71" s="30"/>
      <c r="AE71" s="31"/>
      <c r="AF71" s="30"/>
      <c r="AG71" s="31"/>
      <c r="AH71" s="30"/>
      <c r="AI71" s="31"/>
      <c r="AJ71" s="30"/>
      <c r="AK71" s="31"/>
      <c r="AL71" s="30"/>
      <c r="AM71" s="31"/>
      <c r="AN71" s="30"/>
      <c r="AO71" s="31"/>
      <c r="AP71" s="20"/>
      <c r="AQ71" s="19"/>
      <c r="AR71" s="20">
        <f>'RAID Shadow Legends'!D71</f>
        <v>0.35642857142857143</v>
      </c>
      <c r="AS71" s="19">
        <f>'RAID Shadow Legends'!E71</f>
        <v>2.2811428571428571</v>
      </c>
      <c r="AT71" s="20">
        <f>'Rise of Kingdoms'!D71</f>
        <v>0</v>
      </c>
      <c r="AU71" s="19">
        <f>'Rise of Kingdoms'!E71</f>
        <v>1.1880952380952381</v>
      </c>
    </row>
    <row r="72" spans="1:47" ht="15.75" customHeight="1" x14ac:dyDescent="0.15">
      <c r="A72" s="16"/>
      <c r="B72" s="16"/>
      <c r="C72" s="16"/>
      <c r="D72" s="16"/>
      <c r="E72" s="16"/>
      <c r="F72" s="16"/>
      <c r="G72" s="16"/>
      <c r="H72" s="16"/>
      <c r="I72" s="16"/>
      <c r="J72" s="16"/>
      <c r="K72" s="16"/>
      <c r="L72" s="16"/>
      <c r="M72" s="16"/>
      <c r="N72" s="16"/>
      <c r="O72" s="17">
        <v>69</v>
      </c>
      <c r="P72" s="17"/>
      <c r="Q72" s="31"/>
      <c r="R72" s="20">
        <f>'Cash Frenzy'!D72</f>
        <v>0</v>
      </c>
      <c r="S72" s="19">
        <f>'Cash Frenzy'!E72</f>
        <v>0</v>
      </c>
      <c r="T72" s="30"/>
      <c r="U72" s="31"/>
      <c r="V72" s="20">
        <f>'Lotsa Slots'!D72</f>
        <v>0</v>
      </c>
      <c r="W72" s="19">
        <f>'Lotsa Slots'!E72</f>
        <v>0</v>
      </c>
      <c r="X72" s="30"/>
      <c r="Y72" s="31"/>
      <c r="Z72" s="30"/>
      <c r="AA72" s="31"/>
      <c r="AB72" s="30"/>
      <c r="AC72" s="31"/>
      <c r="AD72" s="30"/>
      <c r="AE72" s="31"/>
      <c r="AF72" s="30"/>
      <c r="AG72" s="31"/>
      <c r="AH72" s="30"/>
      <c r="AI72" s="31"/>
      <c r="AJ72" s="30"/>
      <c r="AK72" s="31"/>
      <c r="AL72" s="30"/>
      <c r="AM72" s="31"/>
      <c r="AN72" s="30"/>
      <c r="AO72" s="31"/>
      <c r="AP72" s="20"/>
      <c r="AQ72" s="19"/>
      <c r="AR72" s="20">
        <f>'RAID Shadow Legends'!D72</f>
        <v>1.1405714285714286</v>
      </c>
      <c r="AS72" s="19">
        <f>'RAID Shadow Legends'!E72</f>
        <v>1.3306666666666667</v>
      </c>
      <c r="AT72" s="20">
        <f>'Rise of Kingdoms'!D72</f>
        <v>6.9701587301587306E-2</v>
      </c>
      <c r="AU72" s="19">
        <f>'Rise of Kingdoms'!E72</f>
        <v>5.7028571428571428</v>
      </c>
    </row>
    <row r="73" spans="1:47" ht="15.75" customHeight="1" x14ac:dyDescent="0.15">
      <c r="A73" s="16"/>
      <c r="B73" s="16"/>
      <c r="C73" s="16"/>
      <c r="D73" s="16"/>
      <c r="E73" s="16"/>
      <c r="F73" s="16"/>
      <c r="G73" s="16"/>
      <c r="H73" s="16"/>
      <c r="I73" s="16"/>
      <c r="J73" s="16"/>
      <c r="K73" s="16"/>
      <c r="L73" s="16"/>
      <c r="M73" s="16"/>
      <c r="N73" s="16"/>
      <c r="O73" s="17">
        <v>70</v>
      </c>
      <c r="P73" s="17"/>
      <c r="Q73" s="31"/>
      <c r="R73" s="20">
        <f>'Cash Frenzy'!D73</f>
        <v>0</v>
      </c>
      <c r="S73" s="19">
        <f>'Cash Frenzy'!E73</f>
        <v>0</v>
      </c>
      <c r="T73" s="30"/>
      <c r="U73" s="31"/>
      <c r="V73" s="20">
        <f>'Lotsa Slots'!D73</f>
        <v>0.4966666666666667</v>
      </c>
      <c r="W73" s="19">
        <f>'Lotsa Slots'!E73</f>
        <v>0</v>
      </c>
      <c r="X73" s="30"/>
      <c r="Y73" s="31"/>
      <c r="Z73" s="30"/>
      <c r="AA73" s="31"/>
      <c r="AB73" s="30"/>
      <c r="AC73" s="31"/>
      <c r="AD73" s="30"/>
      <c r="AE73" s="31"/>
      <c r="AF73" s="30"/>
      <c r="AG73" s="31"/>
      <c r="AH73" s="30"/>
      <c r="AI73" s="31"/>
      <c r="AJ73" s="30"/>
      <c r="AK73" s="31"/>
      <c r="AL73" s="30"/>
      <c r="AM73" s="31"/>
      <c r="AN73" s="30"/>
      <c r="AO73" s="31"/>
      <c r="AP73" s="20"/>
      <c r="AQ73" s="19"/>
      <c r="AR73" s="20">
        <f>'RAID Shadow Legends'!D73</f>
        <v>2.2811428571428571</v>
      </c>
      <c r="AS73" s="19">
        <f>'RAID Shadow Legends'!E73</f>
        <v>4.9950000000000001</v>
      </c>
      <c r="AT73" s="20">
        <f>'Rise of Kingdoms'!D73</f>
        <v>28.514285714285712</v>
      </c>
      <c r="AU73" s="19">
        <f>'Rise of Kingdoms'!E73</f>
        <v>6.9701587301587306E-2</v>
      </c>
    </row>
    <row r="74" spans="1:47" ht="15.75" customHeight="1" x14ac:dyDescent="0.15">
      <c r="A74" s="16"/>
      <c r="B74" s="16"/>
      <c r="C74" s="16"/>
      <c r="D74" s="16"/>
      <c r="E74" s="16"/>
      <c r="F74" s="16"/>
      <c r="G74" s="16"/>
      <c r="H74" s="16"/>
      <c r="I74" s="16"/>
      <c r="J74" s="16"/>
      <c r="K74" s="16"/>
      <c r="L74" s="16"/>
      <c r="M74" s="16"/>
      <c r="N74" s="16"/>
      <c r="O74" s="17">
        <v>71</v>
      </c>
      <c r="P74" s="17"/>
      <c r="Q74" s="31"/>
      <c r="R74" s="20">
        <f>'Cash Frenzy'!D74</f>
        <v>0</v>
      </c>
      <c r="S74" s="19">
        <f>'Cash Frenzy'!E74</f>
        <v>15.968000000000002</v>
      </c>
      <c r="T74" s="30"/>
      <c r="U74" s="31"/>
      <c r="V74" s="20">
        <f>'Lotsa Slots'!D74</f>
        <v>0</v>
      </c>
      <c r="W74" s="19">
        <f>'Lotsa Slots'!E74</f>
        <v>0</v>
      </c>
      <c r="X74" s="30"/>
      <c r="Y74" s="31"/>
      <c r="Z74" s="30"/>
      <c r="AA74" s="31"/>
      <c r="AB74" s="30"/>
      <c r="AC74" s="31"/>
      <c r="AD74" s="30"/>
      <c r="AE74" s="31"/>
      <c r="AF74" s="30"/>
      <c r="AG74" s="31"/>
      <c r="AH74" s="30"/>
      <c r="AI74" s="31"/>
      <c r="AJ74" s="30"/>
      <c r="AK74" s="31"/>
      <c r="AL74" s="30"/>
      <c r="AM74" s="31"/>
      <c r="AN74" s="30"/>
      <c r="AO74" s="31"/>
      <c r="AP74" s="20"/>
      <c r="AQ74" s="19"/>
      <c r="AR74" s="20">
        <f>'RAID Shadow Legends'!D74</f>
        <v>1.1405714285714286</v>
      </c>
      <c r="AS74" s="19">
        <f>'RAID Shadow Legends'!E74</f>
        <v>2.8514285714285714</v>
      </c>
      <c r="AT74" s="20">
        <f>'Rise of Kingdoms'!D74</f>
        <v>0</v>
      </c>
      <c r="AU74" s="19">
        <f>'Rise of Kingdoms'!E74</f>
        <v>4.99</v>
      </c>
    </row>
    <row r="75" spans="1:47" ht="15.75" customHeight="1" x14ac:dyDescent="0.15">
      <c r="A75" s="16"/>
      <c r="B75" s="16"/>
      <c r="C75" s="16"/>
      <c r="D75" s="16"/>
      <c r="E75" s="16"/>
      <c r="F75" s="16"/>
      <c r="G75" s="16"/>
      <c r="H75" s="16"/>
      <c r="I75" s="16"/>
      <c r="J75" s="16"/>
      <c r="K75" s="16"/>
      <c r="L75" s="16"/>
      <c r="M75" s="16"/>
      <c r="N75" s="16"/>
      <c r="O75" s="17">
        <v>72</v>
      </c>
      <c r="P75" s="17"/>
      <c r="Q75" s="31"/>
      <c r="R75" s="20">
        <f>'Cash Frenzy'!D75</f>
        <v>0</v>
      </c>
      <c r="S75" s="19">
        <f>'Cash Frenzy'!E75</f>
        <v>11.99</v>
      </c>
      <c r="T75" s="30"/>
      <c r="U75" s="31"/>
      <c r="V75" s="20">
        <f>'Lotsa Slots'!D75</f>
        <v>0</v>
      </c>
      <c r="W75" s="19">
        <f>'Lotsa Slots'!E75</f>
        <v>0</v>
      </c>
      <c r="X75" s="30"/>
      <c r="Y75" s="31"/>
      <c r="Z75" s="30"/>
      <c r="AA75" s="31"/>
      <c r="AB75" s="30"/>
      <c r="AC75" s="31"/>
      <c r="AD75" s="30"/>
      <c r="AE75" s="31"/>
      <c r="AF75" s="30"/>
      <c r="AG75" s="31"/>
      <c r="AH75" s="30"/>
      <c r="AI75" s="31"/>
      <c r="AJ75" s="30"/>
      <c r="AK75" s="31"/>
      <c r="AL75" s="30"/>
      <c r="AM75" s="31"/>
      <c r="AN75" s="30"/>
      <c r="AO75" s="31"/>
      <c r="AP75" s="20"/>
      <c r="AQ75" s="19"/>
      <c r="AR75" s="20">
        <f>'RAID Shadow Legends'!D75</f>
        <v>2.8514285714285714</v>
      </c>
      <c r="AS75" s="19">
        <f>'RAID Shadow Legends'!E75</f>
        <v>1.4257142857142857</v>
      </c>
      <c r="AT75" s="20">
        <f>'Rise of Kingdoms'!D75</f>
        <v>0</v>
      </c>
      <c r="AU75" s="19">
        <f>'Rise of Kingdoms'!E75</f>
        <v>11.880952380952381</v>
      </c>
    </row>
    <row r="76" spans="1:47" ht="15.75" customHeight="1" x14ac:dyDescent="0.15">
      <c r="A76" s="16"/>
      <c r="B76" s="16"/>
      <c r="C76" s="16"/>
      <c r="D76" s="16"/>
      <c r="E76" s="16"/>
      <c r="F76" s="16"/>
      <c r="G76" s="16"/>
      <c r="H76" s="16"/>
      <c r="I76" s="16"/>
      <c r="J76" s="16"/>
      <c r="K76" s="16"/>
      <c r="L76" s="16"/>
      <c r="M76" s="16"/>
      <c r="N76" s="16"/>
      <c r="O76" s="17">
        <v>73</v>
      </c>
      <c r="P76" s="17"/>
      <c r="Q76" s="31"/>
      <c r="R76" s="20">
        <f>'Cash Frenzy'!D76</f>
        <v>0</v>
      </c>
      <c r="S76" s="19">
        <f>'Cash Frenzy'!E76</f>
        <v>0</v>
      </c>
      <c r="T76" s="30"/>
      <c r="U76" s="31"/>
      <c r="V76" s="20">
        <f>'Lotsa Slots'!D76</f>
        <v>0</v>
      </c>
      <c r="W76" s="19">
        <f>'Lotsa Slots'!E76</f>
        <v>0</v>
      </c>
      <c r="X76" s="30"/>
      <c r="Y76" s="31"/>
      <c r="Z76" s="30"/>
      <c r="AA76" s="31"/>
      <c r="AB76" s="30"/>
      <c r="AC76" s="31"/>
      <c r="AD76" s="30"/>
      <c r="AE76" s="31"/>
      <c r="AF76" s="30"/>
      <c r="AG76" s="31"/>
      <c r="AH76" s="30"/>
      <c r="AI76" s="31"/>
      <c r="AJ76" s="30"/>
      <c r="AK76" s="31"/>
      <c r="AL76" s="30"/>
      <c r="AM76" s="31"/>
      <c r="AN76" s="30"/>
      <c r="AO76" s="31"/>
      <c r="AP76" s="20"/>
      <c r="AQ76" s="19"/>
      <c r="AR76" s="20">
        <f>'RAID Shadow Legends'!D76</f>
        <v>0.28514285714285714</v>
      </c>
      <c r="AS76" s="19">
        <f>'RAID Shadow Legends'!E76</f>
        <v>2.2811428571428571</v>
      </c>
      <c r="AT76" s="20">
        <f>'Rise of Kingdoms'!D76</f>
        <v>0</v>
      </c>
      <c r="AU76" s="19">
        <f>'Rise of Kingdoms'!E76</f>
        <v>0</v>
      </c>
    </row>
    <row r="77" spans="1:47" ht="15.75" customHeight="1" x14ac:dyDescent="0.15">
      <c r="A77" s="16"/>
      <c r="B77" s="16"/>
      <c r="C77" s="16"/>
      <c r="D77" s="16"/>
      <c r="E77" s="16"/>
      <c r="F77" s="16"/>
      <c r="G77" s="16"/>
      <c r="H77" s="16"/>
      <c r="I77" s="16"/>
      <c r="J77" s="16"/>
      <c r="K77" s="16"/>
      <c r="L77" s="16"/>
      <c r="M77" s="16"/>
      <c r="N77" s="16"/>
      <c r="O77" s="17">
        <v>74</v>
      </c>
      <c r="P77" s="17"/>
      <c r="Q77" s="31"/>
      <c r="R77" s="20">
        <f>'Cash Frenzy'!D77</f>
        <v>0</v>
      </c>
      <c r="S77" s="19">
        <f>'Cash Frenzy'!E77</f>
        <v>0</v>
      </c>
      <c r="T77" s="30"/>
      <c r="U77" s="31"/>
      <c r="V77" s="20">
        <f>'Lotsa Slots'!D77</f>
        <v>0</v>
      </c>
      <c r="W77" s="19">
        <f>'Lotsa Slots'!E77</f>
        <v>0</v>
      </c>
      <c r="X77" s="30"/>
      <c r="Y77" s="31"/>
      <c r="Z77" s="30"/>
      <c r="AA77" s="31"/>
      <c r="AB77" s="30"/>
      <c r="AC77" s="31"/>
      <c r="AD77" s="30"/>
      <c r="AE77" s="31"/>
      <c r="AF77" s="30"/>
      <c r="AG77" s="31"/>
      <c r="AH77" s="30"/>
      <c r="AI77" s="31"/>
      <c r="AJ77" s="30"/>
      <c r="AK77" s="31"/>
      <c r="AL77" s="30"/>
      <c r="AM77" s="31"/>
      <c r="AN77" s="30"/>
      <c r="AO77" s="31"/>
      <c r="AP77" s="20"/>
      <c r="AQ77" s="19"/>
      <c r="AR77" s="20">
        <f>'RAID Shadow Legends'!D77</f>
        <v>33.323333333333331</v>
      </c>
      <c r="AS77" s="19">
        <f>'RAID Shadow Legends'!E77</f>
        <v>0</v>
      </c>
      <c r="AT77" s="20">
        <f>'Rise of Kingdoms'!D77</f>
        <v>0</v>
      </c>
      <c r="AU77" s="19">
        <f>'Rise of Kingdoms'!E77</f>
        <v>27.536879365079365</v>
      </c>
    </row>
    <row r="78" spans="1:47" ht="15.75" customHeight="1" x14ac:dyDescent="0.15">
      <c r="A78" s="16"/>
      <c r="B78" s="16"/>
      <c r="C78" s="16"/>
      <c r="D78" s="16"/>
      <c r="E78" s="16"/>
      <c r="F78" s="16"/>
      <c r="G78" s="16"/>
      <c r="H78" s="16"/>
      <c r="I78" s="16"/>
      <c r="J78" s="16"/>
      <c r="K78" s="16"/>
      <c r="L78" s="16"/>
      <c r="M78" s="16"/>
      <c r="N78" s="16"/>
      <c r="O78" s="17">
        <v>75</v>
      </c>
      <c r="P78" s="17"/>
      <c r="Q78" s="31"/>
      <c r="R78" s="20">
        <f>'Cash Frenzy'!D78</f>
        <v>0</v>
      </c>
      <c r="S78" s="19">
        <f>'Cash Frenzy'!E78</f>
        <v>0</v>
      </c>
      <c r="T78" s="30"/>
      <c r="U78" s="31"/>
      <c r="V78" s="20">
        <f>'Lotsa Slots'!D78</f>
        <v>0</v>
      </c>
      <c r="W78" s="19">
        <f>'Lotsa Slots'!E78</f>
        <v>0</v>
      </c>
      <c r="X78" s="30"/>
      <c r="Y78" s="31"/>
      <c r="Z78" s="30"/>
      <c r="AA78" s="31"/>
      <c r="AB78" s="30"/>
      <c r="AC78" s="31"/>
      <c r="AD78" s="30"/>
      <c r="AE78" s="31"/>
      <c r="AF78" s="30"/>
      <c r="AG78" s="31"/>
      <c r="AH78" s="30"/>
      <c r="AI78" s="31"/>
      <c r="AJ78" s="30"/>
      <c r="AK78" s="31"/>
      <c r="AL78" s="30"/>
      <c r="AM78" s="31"/>
      <c r="AN78" s="30"/>
      <c r="AO78" s="31"/>
      <c r="AP78" s="20"/>
      <c r="AQ78" s="19"/>
      <c r="AR78" s="20">
        <f>'RAID Shadow Legends'!D78</f>
        <v>0</v>
      </c>
      <c r="AS78" s="19">
        <f>'RAID Shadow Legends'!E78</f>
        <v>4.5622857142857143</v>
      </c>
      <c r="AT78" s="20">
        <f>'Rise of Kingdoms'!D78</f>
        <v>0</v>
      </c>
      <c r="AU78" s="19">
        <f>'Rise of Kingdoms'!E78</f>
        <v>6.9701587301587306E-2</v>
      </c>
    </row>
    <row r="79" spans="1:47" ht="15.75" customHeight="1" x14ac:dyDescent="0.15">
      <c r="A79" s="16"/>
      <c r="B79" s="16"/>
      <c r="C79" s="16"/>
      <c r="D79" s="16"/>
      <c r="E79" s="16"/>
      <c r="F79" s="16"/>
      <c r="G79" s="16"/>
      <c r="H79" s="16"/>
      <c r="I79" s="16"/>
      <c r="J79" s="16"/>
      <c r="K79" s="16"/>
      <c r="L79" s="16"/>
      <c r="M79" s="16"/>
      <c r="N79" s="16"/>
      <c r="O79" s="17">
        <v>76</v>
      </c>
      <c r="P79" s="17"/>
      <c r="Q79" s="31"/>
      <c r="R79" s="20">
        <f>'Cash Frenzy'!D79</f>
        <v>19.989999999999998</v>
      </c>
      <c r="S79" s="19">
        <f>'Cash Frenzy'!E79</f>
        <v>0</v>
      </c>
      <c r="T79" s="30"/>
      <c r="U79" s="31"/>
      <c r="V79" s="20">
        <f>'Lotsa Slots'!D79</f>
        <v>0</v>
      </c>
      <c r="W79" s="19">
        <f>'Lotsa Slots'!E79</f>
        <v>3.99</v>
      </c>
      <c r="X79" s="30"/>
      <c r="Y79" s="31"/>
      <c r="Z79" s="30"/>
      <c r="AA79" s="31"/>
      <c r="AB79" s="30"/>
      <c r="AC79" s="31"/>
      <c r="AD79" s="30"/>
      <c r="AE79" s="31"/>
      <c r="AF79" s="30"/>
      <c r="AG79" s="31"/>
      <c r="AH79" s="30"/>
      <c r="AI79" s="31"/>
      <c r="AJ79" s="30"/>
      <c r="AK79" s="31"/>
      <c r="AL79" s="30"/>
      <c r="AM79" s="31"/>
      <c r="AN79" s="30"/>
      <c r="AO79" s="31"/>
      <c r="AP79" s="20"/>
      <c r="AQ79" s="19"/>
      <c r="AR79" s="20">
        <f>'RAID Shadow Legends'!D79</f>
        <v>3.7638857142857143</v>
      </c>
      <c r="AS79" s="19">
        <f>'RAID Shadow Legends'!E79</f>
        <v>33.323333333333331</v>
      </c>
      <c r="AT79" s="20">
        <f>'Rise of Kingdoms'!D79</f>
        <v>0</v>
      </c>
      <c r="AU79" s="19">
        <f>'Rise of Kingdoms'!E79</f>
        <v>11.405714285714286</v>
      </c>
    </row>
    <row r="80" spans="1:47" ht="15.75" customHeight="1" x14ac:dyDescent="0.15">
      <c r="A80" s="16"/>
      <c r="B80" s="16"/>
      <c r="C80" s="16"/>
      <c r="D80" s="16"/>
      <c r="E80" s="16"/>
      <c r="F80" s="16"/>
      <c r="G80" s="16"/>
      <c r="H80" s="16"/>
      <c r="I80" s="16"/>
      <c r="J80" s="16"/>
      <c r="K80" s="16"/>
      <c r="L80" s="16"/>
      <c r="M80" s="16"/>
      <c r="N80" s="16"/>
      <c r="O80" s="17">
        <v>77</v>
      </c>
      <c r="P80" s="17"/>
      <c r="Q80" s="31"/>
      <c r="R80" s="20">
        <f>'Cash Frenzy'!D80</f>
        <v>0</v>
      </c>
      <c r="S80" s="19">
        <f>'Cash Frenzy'!E80</f>
        <v>1.99</v>
      </c>
      <c r="T80" s="30"/>
      <c r="U80" s="31"/>
      <c r="V80" s="20">
        <f>'Lotsa Slots'!D80</f>
        <v>0</v>
      </c>
      <c r="W80" s="19">
        <f>'Lotsa Slots'!E80</f>
        <v>0</v>
      </c>
      <c r="X80" s="30"/>
      <c r="Y80" s="31"/>
      <c r="Z80" s="30"/>
      <c r="AA80" s="31"/>
      <c r="AB80" s="30"/>
      <c r="AC80" s="31"/>
      <c r="AD80" s="30"/>
      <c r="AE80" s="31"/>
      <c r="AF80" s="30"/>
      <c r="AG80" s="31"/>
      <c r="AH80" s="30"/>
      <c r="AI80" s="31"/>
      <c r="AJ80" s="30"/>
      <c r="AK80" s="31"/>
      <c r="AL80" s="30"/>
      <c r="AM80" s="31"/>
      <c r="AN80" s="30"/>
      <c r="AO80" s="31"/>
      <c r="AP80" s="20"/>
      <c r="AQ80" s="19"/>
      <c r="AR80" s="20">
        <f>'RAID Shadow Legends'!D80</f>
        <v>0.85542857142857143</v>
      </c>
      <c r="AS80" s="19">
        <f>'RAID Shadow Legends'!E80</f>
        <v>0.47523809523809524</v>
      </c>
      <c r="AT80" s="20">
        <f>'Rise of Kingdoms'!D80</f>
        <v>0</v>
      </c>
      <c r="AU80" s="19">
        <f>'Rise of Kingdoms'!E80</f>
        <v>15.92</v>
      </c>
    </row>
    <row r="81" spans="1:47" ht="15.75" customHeight="1" x14ac:dyDescent="0.15">
      <c r="A81" s="16"/>
      <c r="B81" s="16"/>
      <c r="C81" s="16"/>
      <c r="D81" s="16"/>
      <c r="E81" s="16"/>
      <c r="F81" s="16"/>
      <c r="G81" s="16"/>
      <c r="H81" s="16"/>
      <c r="I81" s="16"/>
      <c r="J81" s="16"/>
      <c r="K81" s="16"/>
      <c r="L81" s="16"/>
      <c r="M81" s="16"/>
      <c r="N81" s="16"/>
      <c r="O81" s="17">
        <v>78</v>
      </c>
      <c r="P81" s="17"/>
      <c r="Q81" s="31"/>
      <c r="R81" s="20">
        <f>'Cash Frenzy'!D81</f>
        <v>0</v>
      </c>
      <c r="S81" s="19">
        <f>'Cash Frenzy'!E81</f>
        <v>0</v>
      </c>
      <c r="T81" s="30"/>
      <c r="U81" s="31"/>
      <c r="V81" s="20">
        <f>'Lotsa Slots'!D81</f>
        <v>0</v>
      </c>
      <c r="W81" s="19">
        <f>'Lotsa Slots'!E81</f>
        <v>0</v>
      </c>
      <c r="X81" s="30"/>
      <c r="Y81" s="31"/>
      <c r="Z81" s="30"/>
      <c r="AA81" s="31"/>
      <c r="AB81" s="30"/>
      <c r="AC81" s="31"/>
      <c r="AD81" s="30"/>
      <c r="AE81" s="31"/>
      <c r="AF81" s="30"/>
      <c r="AG81" s="31"/>
      <c r="AH81" s="30"/>
      <c r="AI81" s="31"/>
      <c r="AJ81" s="30"/>
      <c r="AK81" s="31"/>
      <c r="AL81" s="30"/>
      <c r="AM81" s="31"/>
      <c r="AN81" s="30"/>
      <c r="AO81" s="31"/>
      <c r="AP81" s="20"/>
      <c r="AQ81" s="19"/>
      <c r="AR81" s="20">
        <f>'RAID Shadow Legends'!D81</f>
        <v>0.35642857142857143</v>
      </c>
      <c r="AS81" s="19">
        <f>'RAID Shadow Legends'!E81</f>
        <v>2.2811428571428571</v>
      </c>
      <c r="AT81" s="20">
        <f>'Rise of Kingdoms'!D81</f>
        <v>0</v>
      </c>
      <c r="AU81" s="19">
        <f>'Rise of Kingdoms'!E81</f>
        <v>6.9701587301587306E-2</v>
      </c>
    </row>
    <row r="82" spans="1:47" ht="15.75" customHeight="1" x14ac:dyDescent="0.15">
      <c r="A82" s="16"/>
      <c r="B82" s="16"/>
      <c r="C82" s="16"/>
      <c r="D82" s="16"/>
      <c r="E82" s="16"/>
      <c r="F82" s="16"/>
      <c r="G82" s="16"/>
      <c r="H82" s="16"/>
      <c r="I82" s="16"/>
      <c r="J82" s="16"/>
      <c r="K82" s="16"/>
      <c r="L82" s="16"/>
      <c r="M82" s="16"/>
      <c r="N82" s="16"/>
      <c r="O82" s="17">
        <v>79</v>
      </c>
      <c r="P82" s="17"/>
      <c r="Q82" s="31"/>
      <c r="R82" s="20">
        <f>'Cash Frenzy'!D82</f>
        <v>0</v>
      </c>
      <c r="S82" s="19">
        <f>'Cash Frenzy'!E82</f>
        <v>0</v>
      </c>
      <c r="T82" s="30"/>
      <c r="U82" s="31"/>
      <c r="V82" s="20">
        <f>'Lotsa Slots'!D82</f>
        <v>0</v>
      </c>
      <c r="W82" s="19">
        <f>'Lotsa Slots'!E82</f>
        <v>2.66</v>
      </c>
      <c r="X82" s="30"/>
      <c r="Y82" s="31"/>
      <c r="Z82" s="30"/>
      <c r="AA82" s="31"/>
      <c r="AB82" s="30"/>
      <c r="AC82" s="31"/>
      <c r="AD82" s="30"/>
      <c r="AE82" s="31"/>
      <c r="AF82" s="30"/>
      <c r="AG82" s="31"/>
      <c r="AH82" s="30"/>
      <c r="AI82" s="31"/>
      <c r="AJ82" s="30"/>
      <c r="AK82" s="31"/>
      <c r="AL82" s="30"/>
      <c r="AM82" s="31"/>
      <c r="AN82" s="30"/>
      <c r="AO82" s="31"/>
      <c r="AP82" s="20"/>
      <c r="AQ82" s="19"/>
      <c r="AR82" s="20">
        <f>'RAID Shadow Legends'!D82</f>
        <v>1.1405714285714286</v>
      </c>
      <c r="AS82" s="19">
        <f>'RAID Shadow Legends'!E82</f>
        <v>1.3306666666666667</v>
      </c>
      <c r="AT82" s="20">
        <f>'Rise of Kingdoms'!D82</f>
        <v>0</v>
      </c>
      <c r="AU82" s="19">
        <f>'Rise of Kingdoms'!E82</f>
        <v>5.7028571428571428</v>
      </c>
    </row>
    <row r="83" spans="1:47" ht="15.75" customHeight="1" x14ac:dyDescent="0.15">
      <c r="A83" s="16"/>
      <c r="B83" s="16"/>
      <c r="C83" s="16"/>
      <c r="D83" s="16"/>
      <c r="E83" s="16"/>
      <c r="F83" s="16"/>
      <c r="G83" s="16"/>
      <c r="H83" s="16"/>
      <c r="I83" s="16"/>
      <c r="J83" s="16"/>
      <c r="K83" s="16"/>
      <c r="L83" s="16"/>
      <c r="M83" s="16"/>
      <c r="N83" s="16"/>
      <c r="O83" s="17">
        <v>80</v>
      </c>
      <c r="P83" s="17"/>
      <c r="Q83" s="31"/>
      <c r="R83" s="20">
        <f>'Cash Frenzy'!D83</f>
        <v>0</v>
      </c>
      <c r="S83" s="19">
        <f>'Cash Frenzy'!E83</f>
        <v>0</v>
      </c>
      <c r="T83" s="30"/>
      <c r="U83" s="31"/>
      <c r="V83" s="20">
        <f>'Lotsa Slots'!D83</f>
        <v>0</v>
      </c>
      <c r="W83" s="19">
        <f>'Lotsa Slots'!E83</f>
        <v>19.989999999999998</v>
      </c>
      <c r="X83" s="30"/>
      <c r="Y83" s="31"/>
      <c r="Z83" s="30"/>
      <c r="AA83" s="31"/>
      <c r="AB83" s="30"/>
      <c r="AC83" s="31"/>
      <c r="AD83" s="30"/>
      <c r="AE83" s="31"/>
      <c r="AF83" s="30"/>
      <c r="AG83" s="31"/>
      <c r="AH83" s="30"/>
      <c r="AI83" s="31"/>
      <c r="AJ83" s="30"/>
      <c r="AK83" s="31"/>
      <c r="AL83" s="30"/>
      <c r="AM83" s="31"/>
      <c r="AN83" s="30"/>
      <c r="AO83" s="31"/>
      <c r="AP83" s="20"/>
      <c r="AQ83" s="19"/>
      <c r="AR83" s="20">
        <f>'RAID Shadow Legends'!D83</f>
        <v>19.019028571428571</v>
      </c>
      <c r="AS83" s="19">
        <f>'RAID Shadow Legends'!E83</f>
        <v>24.99</v>
      </c>
      <c r="AT83" s="20">
        <f>'Rise of Kingdoms'!D83</f>
        <v>0</v>
      </c>
      <c r="AU83" s="19">
        <f>'Rise of Kingdoms'!E83</f>
        <v>75.51005291005292</v>
      </c>
    </row>
    <row r="84" spans="1:47" ht="15.75" customHeight="1" x14ac:dyDescent="0.15">
      <c r="A84" s="16"/>
      <c r="B84" s="16"/>
      <c r="C84" s="16"/>
      <c r="D84" s="16"/>
      <c r="E84" s="16"/>
      <c r="F84" s="16"/>
      <c r="G84" s="16"/>
      <c r="H84" s="16"/>
      <c r="I84" s="16"/>
      <c r="J84" s="16"/>
      <c r="K84" s="16"/>
      <c r="L84" s="16"/>
      <c r="M84" s="16"/>
      <c r="N84" s="16"/>
      <c r="O84" s="17">
        <v>81</v>
      </c>
      <c r="P84" s="17"/>
      <c r="Q84" s="31"/>
      <c r="R84" s="20">
        <f>'Cash Frenzy'!D84</f>
        <v>0</v>
      </c>
      <c r="S84" s="19">
        <f>'Cash Frenzy'!E84</f>
        <v>0</v>
      </c>
      <c r="T84" s="30"/>
      <c r="U84" s="31"/>
      <c r="V84" s="20">
        <f>'Lotsa Slots'!D84</f>
        <v>0</v>
      </c>
      <c r="W84" s="19">
        <f>'Lotsa Slots'!E84</f>
        <v>0</v>
      </c>
      <c r="X84" s="30"/>
      <c r="Y84" s="31"/>
      <c r="Z84" s="30"/>
      <c r="AA84" s="31"/>
      <c r="AB84" s="30"/>
      <c r="AC84" s="31"/>
      <c r="AD84" s="30"/>
      <c r="AE84" s="31"/>
      <c r="AF84" s="30"/>
      <c r="AG84" s="31"/>
      <c r="AH84" s="30"/>
      <c r="AI84" s="31"/>
      <c r="AJ84" s="30"/>
      <c r="AK84" s="31"/>
      <c r="AL84" s="30"/>
      <c r="AM84" s="31"/>
      <c r="AN84" s="30"/>
      <c r="AO84" s="31"/>
      <c r="AP84" s="20"/>
      <c r="AQ84" s="19"/>
      <c r="AR84" s="20">
        <f>'RAID Shadow Legends'!D84</f>
        <v>1.1405714285714286</v>
      </c>
      <c r="AS84" s="19">
        <f>'RAID Shadow Legends'!E84</f>
        <v>2.8514285714285714</v>
      </c>
      <c r="AT84" s="20">
        <f>'Rise of Kingdoms'!D84</f>
        <v>0</v>
      </c>
      <c r="AU84" s="19">
        <f>'Rise of Kingdoms'!E84</f>
        <v>3.0890476190476193</v>
      </c>
    </row>
    <row r="85" spans="1:47" ht="15.75" customHeight="1" x14ac:dyDescent="0.15">
      <c r="A85" s="16"/>
      <c r="B85" s="16"/>
      <c r="C85" s="16"/>
      <c r="D85" s="16"/>
      <c r="E85" s="16"/>
      <c r="F85" s="16"/>
      <c r="G85" s="16"/>
      <c r="H85" s="16"/>
      <c r="I85" s="16"/>
      <c r="J85" s="16"/>
      <c r="K85" s="16"/>
      <c r="L85" s="16"/>
      <c r="M85" s="16"/>
      <c r="N85" s="16"/>
      <c r="O85" s="17">
        <v>82</v>
      </c>
      <c r="P85" s="17"/>
      <c r="Q85" s="31"/>
      <c r="R85" s="20">
        <f>'Cash Frenzy'!D85</f>
        <v>0</v>
      </c>
      <c r="S85" s="19">
        <f>'Cash Frenzy'!E85</f>
        <v>11.99</v>
      </c>
      <c r="T85" s="30"/>
      <c r="U85" s="31"/>
      <c r="V85" s="20">
        <f>'Lotsa Slots'!D85</f>
        <v>0</v>
      </c>
      <c r="W85" s="19">
        <f>'Lotsa Slots'!E85</f>
        <v>0</v>
      </c>
      <c r="X85" s="30"/>
      <c r="Y85" s="31"/>
      <c r="Z85" s="30"/>
      <c r="AA85" s="31"/>
      <c r="AB85" s="30"/>
      <c r="AC85" s="31"/>
      <c r="AD85" s="30"/>
      <c r="AE85" s="31"/>
      <c r="AF85" s="30"/>
      <c r="AG85" s="31"/>
      <c r="AH85" s="30"/>
      <c r="AI85" s="31"/>
      <c r="AJ85" s="30"/>
      <c r="AK85" s="31"/>
      <c r="AL85" s="30"/>
      <c r="AM85" s="31"/>
      <c r="AN85" s="30"/>
      <c r="AO85" s="31"/>
      <c r="AP85" s="20"/>
      <c r="AQ85" s="19"/>
      <c r="AR85" s="20">
        <f>'RAID Shadow Legends'!D85</f>
        <v>2.8514285714285714</v>
      </c>
      <c r="AS85" s="19">
        <f>'RAID Shadow Legends'!E85</f>
        <v>1.4257142857142857</v>
      </c>
      <c r="AT85" s="20"/>
      <c r="AU85" s="19"/>
    </row>
    <row r="86" spans="1:47" ht="15.75" customHeight="1" x14ac:dyDescent="0.15">
      <c r="A86" s="16"/>
      <c r="B86" s="16"/>
      <c r="C86" s="16"/>
      <c r="D86" s="16"/>
      <c r="E86" s="16"/>
      <c r="F86" s="16"/>
      <c r="G86" s="16"/>
      <c r="H86" s="16"/>
      <c r="I86" s="16"/>
      <c r="J86" s="16"/>
      <c r="K86" s="16"/>
      <c r="L86" s="16"/>
      <c r="M86" s="16"/>
      <c r="N86" s="16"/>
      <c r="O86" s="17">
        <v>83</v>
      </c>
      <c r="P86" s="17"/>
      <c r="Q86" s="31"/>
      <c r="R86" s="20">
        <f>'Cash Frenzy'!D86</f>
        <v>0</v>
      </c>
      <c r="S86" s="19">
        <f>'Cash Frenzy'!E86</f>
        <v>0</v>
      </c>
      <c r="T86" s="30"/>
      <c r="U86" s="31"/>
      <c r="V86" s="20">
        <f>'Lotsa Slots'!D86</f>
        <v>0</v>
      </c>
      <c r="W86" s="19">
        <f>'Lotsa Slots'!E86</f>
        <v>0</v>
      </c>
      <c r="X86" s="30"/>
      <c r="Y86" s="31"/>
      <c r="Z86" s="30"/>
      <c r="AA86" s="31"/>
      <c r="AB86" s="30"/>
      <c r="AC86" s="31"/>
      <c r="AD86" s="30"/>
      <c r="AE86" s="31"/>
      <c r="AF86" s="30"/>
      <c r="AG86" s="31"/>
      <c r="AH86" s="30"/>
      <c r="AI86" s="31"/>
      <c r="AJ86" s="30"/>
      <c r="AK86" s="31"/>
      <c r="AL86" s="30"/>
      <c r="AM86" s="31"/>
      <c r="AN86" s="30"/>
      <c r="AO86" s="31"/>
      <c r="AP86" s="20"/>
      <c r="AQ86" s="19"/>
      <c r="AR86" s="20">
        <f>'RAID Shadow Legends'!D86</f>
        <v>0.28514285714285714</v>
      </c>
      <c r="AS86" s="19">
        <f>'RAID Shadow Legends'!E86</f>
        <v>2.2811428571428571</v>
      </c>
      <c r="AT86" s="20"/>
      <c r="AU86" s="19"/>
    </row>
    <row r="87" spans="1:47" ht="15.75" customHeight="1" x14ac:dyDescent="0.15">
      <c r="A87" s="16"/>
      <c r="B87" s="16"/>
      <c r="C87" s="16"/>
      <c r="D87" s="16"/>
      <c r="E87" s="16"/>
      <c r="F87" s="16"/>
      <c r="G87" s="16"/>
      <c r="H87" s="16"/>
      <c r="I87" s="16"/>
      <c r="J87" s="16"/>
      <c r="K87" s="16"/>
      <c r="L87" s="16"/>
      <c r="M87" s="16"/>
      <c r="N87" s="16"/>
      <c r="O87" s="17">
        <v>84</v>
      </c>
      <c r="P87" s="17"/>
      <c r="Q87" s="31"/>
      <c r="R87" s="20">
        <f>'Cash Frenzy'!D87</f>
        <v>0</v>
      </c>
      <c r="S87" s="19">
        <f>'Cash Frenzy'!E87</f>
        <v>2.66</v>
      </c>
      <c r="T87" s="30"/>
      <c r="U87" s="31"/>
      <c r="V87" s="20">
        <f>'Lotsa Slots'!D87</f>
        <v>0</v>
      </c>
      <c r="W87" s="19">
        <f>'Lotsa Slots'!E87</f>
        <v>0</v>
      </c>
      <c r="X87" s="30"/>
      <c r="Y87" s="31"/>
      <c r="Z87" s="30"/>
      <c r="AA87" s="31"/>
      <c r="AB87" s="30"/>
      <c r="AC87" s="31"/>
      <c r="AD87" s="30"/>
      <c r="AE87" s="31"/>
      <c r="AF87" s="30"/>
      <c r="AG87" s="31"/>
      <c r="AH87" s="30"/>
      <c r="AI87" s="31"/>
      <c r="AJ87" s="30"/>
      <c r="AK87" s="31"/>
      <c r="AL87" s="30"/>
      <c r="AM87" s="31"/>
      <c r="AN87" s="30"/>
      <c r="AO87" s="31"/>
      <c r="AP87" s="20"/>
      <c r="AQ87" s="19"/>
      <c r="AR87" s="20">
        <f>'RAID Shadow Legends'!D87</f>
        <v>33.323333333333331</v>
      </c>
      <c r="AS87" s="19">
        <f>'RAID Shadow Legends'!E87</f>
        <v>0</v>
      </c>
      <c r="AT87" s="20"/>
      <c r="AU87" s="19"/>
    </row>
    <row r="88" spans="1:47" ht="15.75" customHeight="1" x14ac:dyDescent="0.15">
      <c r="A88" s="16"/>
      <c r="B88" s="16"/>
      <c r="C88" s="16"/>
      <c r="D88" s="16"/>
      <c r="E88" s="16"/>
      <c r="F88" s="16"/>
      <c r="G88" s="16"/>
      <c r="H88" s="16"/>
      <c r="I88" s="16"/>
      <c r="J88" s="16"/>
      <c r="K88" s="16"/>
      <c r="L88" s="16"/>
      <c r="M88" s="16"/>
      <c r="N88" s="16"/>
      <c r="O88" s="17">
        <v>85</v>
      </c>
      <c r="P88" s="17"/>
      <c r="Q88" s="31"/>
      <c r="R88" s="20">
        <f>'Cash Frenzy'!D88</f>
        <v>0</v>
      </c>
      <c r="S88" s="19">
        <f>'Cash Frenzy'!E88</f>
        <v>11.99</v>
      </c>
      <c r="T88" s="30"/>
      <c r="U88" s="31"/>
      <c r="V88" s="20">
        <f>'Lotsa Slots'!D88</f>
        <v>4.99</v>
      </c>
      <c r="W88" s="19">
        <f>'Lotsa Slots'!E88</f>
        <v>0</v>
      </c>
      <c r="X88" s="30"/>
      <c r="Y88" s="31"/>
      <c r="Z88" s="30"/>
      <c r="AA88" s="31"/>
      <c r="AB88" s="30"/>
      <c r="AC88" s="31"/>
      <c r="AD88" s="30"/>
      <c r="AE88" s="31"/>
      <c r="AF88" s="30"/>
      <c r="AG88" s="31"/>
      <c r="AH88" s="30"/>
      <c r="AI88" s="31"/>
      <c r="AJ88" s="30"/>
      <c r="AK88" s="31"/>
      <c r="AL88" s="30"/>
      <c r="AM88" s="31"/>
      <c r="AN88" s="30"/>
      <c r="AO88" s="31"/>
      <c r="AP88" s="20"/>
      <c r="AQ88" s="19"/>
      <c r="AR88" s="20">
        <f>'RAID Shadow Legends'!D88</f>
        <v>1.3306666666666667</v>
      </c>
      <c r="AS88" s="19">
        <f>'RAID Shadow Legends'!E88</f>
        <v>5.0755428571428567</v>
      </c>
      <c r="AT88" s="20"/>
      <c r="AU88" s="19"/>
    </row>
    <row r="89" spans="1:47" ht="15.75" customHeight="1" x14ac:dyDescent="0.15">
      <c r="A89" s="16"/>
      <c r="B89" s="16"/>
      <c r="C89" s="16"/>
      <c r="D89" s="16"/>
      <c r="E89" s="16"/>
      <c r="F89" s="16"/>
      <c r="G89" s="16"/>
      <c r="H89" s="16"/>
      <c r="I89" s="16"/>
      <c r="J89" s="16"/>
      <c r="K89" s="16"/>
      <c r="L89" s="16"/>
      <c r="M89" s="16"/>
      <c r="N89" s="16"/>
      <c r="O89" s="17">
        <v>86</v>
      </c>
      <c r="P89" s="17"/>
      <c r="Q89" s="31"/>
      <c r="R89" s="20">
        <f>'Cash Frenzy'!D89</f>
        <v>24.99</v>
      </c>
      <c r="S89" s="19">
        <f>'Cash Frenzy'!E89</f>
        <v>0</v>
      </c>
      <c r="T89" s="30"/>
      <c r="U89" s="31"/>
      <c r="V89" s="20">
        <f>'Lotsa Slots'!D89</f>
        <v>0</v>
      </c>
      <c r="W89" s="19">
        <f>'Lotsa Slots'!E89</f>
        <v>3.99</v>
      </c>
      <c r="X89" s="30"/>
      <c r="Y89" s="31"/>
      <c r="Z89" s="30"/>
      <c r="AA89" s="31"/>
      <c r="AB89" s="30"/>
      <c r="AC89" s="31"/>
      <c r="AD89" s="30"/>
      <c r="AE89" s="31"/>
      <c r="AF89" s="30"/>
      <c r="AG89" s="31"/>
      <c r="AH89" s="30"/>
      <c r="AI89" s="31"/>
      <c r="AJ89" s="30"/>
      <c r="AK89" s="31"/>
      <c r="AL89" s="30"/>
      <c r="AM89" s="31"/>
      <c r="AN89" s="30"/>
      <c r="AO89" s="31"/>
      <c r="AP89" s="20"/>
      <c r="AQ89" s="19"/>
      <c r="AR89" s="20">
        <f>'RAID Shadow Legends'!D89</f>
        <v>3.7638857142857143</v>
      </c>
      <c r="AS89" s="19">
        <f>'RAID Shadow Legends'!E89</f>
        <v>33.323333333333331</v>
      </c>
      <c r="AT89" s="20"/>
      <c r="AU89" s="19"/>
    </row>
    <row r="90" spans="1:47" ht="15.75" customHeight="1" x14ac:dyDescent="0.15">
      <c r="A90" s="16"/>
      <c r="B90" s="16"/>
      <c r="C90" s="16"/>
      <c r="D90" s="16"/>
      <c r="E90" s="16"/>
      <c r="F90" s="16"/>
      <c r="G90" s="16"/>
      <c r="H90" s="16"/>
      <c r="I90" s="16"/>
      <c r="J90" s="16"/>
      <c r="K90" s="16"/>
      <c r="L90" s="16"/>
      <c r="M90" s="16"/>
      <c r="N90" s="16"/>
      <c r="O90" s="17">
        <v>87</v>
      </c>
      <c r="P90" s="17"/>
      <c r="Q90" s="31"/>
      <c r="R90" s="20">
        <f>'Cash Frenzy'!D90</f>
        <v>0</v>
      </c>
      <c r="S90" s="19">
        <f>'Cash Frenzy'!E90</f>
        <v>0</v>
      </c>
      <c r="T90" s="30"/>
      <c r="U90" s="31"/>
      <c r="V90" s="20">
        <f>'Lotsa Slots'!D90</f>
        <v>0</v>
      </c>
      <c r="W90" s="19">
        <f>'Lotsa Slots'!E90</f>
        <v>0</v>
      </c>
      <c r="X90" s="30"/>
      <c r="Y90" s="31"/>
      <c r="Z90" s="30"/>
      <c r="AA90" s="31"/>
      <c r="AB90" s="30"/>
      <c r="AC90" s="31"/>
      <c r="AD90" s="30"/>
      <c r="AE90" s="31"/>
      <c r="AF90" s="30"/>
      <c r="AG90" s="31"/>
      <c r="AH90" s="30"/>
      <c r="AI90" s="31"/>
      <c r="AJ90" s="30"/>
      <c r="AK90" s="31"/>
      <c r="AL90" s="30"/>
      <c r="AM90" s="31"/>
      <c r="AN90" s="30"/>
      <c r="AO90" s="31"/>
      <c r="AP90" s="20"/>
      <c r="AQ90" s="19"/>
      <c r="AR90" s="20">
        <f>'RAID Shadow Legends'!D90</f>
        <v>0.85542857142857143</v>
      </c>
      <c r="AS90" s="19">
        <f>'RAID Shadow Legends'!E90</f>
        <v>0.47523809523809524</v>
      </c>
      <c r="AT90" s="20"/>
      <c r="AU90" s="19"/>
    </row>
    <row r="91" spans="1:47" ht="15.75" customHeight="1" x14ac:dyDescent="0.15">
      <c r="A91" s="16"/>
      <c r="B91" s="16"/>
      <c r="C91" s="16"/>
      <c r="D91" s="16"/>
      <c r="E91" s="16"/>
      <c r="F91" s="16"/>
      <c r="G91" s="16"/>
      <c r="H91" s="16"/>
      <c r="I91" s="16"/>
      <c r="J91" s="16"/>
      <c r="K91" s="16"/>
      <c r="L91" s="16"/>
      <c r="M91" s="16"/>
      <c r="N91" s="16"/>
      <c r="O91" s="17">
        <v>88</v>
      </c>
      <c r="P91" s="17"/>
      <c r="Q91" s="31"/>
      <c r="R91" s="20">
        <f>'Cash Frenzy'!D91</f>
        <v>0</v>
      </c>
      <c r="S91" s="19">
        <f>'Cash Frenzy'!E91</f>
        <v>0</v>
      </c>
      <c r="T91" s="30"/>
      <c r="U91" s="31"/>
      <c r="V91" s="20">
        <f>'Lotsa Slots'!D91</f>
        <v>0</v>
      </c>
      <c r="W91" s="19">
        <f>'Lotsa Slots'!E91</f>
        <v>0</v>
      </c>
      <c r="X91" s="30"/>
      <c r="Y91" s="31"/>
      <c r="Z91" s="30"/>
      <c r="AA91" s="31"/>
      <c r="AB91" s="30"/>
      <c r="AC91" s="31"/>
      <c r="AD91" s="30"/>
      <c r="AE91" s="31"/>
      <c r="AF91" s="30"/>
      <c r="AG91" s="31"/>
      <c r="AH91" s="30"/>
      <c r="AI91" s="31"/>
      <c r="AJ91" s="30"/>
      <c r="AK91" s="31"/>
      <c r="AL91" s="30"/>
      <c r="AM91" s="31"/>
      <c r="AN91" s="30"/>
      <c r="AO91" s="31"/>
      <c r="AP91" s="20"/>
      <c r="AQ91" s="19"/>
      <c r="AR91" s="20">
        <f>'RAID Shadow Legends'!D91</f>
        <v>0.35642857142857143</v>
      </c>
      <c r="AS91" s="19">
        <f>'RAID Shadow Legends'!E91</f>
        <v>2.2811428571428571</v>
      </c>
      <c r="AT91" s="20"/>
      <c r="AU91" s="19"/>
    </row>
    <row r="92" spans="1:47" ht="15.75" customHeight="1" x14ac:dyDescent="0.15">
      <c r="A92" s="16"/>
      <c r="B92" s="16"/>
      <c r="C92" s="16"/>
      <c r="D92" s="16"/>
      <c r="E92" s="16"/>
      <c r="F92" s="16"/>
      <c r="G92" s="16"/>
      <c r="H92" s="16"/>
      <c r="I92" s="16"/>
      <c r="J92" s="16"/>
      <c r="K92" s="16"/>
      <c r="L92" s="16"/>
      <c r="M92" s="16"/>
      <c r="N92" s="16"/>
      <c r="O92" s="17">
        <v>89</v>
      </c>
      <c r="P92" s="17"/>
      <c r="Q92" s="31"/>
      <c r="R92" s="20">
        <f>'Cash Frenzy'!D92</f>
        <v>0</v>
      </c>
      <c r="S92" s="19">
        <f>'Cash Frenzy'!E92</f>
        <v>0</v>
      </c>
      <c r="T92" s="30"/>
      <c r="U92" s="31"/>
      <c r="V92" s="20">
        <f>'Lotsa Slots'!D92</f>
        <v>0</v>
      </c>
      <c r="W92" s="19">
        <f>'Lotsa Slots'!E92</f>
        <v>0</v>
      </c>
      <c r="X92" s="30"/>
      <c r="Y92" s="31"/>
      <c r="Z92" s="30"/>
      <c r="AA92" s="31"/>
      <c r="AB92" s="30"/>
      <c r="AC92" s="31"/>
      <c r="AD92" s="30"/>
      <c r="AE92" s="31"/>
      <c r="AF92" s="30"/>
      <c r="AG92" s="31"/>
      <c r="AH92" s="30"/>
      <c r="AI92" s="31"/>
      <c r="AJ92" s="30"/>
      <c r="AK92" s="31"/>
      <c r="AL92" s="30"/>
      <c r="AM92" s="31"/>
      <c r="AN92" s="30"/>
      <c r="AO92" s="31"/>
      <c r="AP92" s="20"/>
      <c r="AQ92" s="19"/>
      <c r="AR92" s="20">
        <f>'RAID Shadow Legends'!D92</f>
        <v>1.1405714285714286</v>
      </c>
      <c r="AS92" s="19">
        <f>'RAID Shadow Legends'!E92</f>
        <v>1.3306666666666667</v>
      </c>
      <c r="AT92" s="20"/>
      <c r="AU92" s="19"/>
    </row>
    <row r="93" spans="1:47" ht="15.75" customHeight="1" x14ac:dyDescent="0.15">
      <c r="A93" s="16"/>
      <c r="B93" s="16"/>
      <c r="C93" s="16"/>
      <c r="D93" s="16"/>
      <c r="E93" s="16"/>
      <c r="F93" s="16"/>
      <c r="G93" s="16"/>
      <c r="H93" s="16"/>
      <c r="I93" s="16"/>
      <c r="J93" s="16"/>
      <c r="K93" s="16"/>
      <c r="L93" s="16"/>
      <c r="M93" s="16"/>
      <c r="N93" s="16"/>
      <c r="O93" s="17">
        <v>90</v>
      </c>
      <c r="P93" s="17"/>
      <c r="Q93" s="31"/>
      <c r="R93" s="20">
        <f>'Cash Frenzy'!D93</f>
        <v>0</v>
      </c>
      <c r="S93" s="19">
        <f>'Cash Frenzy'!E93</f>
        <v>0</v>
      </c>
      <c r="T93" s="30"/>
      <c r="U93" s="31"/>
      <c r="V93" s="20">
        <f>'Lotsa Slots'!D93</f>
        <v>0</v>
      </c>
      <c r="W93" s="19">
        <f>'Lotsa Slots'!E93</f>
        <v>19.989999999999998</v>
      </c>
      <c r="X93" s="30"/>
      <c r="Y93" s="31"/>
      <c r="Z93" s="30"/>
      <c r="AA93" s="31"/>
      <c r="AB93" s="30"/>
      <c r="AC93" s="31"/>
      <c r="AD93" s="30"/>
      <c r="AE93" s="31"/>
      <c r="AF93" s="30"/>
      <c r="AG93" s="31"/>
      <c r="AH93" s="30"/>
      <c r="AI93" s="31"/>
      <c r="AJ93" s="30"/>
      <c r="AK93" s="31"/>
      <c r="AL93" s="30"/>
      <c r="AM93" s="31"/>
      <c r="AN93" s="30"/>
      <c r="AO93" s="31"/>
      <c r="AP93" s="20"/>
      <c r="AQ93" s="19"/>
      <c r="AR93" s="20">
        <f>'RAID Shadow Legends'!D93</f>
        <v>2.5662857142857143</v>
      </c>
      <c r="AS93" s="19">
        <f>'RAID Shadow Legends'!E93</f>
        <v>0.89420800000000011</v>
      </c>
      <c r="AT93" s="20"/>
      <c r="AU93" s="19"/>
    </row>
    <row r="94" spans="1:47" ht="15.75" customHeight="1" x14ac:dyDescent="0.15">
      <c r="A94" s="16"/>
      <c r="B94" s="16"/>
      <c r="C94" s="16"/>
      <c r="D94" s="16"/>
      <c r="E94" s="16"/>
      <c r="F94" s="16"/>
      <c r="G94" s="16"/>
      <c r="H94" s="16"/>
      <c r="I94" s="16"/>
      <c r="J94" s="16"/>
      <c r="K94" s="16"/>
      <c r="L94" s="16"/>
      <c r="M94" s="16"/>
      <c r="N94" s="16"/>
      <c r="O94" s="17">
        <v>91</v>
      </c>
      <c r="P94" s="17"/>
      <c r="Q94" s="31"/>
      <c r="R94" s="20">
        <f>'Cash Frenzy'!D94</f>
        <v>24.99</v>
      </c>
      <c r="S94" s="19">
        <f>'Cash Frenzy'!E94</f>
        <v>0</v>
      </c>
      <c r="T94" s="30"/>
      <c r="U94" s="31"/>
      <c r="V94" s="20">
        <f>'Lotsa Slots'!D94</f>
        <v>0</v>
      </c>
      <c r="W94" s="19">
        <f>'Lotsa Slots'!E94</f>
        <v>0</v>
      </c>
      <c r="X94" s="30"/>
      <c r="Y94" s="31"/>
      <c r="Z94" s="30"/>
      <c r="AA94" s="31"/>
      <c r="AB94" s="30"/>
      <c r="AC94" s="31"/>
      <c r="AD94" s="30"/>
      <c r="AE94" s="31"/>
      <c r="AF94" s="30"/>
      <c r="AG94" s="31"/>
      <c r="AH94" s="30"/>
      <c r="AI94" s="31"/>
      <c r="AJ94" s="30"/>
      <c r="AK94" s="31"/>
      <c r="AL94" s="30"/>
      <c r="AM94" s="31"/>
      <c r="AN94" s="30"/>
      <c r="AO94" s="31"/>
      <c r="AP94" s="20"/>
      <c r="AQ94" s="19"/>
      <c r="AR94" s="20">
        <f>'RAID Shadow Legends'!D94</f>
        <v>1.1405714285714286</v>
      </c>
      <c r="AS94" s="19">
        <f>'RAID Shadow Legends'!E94</f>
        <v>2.8514285714285714</v>
      </c>
      <c r="AT94" s="20"/>
      <c r="AU94" s="19"/>
    </row>
    <row r="95" spans="1:47" ht="15.75" customHeight="1" x14ac:dyDescent="0.15">
      <c r="A95" s="16"/>
      <c r="B95" s="16"/>
      <c r="C95" s="16"/>
      <c r="D95" s="16"/>
      <c r="E95" s="16"/>
      <c r="F95" s="16"/>
      <c r="G95" s="16"/>
      <c r="H95" s="16"/>
      <c r="I95" s="16"/>
      <c r="J95" s="16"/>
      <c r="K95" s="16"/>
      <c r="L95" s="16"/>
      <c r="M95" s="16"/>
      <c r="N95" s="16"/>
      <c r="O95" s="17">
        <v>92</v>
      </c>
      <c r="P95" s="17"/>
      <c r="Q95" s="31"/>
      <c r="R95" s="20">
        <f>'Cash Frenzy'!D95</f>
        <v>0</v>
      </c>
      <c r="S95" s="19">
        <f>'Cash Frenzy'!E95</f>
        <v>0</v>
      </c>
      <c r="T95" s="30"/>
      <c r="U95" s="31"/>
      <c r="V95" s="20">
        <f>'Lotsa Slots'!D95</f>
        <v>0</v>
      </c>
      <c r="W95" s="19">
        <f>'Lotsa Slots'!E95</f>
        <v>0</v>
      </c>
      <c r="X95" s="30"/>
      <c r="Y95" s="31"/>
      <c r="Z95" s="30"/>
      <c r="AA95" s="31"/>
      <c r="AB95" s="30"/>
      <c r="AC95" s="31"/>
      <c r="AD95" s="30"/>
      <c r="AE95" s="31"/>
      <c r="AF95" s="30"/>
      <c r="AG95" s="31"/>
      <c r="AH95" s="30"/>
      <c r="AI95" s="31"/>
      <c r="AJ95" s="30"/>
      <c r="AK95" s="31"/>
      <c r="AL95" s="30"/>
      <c r="AM95" s="31"/>
      <c r="AN95" s="30"/>
      <c r="AO95" s="31"/>
      <c r="AP95" s="20"/>
      <c r="AQ95" s="19"/>
      <c r="AR95" s="20">
        <f>'RAID Shadow Legends'!D95</f>
        <v>2.8514285714285714</v>
      </c>
      <c r="AS95" s="19">
        <f>'RAID Shadow Legends'!E95</f>
        <v>1.4257142857142857</v>
      </c>
      <c r="AT95" s="20"/>
      <c r="AU95" s="19"/>
    </row>
    <row r="96" spans="1:47" ht="15.75" customHeight="1" x14ac:dyDescent="0.15">
      <c r="A96" s="16"/>
      <c r="B96" s="16"/>
      <c r="C96" s="16"/>
      <c r="D96" s="16"/>
      <c r="E96" s="16"/>
      <c r="F96" s="16"/>
      <c r="G96" s="16"/>
      <c r="H96" s="16"/>
      <c r="I96" s="16"/>
      <c r="J96" s="16"/>
      <c r="K96" s="16"/>
      <c r="L96" s="16"/>
      <c r="M96" s="16"/>
      <c r="N96" s="16"/>
      <c r="O96" s="17">
        <v>93</v>
      </c>
      <c r="P96" s="17"/>
      <c r="Q96" s="31"/>
      <c r="R96" s="20">
        <f>'Cash Frenzy'!D96</f>
        <v>0</v>
      </c>
      <c r="S96" s="19">
        <f>'Cash Frenzy'!E96</f>
        <v>0</v>
      </c>
      <c r="T96" s="30"/>
      <c r="U96" s="31"/>
      <c r="V96" s="20">
        <f>'Lotsa Slots'!D96</f>
        <v>0</v>
      </c>
      <c r="W96" s="19">
        <f>'Lotsa Slots'!E96</f>
        <v>0</v>
      </c>
      <c r="X96" s="30"/>
      <c r="Y96" s="31"/>
      <c r="Z96" s="30"/>
      <c r="AA96" s="31"/>
      <c r="AB96" s="30"/>
      <c r="AC96" s="31"/>
      <c r="AD96" s="30"/>
      <c r="AE96" s="31"/>
      <c r="AF96" s="30"/>
      <c r="AG96" s="31"/>
      <c r="AH96" s="30"/>
      <c r="AI96" s="31"/>
      <c r="AJ96" s="30"/>
      <c r="AK96" s="31"/>
      <c r="AL96" s="30"/>
      <c r="AM96" s="31"/>
      <c r="AN96" s="30"/>
      <c r="AO96" s="31"/>
      <c r="AP96" s="20"/>
      <c r="AQ96" s="19"/>
      <c r="AR96" s="20">
        <f>'RAID Shadow Legends'!D96</f>
        <v>0.28514285714285714</v>
      </c>
      <c r="AS96" s="19">
        <f>'RAID Shadow Legends'!E96</f>
        <v>2.2811428571428571</v>
      </c>
      <c r="AT96" s="20"/>
      <c r="AU96" s="19"/>
    </row>
    <row r="97" spans="1:47" ht="15.75" customHeight="1" x14ac:dyDescent="0.15">
      <c r="A97" s="16"/>
      <c r="B97" s="16"/>
      <c r="C97" s="16"/>
      <c r="D97" s="16"/>
      <c r="E97" s="16"/>
      <c r="F97" s="16"/>
      <c r="G97" s="16"/>
      <c r="H97" s="16"/>
      <c r="I97" s="16"/>
      <c r="J97" s="16"/>
      <c r="K97" s="16"/>
      <c r="L97" s="16"/>
      <c r="M97" s="16"/>
      <c r="N97" s="16"/>
      <c r="O97" s="17">
        <v>94</v>
      </c>
      <c r="P97" s="17"/>
      <c r="Q97" s="31"/>
      <c r="R97" s="20">
        <f>'Cash Frenzy'!D97</f>
        <v>0</v>
      </c>
      <c r="S97" s="19">
        <f>'Cash Frenzy'!E97</f>
        <v>14.99</v>
      </c>
      <c r="T97" s="30"/>
      <c r="U97" s="31"/>
      <c r="V97" s="20">
        <f>'Lotsa Slots'!D97</f>
        <v>0</v>
      </c>
      <c r="W97" s="19">
        <f>'Lotsa Slots'!E97</f>
        <v>0</v>
      </c>
      <c r="X97" s="30"/>
      <c r="Y97" s="31"/>
      <c r="Z97" s="30"/>
      <c r="AA97" s="31"/>
      <c r="AB97" s="30"/>
      <c r="AC97" s="31"/>
      <c r="AD97" s="30"/>
      <c r="AE97" s="31"/>
      <c r="AF97" s="30"/>
      <c r="AG97" s="31"/>
      <c r="AH97" s="30"/>
      <c r="AI97" s="31"/>
      <c r="AJ97" s="30"/>
      <c r="AK97" s="31"/>
      <c r="AL97" s="30"/>
      <c r="AM97" s="31"/>
      <c r="AN97" s="30"/>
      <c r="AO97" s="31"/>
      <c r="AP97" s="20"/>
      <c r="AQ97" s="19"/>
      <c r="AR97" s="20">
        <f>'RAID Shadow Legends'!D97</f>
        <v>33.323333333333331</v>
      </c>
      <c r="AS97" s="19">
        <f>'RAID Shadow Legends'!E97</f>
        <v>0</v>
      </c>
      <c r="AT97" s="20"/>
      <c r="AU97" s="19"/>
    </row>
    <row r="98" spans="1:47" ht="15.75" customHeight="1" x14ac:dyDescent="0.15">
      <c r="A98" s="16"/>
      <c r="B98" s="16"/>
      <c r="C98" s="16"/>
      <c r="D98" s="16"/>
      <c r="E98" s="16"/>
      <c r="F98" s="16"/>
      <c r="G98" s="16"/>
      <c r="H98" s="16"/>
      <c r="I98" s="16"/>
      <c r="J98" s="16"/>
      <c r="K98" s="16"/>
      <c r="L98" s="16"/>
      <c r="M98" s="16"/>
      <c r="N98" s="16"/>
      <c r="O98" s="17">
        <v>95</v>
      </c>
      <c r="P98" s="17"/>
      <c r="Q98" s="31"/>
      <c r="R98" s="20">
        <f>'Cash Frenzy'!D98</f>
        <v>0</v>
      </c>
      <c r="S98" s="19">
        <f>'Cash Frenzy'!E98</f>
        <v>0</v>
      </c>
      <c r="T98" s="30"/>
      <c r="U98" s="31"/>
      <c r="V98" s="20">
        <f>'Lotsa Slots'!D98</f>
        <v>0</v>
      </c>
      <c r="W98" s="19">
        <f>'Lotsa Slots'!E98</f>
        <v>0</v>
      </c>
      <c r="X98" s="30"/>
      <c r="Y98" s="31"/>
      <c r="Z98" s="30"/>
      <c r="AA98" s="31"/>
      <c r="AB98" s="30"/>
      <c r="AC98" s="31"/>
      <c r="AD98" s="30"/>
      <c r="AE98" s="31"/>
      <c r="AF98" s="30"/>
      <c r="AG98" s="31"/>
      <c r="AH98" s="30"/>
      <c r="AI98" s="31"/>
      <c r="AJ98" s="30"/>
      <c r="AK98" s="31"/>
      <c r="AL98" s="30"/>
      <c r="AM98" s="31"/>
      <c r="AN98" s="30"/>
      <c r="AO98" s="31"/>
      <c r="AP98" s="20"/>
      <c r="AQ98" s="19"/>
      <c r="AR98" s="20">
        <f>'RAID Shadow Legends'!D98</f>
        <v>0</v>
      </c>
      <c r="AS98" s="19">
        <f>'RAID Shadow Legends'!E98</f>
        <v>19.019028571428571</v>
      </c>
      <c r="AT98" s="20"/>
      <c r="AU98" s="19"/>
    </row>
    <row r="99" spans="1:47" ht="15.75" customHeight="1" x14ac:dyDescent="0.15">
      <c r="A99" s="16"/>
      <c r="B99" s="16"/>
      <c r="C99" s="16"/>
      <c r="D99" s="16"/>
      <c r="E99" s="16"/>
      <c r="F99" s="16"/>
      <c r="G99" s="16"/>
      <c r="H99" s="16"/>
      <c r="I99" s="16"/>
      <c r="J99" s="16"/>
      <c r="K99" s="16"/>
      <c r="L99" s="16"/>
      <c r="M99" s="16"/>
      <c r="N99" s="16"/>
      <c r="O99" s="17">
        <v>96</v>
      </c>
      <c r="P99" s="17"/>
      <c r="Q99" s="31"/>
      <c r="R99" s="20">
        <f>'Cash Frenzy'!D99</f>
        <v>29.99</v>
      </c>
      <c r="S99" s="19">
        <f>'Cash Frenzy'!E99</f>
        <v>0</v>
      </c>
      <c r="T99" s="30"/>
      <c r="U99" s="31"/>
      <c r="V99" s="20">
        <f>'Lotsa Slots'!D99</f>
        <v>0</v>
      </c>
      <c r="W99" s="19">
        <f>'Lotsa Slots'!E99</f>
        <v>3.99</v>
      </c>
      <c r="X99" s="30"/>
      <c r="Y99" s="31"/>
      <c r="Z99" s="30"/>
      <c r="AA99" s="31"/>
      <c r="AB99" s="30"/>
      <c r="AC99" s="31"/>
      <c r="AD99" s="30"/>
      <c r="AE99" s="31"/>
      <c r="AF99" s="30"/>
      <c r="AG99" s="31"/>
      <c r="AH99" s="30"/>
      <c r="AI99" s="31"/>
      <c r="AJ99" s="30"/>
      <c r="AK99" s="31"/>
      <c r="AL99" s="30"/>
      <c r="AM99" s="31"/>
      <c r="AN99" s="30"/>
      <c r="AO99" s="31"/>
      <c r="AP99" s="20"/>
      <c r="AQ99" s="19"/>
      <c r="AR99" s="20">
        <f>'RAID Shadow Legends'!D99</f>
        <v>3.7638857142857143</v>
      </c>
      <c r="AS99" s="19">
        <f>'RAID Shadow Legends'!E99</f>
        <v>33.323333333333331</v>
      </c>
      <c r="AT99" s="20"/>
      <c r="AU99" s="19"/>
    </row>
    <row r="100" spans="1:47" ht="15.75" customHeight="1" x14ac:dyDescent="0.15">
      <c r="A100" s="16"/>
      <c r="B100" s="16"/>
      <c r="C100" s="16"/>
      <c r="D100" s="16"/>
      <c r="E100" s="16"/>
      <c r="F100" s="16"/>
      <c r="G100" s="16"/>
      <c r="H100" s="16"/>
      <c r="I100" s="16"/>
      <c r="J100" s="16"/>
      <c r="K100" s="16"/>
      <c r="L100" s="16"/>
      <c r="M100" s="16"/>
      <c r="N100" s="16"/>
      <c r="O100" s="17">
        <v>97</v>
      </c>
      <c r="P100" s="17"/>
      <c r="Q100" s="31"/>
      <c r="R100" s="20">
        <f>'Cash Frenzy'!D100</f>
        <v>0</v>
      </c>
      <c r="S100" s="19">
        <f>'Cash Frenzy'!E100</f>
        <v>15.968000000000002</v>
      </c>
      <c r="T100" s="30"/>
      <c r="U100" s="31"/>
      <c r="V100" s="20">
        <f>'Lotsa Slots'!D100</f>
        <v>0</v>
      </c>
      <c r="W100" s="19">
        <f>'Lotsa Slots'!E100</f>
        <v>0</v>
      </c>
      <c r="X100" s="30"/>
      <c r="Y100" s="31"/>
      <c r="Z100" s="30"/>
      <c r="AA100" s="31"/>
      <c r="AB100" s="30"/>
      <c r="AC100" s="31"/>
      <c r="AD100" s="30"/>
      <c r="AE100" s="31"/>
      <c r="AF100" s="30"/>
      <c r="AG100" s="31"/>
      <c r="AH100" s="30"/>
      <c r="AI100" s="31"/>
      <c r="AJ100" s="30"/>
      <c r="AK100" s="31"/>
      <c r="AL100" s="30"/>
      <c r="AM100" s="31"/>
      <c r="AN100" s="30"/>
      <c r="AO100" s="31"/>
      <c r="AP100" s="20"/>
      <c r="AQ100" s="19"/>
      <c r="AR100" s="20">
        <f>'RAID Shadow Legends'!D100</f>
        <v>0.85542857142857143</v>
      </c>
      <c r="AS100" s="19">
        <f>'RAID Shadow Legends'!E100</f>
        <v>0.47523809523809524</v>
      </c>
      <c r="AT100" s="20"/>
      <c r="AU100" s="19"/>
    </row>
    <row r="101" spans="1:47" ht="15.75" customHeight="1" x14ac:dyDescent="0.15">
      <c r="A101" s="16"/>
      <c r="B101" s="16"/>
      <c r="C101" s="16"/>
      <c r="D101" s="16"/>
      <c r="E101" s="16"/>
      <c r="F101" s="16"/>
      <c r="G101" s="16"/>
      <c r="H101" s="16"/>
      <c r="I101" s="16"/>
      <c r="J101" s="16"/>
      <c r="K101" s="16"/>
      <c r="L101" s="16"/>
      <c r="M101" s="16"/>
      <c r="N101" s="16"/>
      <c r="O101" s="17">
        <v>98</v>
      </c>
      <c r="P101" s="17"/>
      <c r="Q101" s="31"/>
      <c r="R101" s="20">
        <f>'Cash Frenzy'!D101</f>
        <v>0</v>
      </c>
      <c r="S101" s="19">
        <f>'Cash Frenzy'!E101</f>
        <v>23.99</v>
      </c>
      <c r="T101" s="30"/>
      <c r="U101" s="31"/>
      <c r="V101" s="20">
        <f>'Lotsa Slots'!D101</f>
        <v>0</v>
      </c>
      <c r="W101" s="19">
        <f>'Lotsa Slots'!E101</f>
        <v>0</v>
      </c>
      <c r="X101" s="30"/>
      <c r="Y101" s="31"/>
      <c r="Z101" s="30"/>
      <c r="AA101" s="31"/>
      <c r="AB101" s="30"/>
      <c r="AC101" s="31"/>
      <c r="AD101" s="30"/>
      <c r="AE101" s="31"/>
      <c r="AF101" s="30"/>
      <c r="AG101" s="31"/>
      <c r="AH101" s="30"/>
      <c r="AI101" s="31"/>
      <c r="AJ101" s="30"/>
      <c r="AK101" s="31"/>
      <c r="AL101" s="30"/>
      <c r="AM101" s="31"/>
      <c r="AN101" s="30"/>
      <c r="AO101" s="31"/>
      <c r="AP101" s="20"/>
      <c r="AQ101" s="19"/>
      <c r="AR101" s="20">
        <f>'RAID Shadow Legends'!D101</f>
        <v>0.35642857142857143</v>
      </c>
      <c r="AS101" s="19">
        <f>'RAID Shadow Legends'!E101</f>
        <v>2.2811428571428571</v>
      </c>
      <c r="AT101" s="20"/>
      <c r="AU101" s="19"/>
    </row>
    <row r="102" spans="1:47" ht="15.75" customHeight="1" x14ac:dyDescent="0.15">
      <c r="A102" s="16"/>
      <c r="B102" s="16"/>
      <c r="C102" s="16"/>
      <c r="D102" s="16"/>
      <c r="E102" s="16"/>
      <c r="F102" s="16"/>
      <c r="G102" s="16"/>
      <c r="H102" s="16"/>
      <c r="I102" s="16"/>
      <c r="J102" s="16"/>
      <c r="K102" s="16"/>
      <c r="L102" s="16"/>
      <c r="M102" s="16"/>
      <c r="N102" s="16"/>
      <c r="O102" s="17">
        <v>99</v>
      </c>
      <c r="P102" s="17"/>
      <c r="Q102" s="31"/>
      <c r="R102" s="20">
        <f>'Cash Frenzy'!D102</f>
        <v>0</v>
      </c>
      <c r="S102" s="19">
        <f>'Cash Frenzy'!E102</f>
        <v>0</v>
      </c>
      <c r="T102" s="30"/>
      <c r="U102" s="31"/>
      <c r="V102" s="20">
        <f>'Lotsa Slots'!D102</f>
        <v>0</v>
      </c>
      <c r="W102" s="19">
        <f>'Lotsa Slots'!E102</f>
        <v>0</v>
      </c>
      <c r="X102" s="30"/>
      <c r="Y102" s="31"/>
      <c r="Z102" s="30"/>
      <c r="AA102" s="31"/>
      <c r="AB102" s="30"/>
      <c r="AC102" s="31"/>
      <c r="AD102" s="30"/>
      <c r="AE102" s="31"/>
      <c r="AF102" s="30"/>
      <c r="AG102" s="31"/>
      <c r="AH102" s="30"/>
      <c r="AI102" s="31"/>
      <c r="AJ102" s="30"/>
      <c r="AK102" s="31"/>
      <c r="AL102" s="30"/>
      <c r="AM102" s="31"/>
      <c r="AN102" s="30"/>
      <c r="AO102" s="31"/>
      <c r="AP102" s="20"/>
      <c r="AQ102" s="19"/>
      <c r="AR102" s="20">
        <f>'RAID Shadow Legends'!D102</f>
        <v>1.1405714285714286</v>
      </c>
      <c r="AS102" s="19">
        <f>'RAID Shadow Legends'!E102</f>
        <v>0</v>
      </c>
      <c r="AT102" s="20"/>
      <c r="AU102" s="19"/>
    </row>
    <row r="103" spans="1:47" ht="15.75" customHeight="1" x14ac:dyDescent="0.15">
      <c r="A103" s="16"/>
      <c r="B103" s="16"/>
      <c r="C103" s="16"/>
      <c r="D103" s="16"/>
      <c r="E103" s="16"/>
      <c r="F103" s="16"/>
      <c r="G103" s="16"/>
      <c r="H103" s="16"/>
      <c r="I103" s="16"/>
      <c r="J103" s="16"/>
      <c r="K103" s="16"/>
      <c r="L103" s="16"/>
      <c r="M103" s="16"/>
      <c r="N103" s="16"/>
      <c r="O103" s="17">
        <v>100</v>
      </c>
      <c r="P103" s="17"/>
      <c r="Q103" s="31"/>
      <c r="R103" s="20">
        <f>'Cash Frenzy'!D103</f>
        <v>0</v>
      </c>
      <c r="S103" s="19">
        <f>'Cash Frenzy'!E103</f>
        <v>0</v>
      </c>
      <c r="T103" s="30"/>
      <c r="U103" s="31"/>
      <c r="V103" s="20">
        <f>'Lotsa Slots'!D103</f>
        <v>0</v>
      </c>
      <c r="W103" s="19">
        <f>'Lotsa Slots'!E103</f>
        <v>0</v>
      </c>
      <c r="X103" s="30"/>
      <c r="Y103" s="31"/>
      <c r="Z103" s="30"/>
      <c r="AA103" s="31"/>
      <c r="AB103" s="30"/>
      <c r="AC103" s="31"/>
      <c r="AD103" s="30"/>
      <c r="AE103" s="31"/>
      <c r="AF103" s="30"/>
      <c r="AG103" s="31"/>
      <c r="AH103" s="30"/>
      <c r="AI103" s="31"/>
      <c r="AJ103" s="30"/>
      <c r="AK103" s="31"/>
      <c r="AL103" s="30"/>
      <c r="AM103" s="31"/>
      <c r="AN103" s="30"/>
      <c r="AO103" s="31"/>
      <c r="AP103" s="20"/>
      <c r="AQ103" s="19"/>
      <c r="AR103" s="20">
        <f>'RAID Shadow Legends'!D103</f>
        <v>24.99</v>
      </c>
      <c r="AS103" s="19">
        <f>'RAID Shadow Legends'!E103</f>
        <v>23.564285714285713</v>
      </c>
      <c r="AT103" s="20"/>
      <c r="AU103" s="19"/>
    </row>
    <row r="104" spans="1:47" ht="15.75" customHeight="1" x14ac:dyDescent="0.15">
      <c r="A104" s="16"/>
      <c r="B104" s="16"/>
      <c r="C104" s="16"/>
      <c r="D104" s="16"/>
      <c r="E104" s="16"/>
      <c r="F104" s="16"/>
      <c r="G104" s="16"/>
      <c r="H104" s="16"/>
      <c r="I104" s="16"/>
      <c r="J104" s="16"/>
      <c r="K104" s="16"/>
      <c r="L104" s="16"/>
      <c r="M104" s="16"/>
      <c r="N104" s="16"/>
      <c r="O104" s="17">
        <v>101</v>
      </c>
      <c r="P104" s="17"/>
      <c r="Q104" s="31"/>
      <c r="R104" s="20">
        <f>'Cash Frenzy'!D104</f>
        <v>0</v>
      </c>
      <c r="S104" s="19">
        <f>'Cash Frenzy'!E104</f>
        <v>0</v>
      </c>
      <c r="T104" s="30"/>
      <c r="U104" s="31"/>
      <c r="V104" s="20">
        <f>'Lotsa Slots'!D104</f>
        <v>0</v>
      </c>
      <c r="W104" s="19">
        <f>'Lotsa Slots'!E104</f>
        <v>0</v>
      </c>
      <c r="X104" s="30"/>
      <c r="Y104" s="31"/>
      <c r="Z104" s="30"/>
      <c r="AA104" s="31"/>
      <c r="AB104" s="30"/>
      <c r="AC104" s="31"/>
      <c r="AD104" s="30"/>
      <c r="AE104" s="31"/>
      <c r="AF104" s="30"/>
      <c r="AG104" s="31"/>
      <c r="AH104" s="30"/>
      <c r="AI104" s="31"/>
      <c r="AJ104" s="30"/>
      <c r="AK104" s="31"/>
      <c r="AL104" s="30"/>
      <c r="AM104" s="31"/>
      <c r="AN104" s="30"/>
      <c r="AO104" s="31"/>
      <c r="AP104" s="30"/>
      <c r="AQ104" s="31"/>
      <c r="AR104" s="30"/>
      <c r="AS104" s="31"/>
      <c r="AT104" s="20"/>
      <c r="AU104" s="19"/>
    </row>
    <row r="105" spans="1:47" ht="15.75" customHeight="1" x14ac:dyDescent="0.15">
      <c r="A105" s="16"/>
      <c r="B105" s="16"/>
      <c r="C105" s="16"/>
      <c r="D105" s="16"/>
      <c r="E105" s="16"/>
      <c r="F105" s="16"/>
      <c r="G105" s="16"/>
      <c r="H105" s="16"/>
      <c r="I105" s="16"/>
      <c r="J105" s="16"/>
      <c r="K105" s="16"/>
      <c r="L105" s="16"/>
      <c r="M105" s="16"/>
      <c r="N105" s="16"/>
      <c r="O105" s="17">
        <v>102</v>
      </c>
      <c r="P105" s="17"/>
      <c r="Q105" s="31"/>
      <c r="R105" s="20">
        <f>'Cash Frenzy'!D105</f>
        <v>0</v>
      </c>
      <c r="S105" s="19">
        <f>'Cash Frenzy'!E105</f>
        <v>0</v>
      </c>
      <c r="T105" s="30"/>
      <c r="U105" s="31"/>
      <c r="V105" s="30"/>
      <c r="W105" s="31"/>
      <c r="X105" s="30"/>
      <c r="Y105" s="31"/>
      <c r="Z105" s="30"/>
      <c r="AA105" s="31"/>
      <c r="AB105" s="30"/>
      <c r="AC105" s="31"/>
      <c r="AD105" s="30"/>
      <c r="AE105" s="31"/>
      <c r="AF105" s="30"/>
      <c r="AG105" s="31"/>
      <c r="AH105" s="30"/>
      <c r="AI105" s="31"/>
      <c r="AJ105" s="30"/>
      <c r="AK105" s="31"/>
      <c r="AL105" s="30"/>
      <c r="AM105" s="31"/>
      <c r="AN105" s="30"/>
      <c r="AO105" s="31"/>
      <c r="AP105" s="30"/>
      <c r="AQ105" s="31"/>
      <c r="AR105" s="30"/>
      <c r="AS105" s="31"/>
      <c r="AT105" s="20"/>
      <c r="AU105" s="19"/>
    </row>
    <row r="106" spans="1:47" ht="15.75" customHeight="1" x14ac:dyDescent="0.15">
      <c r="A106" s="16"/>
      <c r="B106" s="16"/>
      <c r="C106" s="16"/>
      <c r="D106" s="16"/>
      <c r="E106" s="16"/>
      <c r="F106" s="16"/>
      <c r="G106" s="16"/>
      <c r="H106" s="16"/>
      <c r="I106" s="16"/>
      <c r="J106" s="32"/>
      <c r="K106" s="32"/>
      <c r="L106" s="32"/>
      <c r="M106" s="32"/>
      <c r="N106" s="32"/>
      <c r="O106" s="33" t="s">
        <v>66</v>
      </c>
      <c r="P106" s="34">
        <f t="shared" ref="P106:AU106" si="15">SUM(P4:P105)</f>
        <v>16.159923076923075</v>
      </c>
      <c r="Q106" s="34">
        <f t="shared" si="15"/>
        <v>46.368615384615374</v>
      </c>
      <c r="R106" s="34">
        <f t="shared" si="15"/>
        <v>180.87</v>
      </c>
      <c r="S106" s="34">
        <f t="shared" si="15"/>
        <v>162.38025555555555</v>
      </c>
      <c r="T106" s="34">
        <f t="shared" si="15"/>
        <v>34.984780392156864</v>
      </c>
      <c r="U106" s="34">
        <f t="shared" si="15"/>
        <v>219.41742857142856</v>
      </c>
      <c r="V106" s="34">
        <f t="shared" si="15"/>
        <v>21.914999999999999</v>
      </c>
      <c r="W106" s="34">
        <f t="shared" si="15"/>
        <v>140.14499999999998</v>
      </c>
      <c r="X106" s="34">
        <f t="shared" si="15"/>
        <v>11.597591666666666</v>
      </c>
      <c r="Y106" s="34">
        <f t="shared" si="15"/>
        <v>45.196925000000007</v>
      </c>
      <c r="Z106" s="34">
        <f t="shared" si="15"/>
        <v>20.762290118459998</v>
      </c>
      <c r="AA106" s="34">
        <f t="shared" si="15"/>
        <v>42.771612337520004</v>
      </c>
      <c r="AB106" s="34">
        <f t="shared" si="15"/>
        <v>178.52250492087779</v>
      </c>
      <c r="AC106" s="34">
        <f t="shared" si="15"/>
        <v>233.50838948335371</v>
      </c>
      <c r="AD106" s="34">
        <f t="shared" si="15"/>
        <v>39.660983432400002</v>
      </c>
      <c r="AE106" s="34">
        <f t="shared" si="15"/>
        <v>44.522776528999998</v>
      </c>
      <c r="AF106" s="34">
        <f t="shared" si="15"/>
        <v>20.887327810800006</v>
      </c>
      <c r="AG106" s="34">
        <f t="shared" si="15"/>
        <v>59.272545055935304</v>
      </c>
      <c r="AH106" s="34">
        <f t="shared" si="15"/>
        <v>23.486779453621555</v>
      </c>
      <c r="AI106" s="34">
        <f t="shared" si="15"/>
        <v>53.001937486001999</v>
      </c>
      <c r="AJ106" s="34">
        <f t="shared" si="15"/>
        <v>48.757799999999996</v>
      </c>
      <c r="AK106" s="34">
        <f t="shared" si="15"/>
        <v>91.269999999999982</v>
      </c>
      <c r="AL106" s="34">
        <f t="shared" si="15"/>
        <v>131.30739999999997</v>
      </c>
      <c r="AM106" s="34">
        <f t="shared" si="15"/>
        <v>30.858266666666665</v>
      </c>
      <c r="AN106" s="34">
        <f t="shared" si="15"/>
        <v>365.08115222222222</v>
      </c>
      <c r="AO106" s="34">
        <f t="shared" si="15"/>
        <v>1091.8968300000001</v>
      </c>
      <c r="AP106" s="34">
        <f t="shared" si="15"/>
        <v>20.654576396666666</v>
      </c>
      <c r="AQ106" s="34">
        <f t="shared" si="15"/>
        <v>87.95941529333335</v>
      </c>
      <c r="AR106" s="34">
        <f t="shared" si="15"/>
        <v>442.31410476190479</v>
      </c>
      <c r="AS106" s="34">
        <f t="shared" si="15"/>
        <v>559.96827615238101</v>
      </c>
      <c r="AT106" s="34">
        <f t="shared" si="15"/>
        <v>112.12583179047618</v>
      </c>
      <c r="AU106" s="34">
        <f t="shared" si="15"/>
        <v>673.39036318201056</v>
      </c>
    </row>
    <row r="107" spans="1:47" ht="15.75" customHeight="1" x14ac:dyDescent="0.15">
      <c r="A107" s="32"/>
      <c r="B107" s="32"/>
      <c r="C107" s="32"/>
      <c r="D107" s="32"/>
      <c r="E107" s="32"/>
      <c r="F107" s="32"/>
      <c r="G107" s="32"/>
      <c r="H107" s="32"/>
      <c r="I107" s="32"/>
      <c r="J107" s="32"/>
      <c r="K107" s="32"/>
      <c r="L107" s="32"/>
      <c r="M107" s="32"/>
      <c r="N107" s="32"/>
      <c r="O107" s="33" t="s">
        <v>67</v>
      </c>
      <c r="P107" s="35">
        <f t="shared" ref="P107:AU107" si="16">COUNTA(P4:P105)</f>
        <v>37</v>
      </c>
      <c r="Q107" s="35">
        <f t="shared" si="16"/>
        <v>37</v>
      </c>
      <c r="R107" s="35">
        <f t="shared" si="16"/>
        <v>102</v>
      </c>
      <c r="S107" s="35">
        <f t="shared" si="16"/>
        <v>102</v>
      </c>
      <c r="T107" s="35">
        <f t="shared" si="16"/>
        <v>20</v>
      </c>
      <c r="U107" s="35">
        <f t="shared" si="16"/>
        <v>20</v>
      </c>
      <c r="V107" s="35">
        <f t="shared" si="16"/>
        <v>101</v>
      </c>
      <c r="W107" s="35">
        <f t="shared" si="16"/>
        <v>101</v>
      </c>
      <c r="X107" s="35">
        <f t="shared" si="16"/>
        <v>50</v>
      </c>
      <c r="Y107" s="35">
        <f t="shared" si="16"/>
        <v>50</v>
      </c>
      <c r="Z107" s="35">
        <f t="shared" si="16"/>
        <v>31</v>
      </c>
      <c r="AA107" s="35">
        <f t="shared" si="16"/>
        <v>31</v>
      </c>
      <c r="AB107" s="35">
        <f t="shared" si="16"/>
        <v>21</v>
      </c>
      <c r="AC107" s="35">
        <f t="shared" si="16"/>
        <v>21</v>
      </c>
      <c r="AD107" s="35">
        <f t="shared" si="16"/>
        <v>36</v>
      </c>
      <c r="AE107" s="35">
        <f t="shared" si="16"/>
        <v>36</v>
      </c>
      <c r="AF107" s="35">
        <f t="shared" si="16"/>
        <v>37</v>
      </c>
      <c r="AG107" s="35">
        <f t="shared" si="16"/>
        <v>37</v>
      </c>
      <c r="AH107" s="35">
        <f t="shared" si="16"/>
        <v>36</v>
      </c>
      <c r="AI107" s="35">
        <f t="shared" si="16"/>
        <v>36</v>
      </c>
      <c r="AJ107" s="35">
        <f t="shared" si="16"/>
        <v>41</v>
      </c>
      <c r="AK107" s="35">
        <f t="shared" si="16"/>
        <v>41</v>
      </c>
      <c r="AL107" s="35">
        <f t="shared" si="16"/>
        <v>40</v>
      </c>
      <c r="AM107" s="35">
        <f t="shared" si="16"/>
        <v>40</v>
      </c>
      <c r="AN107" s="35">
        <f t="shared" si="16"/>
        <v>12</v>
      </c>
      <c r="AO107" s="35">
        <f t="shared" si="16"/>
        <v>12</v>
      </c>
      <c r="AP107" s="35">
        <f t="shared" si="16"/>
        <v>51</v>
      </c>
      <c r="AQ107" s="35">
        <f t="shared" si="16"/>
        <v>51</v>
      </c>
      <c r="AR107" s="35">
        <f t="shared" si="16"/>
        <v>100</v>
      </c>
      <c r="AS107" s="35">
        <f t="shared" si="16"/>
        <v>100</v>
      </c>
      <c r="AT107" s="35">
        <f t="shared" si="16"/>
        <v>81</v>
      </c>
      <c r="AU107" s="35">
        <f t="shared" si="16"/>
        <v>81</v>
      </c>
    </row>
    <row r="108" spans="1:47" ht="15.75" customHeight="1" x14ac:dyDescent="0.15">
      <c r="A108" s="32"/>
      <c r="B108" s="32"/>
      <c r="C108" s="32"/>
      <c r="D108" s="32"/>
      <c r="E108" s="32"/>
      <c r="F108" s="32"/>
      <c r="G108" s="32"/>
      <c r="H108" s="32"/>
      <c r="I108" s="32"/>
      <c r="J108" s="32"/>
      <c r="K108" s="32"/>
      <c r="L108" s="32"/>
      <c r="M108" s="32"/>
      <c r="N108" s="32"/>
      <c r="O108" s="33" t="s">
        <v>68</v>
      </c>
      <c r="P108" s="34">
        <f t="shared" ref="P108:AU108" si="17">P106/P107</f>
        <v>0.43675467775467769</v>
      </c>
      <c r="Q108" s="34">
        <f t="shared" si="17"/>
        <v>1.253205821205821</v>
      </c>
      <c r="R108" s="34">
        <f t="shared" si="17"/>
        <v>1.773235294117647</v>
      </c>
      <c r="S108" s="34">
        <f t="shared" si="17"/>
        <v>1.5919632897603486</v>
      </c>
      <c r="T108" s="34">
        <f t="shared" si="17"/>
        <v>1.7492390196078431</v>
      </c>
      <c r="U108" s="34">
        <f t="shared" si="17"/>
        <v>10.970871428571428</v>
      </c>
      <c r="V108" s="34">
        <f t="shared" si="17"/>
        <v>0.21698019801980198</v>
      </c>
      <c r="W108" s="34">
        <f t="shared" si="17"/>
        <v>1.3875742574257424</v>
      </c>
      <c r="X108" s="34">
        <f t="shared" si="17"/>
        <v>0.23195183333333333</v>
      </c>
      <c r="Y108" s="34">
        <f t="shared" si="17"/>
        <v>0.9039385000000002</v>
      </c>
      <c r="Z108" s="34">
        <f t="shared" si="17"/>
        <v>0.66975129414387091</v>
      </c>
      <c r="AA108" s="34">
        <f t="shared" si="17"/>
        <v>1.3797294302425809</v>
      </c>
      <c r="AB108" s="34">
        <f t="shared" si="17"/>
        <v>8.5010716628989424</v>
      </c>
      <c r="AC108" s="34">
        <f t="shared" si="17"/>
        <v>11.119447118254939</v>
      </c>
      <c r="AD108" s="34">
        <f t="shared" si="17"/>
        <v>1.1016939842333333</v>
      </c>
      <c r="AE108" s="34">
        <f t="shared" si="17"/>
        <v>1.2367437924722222</v>
      </c>
      <c r="AF108" s="34">
        <f t="shared" si="17"/>
        <v>0.56452237326486499</v>
      </c>
      <c r="AG108" s="34">
        <f t="shared" si="17"/>
        <v>1.6019606771874406</v>
      </c>
      <c r="AH108" s="34">
        <f t="shared" si="17"/>
        <v>0.65241054037837654</v>
      </c>
      <c r="AI108" s="34">
        <f t="shared" si="17"/>
        <v>1.4722760412778333</v>
      </c>
      <c r="AJ108" s="34">
        <f t="shared" si="17"/>
        <v>1.1892146341463414</v>
      </c>
      <c r="AK108" s="34">
        <f t="shared" si="17"/>
        <v>2.2260975609756093</v>
      </c>
      <c r="AL108" s="34">
        <f t="shared" si="17"/>
        <v>3.2826849999999994</v>
      </c>
      <c r="AM108" s="34">
        <f t="shared" si="17"/>
        <v>0.77145666666666668</v>
      </c>
      <c r="AN108" s="34">
        <f t="shared" si="17"/>
        <v>30.423429351851851</v>
      </c>
      <c r="AO108" s="34">
        <f t="shared" si="17"/>
        <v>90.991402500000007</v>
      </c>
      <c r="AP108" s="34">
        <f t="shared" si="17"/>
        <v>0.40499169405228758</v>
      </c>
      <c r="AQ108" s="34">
        <f t="shared" si="17"/>
        <v>1.7246944175163401</v>
      </c>
      <c r="AR108" s="34">
        <f t="shared" si="17"/>
        <v>4.4231410476190476</v>
      </c>
      <c r="AS108" s="34">
        <f t="shared" si="17"/>
        <v>5.5996827615238098</v>
      </c>
      <c r="AT108" s="34">
        <f t="shared" si="17"/>
        <v>1.3842695282774837</v>
      </c>
      <c r="AU108" s="34">
        <f t="shared" si="17"/>
        <v>8.3134612738519831</v>
      </c>
    </row>
    <row r="109" spans="1:47" ht="15.75" customHeight="1" x14ac:dyDescent="0.15">
      <c r="A109" s="32"/>
      <c r="B109" s="32"/>
      <c r="C109" s="32"/>
      <c r="D109" s="32"/>
      <c r="E109" s="32"/>
      <c r="F109" s="32"/>
      <c r="G109" s="32"/>
      <c r="H109" s="32"/>
      <c r="I109" s="32"/>
      <c r="J109" s="12"/>
      <c r="K109" s="12"/>
      <c r="L109" s="12"/>
      <c r="M109" s="12"/>
      <c r="N109" s="12"/>
      <c r="O109" s="12"/>
      <c r="P109" s="15">
        <f t="shared" ref="P109:AU109" si="18">AVERAGE(P4:P105)</f>
        <v>0.43675467775467769</v>
      </c>
      <c r="Q109" s="15">
        <f t="shared" si="18"/>
        <v>1.253205821205821</v>
      </c>
      <c r="R109" s="15">
        <f t="shared" si="18"/>
        <v>1.773235294117647</v>
      </c>
      <c r="S109" s="15">
        <f t="shared" si="18"/>
        <v>1.5919632897603486</v>
      </c>
      <c r="T109" s="15">
        <f t="shared" si="18"/>
        <v>1.7492390196078431</v>
      </c>
      <c r="U109" s="15">
        <f t="shared" si="18"/>
        <v>10.970871428571428</v>
      </c>
      <c r="V109" s="15">
        <f t="shared" si="18"/>
        <v>0.21698019801980198</v>
      </c>
      <c r="W109" s="15">
        <f t="shared" si="18"/>
        <v>1.3875742574257424</v>
      </c>
      <c r="X109" s="15">
        <f t="shared" si="18"/>
        <v>0.23195183333333333</v>
      </c>
      <c r="Y109" s="15">
        <f t="shared" si="18"/>
        <v>0.9039385000000002</v>
      </c>
      <c r="Z109" s="15">
        <f t="shared" si="18"/>
        <v>0.66975129414387091</v>
      </c>
      <c r="AA109" s="15">
        <f t="shared" si="18"/>
        <v>1.3797294302425809</v>
      </c>
      <c r="AB109" s="15">
        <f t="shared" si="18"/>
        <v>8.5010716628989424</v>
      </c>
      <c r="AC109" s="15">
        <f t="shared" si="18"/>
        <v>11.119447118254939</v>
      </c>
      <c r="AD109" s="15">
        <f t="shared" si="18"/>
        <v>1.1016939842333333</v>
      </c>
      <c r="AE109" s="15">
        <f t="shared" si="18"/>
        <v>1.2367437924722222</v>
      </c>
      <c r="AF109" s="15">
        <f t="shared" si="18"/>
        <v>0.56452237326486499</v>
      </c>
      <c r="AG109" s="15">
        <f t="shared" si="18"/>
        <v>1.6019606771874406</v>
      </c>
      <c r="AH109" s="15">
        <f t="shared" si="18"/>
        <v>0.65241054037837654</v>
      </c>
      <c r="AI109" s="15">
        <f t="shared" si="18"/>
        <v>1.4722760412778333</v>
      </c>
      <c r="AJ109" s="15">
        <f t="shared" si="18"/>
        <v>1.1892146341463414</v>
      </c>
      <c r="AK109" s="15">
        <f t="shared" si="18"/>
        <v>2.2260975609756093</v>
      </c>
      <c r="AL109" s="15">
        <f t="shared" si="18"/>
        <v>3.2826849999999994</v>
      </c>
      <c r="AM109" s="15">
        <f t="shared" si="18"/>
        <v>0.77145666666666668</v>
      </c>
      <c r="AN109" s="15">
        <f t="shared" si="18"/>
        <v>30.423429351851851</v>
      </c>
      <c r="AO109" s="15">
        <f t="shared" si="18"/>
        <v>90.991402500000007</v>
      </c>
      <c r="AP109" s="15">
        <f t="shared" si="18"/>
        <v>0.40499169405228758</v>
      </c>
      <c r="AQ109" s="15">
        <f t="shared" si="18"/>
        <v>1.7246944175163401</v>
      </c>
      <c r="AR109" s="15">
        <f t="shared" si="18"/>
        <v>4.4231410476190476</v>
      </c>
      <c r="AS109" s="15">
        <f t="shared" si="18"/>
        <v>5.5996827615238098</v>
      </c>
      <c r="AT109" s="15">
        <f t="shared" si="18"/>
        <v>1.3842695282774837</v>
      </c>
      <c r="AU109" s="15">
        <f t="shared" si="18"/>
        <v>8.3134612738519831</v>
      </c>
    </row>
    <row r="110" spans="1:47" ht="15.75" customHeight="1" x14ac:dyDescent="0.15">
      <c r="A110" s="12"/>
      <c r="B110" s="12"/>
      <c r="C110" s="12"/>
      <c r="D110" s="12"/>
      <c r="E110" s="12"/>
      <c r="F110" s="12"/>
      <c r="G110" s="12"/>
      <c r="H110" s="12"/>
      <c r="I110" s="12"/>
      <c r="J110" s="12"/>
      <c r="K110" s="12"/>
      <c r="L110" s="12"/>
      <c r="M110" s="12"/>
      <c r="N110" s="12"/>
      <c r="O110" s="12"/>
      <c r="P110" s="16"/>
      <c r="Q110" s="16"/>
      <c r="R110" s="15">
        <f>'Cash Frenzy'!D110</f>
        <v>0</v>
      </c>
      <c r="S110" s="15">
        <f>'Cash Frenzy'!E110</f>
        <v>0</v>
      </c>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row>
    <row r="111" spans="1:47" ht="15.75" customHeight="1" x14ac:dyDescent="0.15">
      <c r="A111" s="12"/>
      <c r="B111" s="12"/>
      <c r="C111" s="12"/>
      <c r="D111" s="12"/>
      <c r="E111" s="12"/>
      <c r="F111" s="12"/>
      <c r="G111" s="12"/>
      <c r="H111" s="12"/>
      <c r="I111" s="12"/>
      <c r="J111" s="12"/>
      <c r="K111" s="12"/>
      <c r="L111" s="12"/>
      <c r="M111" s="12"/>
      <c r="N111" s="12"/>
      <c r="O111" s="12"/>
      <c r="P111" s="16"/>
      <c r="Q111" s="16"/>
      <c r="R111" s="15">
        <f>'Cash Frenzy'!D111</f>
        <v>0</v>
      </c>
      <c r="S111" s="15">
        <f>'Cash Frenzy'!E111</f>
        <v>0</v>
      </c>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row>
    <row r="112" spans="1:47" ht="15.75" customHeight="1" x14ac:dyDescent="0.15">
      <c r="A112" s="12"/>
      <c r="B112" s="12"/>
      <c r="C112" s="12"/>
      <c r="D112" s="12"/>
      <c r="E112" s="12"/>
      <c r="F112" s="12"/>
      <c r="G112" s="12"/>
      <c r="H112" s="12"/>
      <c r="I112" s="12"/>
      <c r="J112" s="36"/>
      <c r="K112" s="36"/>
      <c r="L112" s="36"/>
      <c r="M112" s="36"/>
      <c r="N112" s="36"/>
      <c r="O112" s="24"/>
      <c r="P112" s="16"/>
      <c r="Q112" s="16"/>
      <c r="R112" s="15">
        <f>'Cash Frenzy'!D112</f>
        <v>0</v>
      </c>
      <c r="S112" s="15">
        <f>'Cash Frenzy'!E112</f>
        <v>0</v>
      </c>
      <c r="T112" s="16"/>
      <c r="U112" s="16"/>
      <c r="V112" s="16"/>
      <c r="W112" s="16"/>
      <c r="X112" s="16"/>
      <c r="Y112" s="16"/>
      <c r="Z112" s="24"/>
      <c r="AA112" s="24"/>
      <c r="AB112" s="24"/>
      <c r="AC112" s="24"/>
      <c r="AD112" s="24"/>
      <c r="AE112" s="16"/>
      <c r="AF112" s="16"/>
      <c r="AG112" s="16"/>
      <c r="AH112" s="16"/>
      <c r="AI112" s="16"/>
      <c r="AJ112" s="16"/>
      <c r="AK112" s="16"/>
      <c r="AL112" s="16"/>
      <c r="AM112" s="16"/>
      <c r="AN112" s="16"/>
      <c r="AO112" s="16"/>
      <c r="AP112" s="16"/>
      <c r="AQ112" s="16"/>
      <c r="AR112" s="16"/>
      <c r="AS112" s="16"/>
      <c r="AT112" s="16"/>
      <c r="AU112" s="16"/>
    </row>
    <row r="113" spans="1:47" ht="15.75" customHeight="1" x14ac:dyDescent="0.15">
      <c r="A113" s="36"/>
      <c r="B113" s="36"/>
      <c r="C113" s="36"/>
      <c r="D113" s="36"/>
      <c r="E113" s="36"/>
      <c r="F113" s="36"/>
      <c r="G113" s="36"/>
      <c r="H113" s="36"/>
      <c r="I113" s="36"/>
      <c r="J113" s="12"/>
      <c r="K113" s="12"/>
      <c r="L113" s="12"/>
      <c r="M113" s="12"/>
      <c r="N113" s="12"/>
      <c r="O113" s="24"/>
      <c r="P113" s="16"/>
      <c r="Q113" s="16"/>
      <c r="R113" s="15">
        <f>'Cash Frenzy'!D113</f>
        <v>0</v>
      </c>
      <c r="S113" s="15">
        <f>'Cash Frenzy'!E113</f>
        <v>0</v>
      </c>
      <c r="T113" s="16"/>
      <c r="U113" s="16"/>
      <c r="V113" s="16"/>
      <c r="W113" s="16"/>
      <c r="X113" s="16"/>
      <c r="Y113" s="16"/>
      <c r="Z113" s="24"/>
      <c r="AA113" s="24"/>
      <c r="AB113" s="24"/>
      <c r="AC113" s="24"/>
      <c r="AD113" s="24"/>
      <c r="AE113" s="16"/>
      <c r="AF113" s="16"/>
      <c r="AG113" s="16"/>
      <c r="AH113" s="16"/>
      <c r="AI113" s="16"/>
      <c r="AJ113" s="16"/>
      <c r="AK113" s="16"/>
      <c r="AL113" s="16"/>
      <c r="AM113" s="16"/>
      <c r="AN113" s="16"/>
      <c r="AO113" s="16"/>
      <c r="AP113" s="16"/>
      <c r="AQ113" s="16"/>
      <c r="AR113" s="16"/>
      <c r="AS113" s="16"/>
      <c r="AT113" s="16"/>
      <c r="AU113" s="16"/>
    </row>
    <row r="114" spans="1:47" ht="15.75" customHeight="1" x14ac:dyDescent="0.15">
      <c r="A114" s="12"/>
      <c r="B114" s="12"/>
      <c r="C114" s="12"/>
      <c r="D114" s="12"/>
      <c r="E114" s="12"/>
      <c r="F114" s="12"/>
      <c r="G114" s="12"/>
      <c r="H114" s="12"/>
      <c r="I114" s="12"/>
      <c r="J114" s="12"/>
      <c r="K114" s="12"/>
      <c r="L114" s="12"/>
      <c r="M114" s="12"/>
      <c r="N114" s="12"/>
      <c r="O114" s="24"/>
      <c r="P114" s="16"/>
      <c r="Q114" s="16"/>
      <c r="R114" s="15">
        <f>'Cash Frenzy'!D114</f>
        <v>0</v>
      </c>
      <c r="S114" s="15">
        <f>'Cash Frenzy'!E114</f>
        <v>0</v>
      </c>
      <c r="T114" s="16"/>
      <c r="U114" s="16"/>
      <c r="V114" s="16"/>
      <c r="W114" s="16"/>
      <c r="X114" s="16"/>
      <c r="Y114" s="16"/>
      <c r="Z114" s="24"/>
      <c r="AA114" s="24"/>
      <c r="AB114" s="24"/>
      <c r="AC114" s="24"/>
      <c r="AD114" s="24"/>
      <c r="AE114" s="16"/>
      <c r="AF114" s="16"/>
      <c r="AG114" s="16"/>
      <c r="AH114" s="16"/>
      <c r="AI114" s="16"/>
      <c r="AJ114" s="16"/>
      <c r="AK114" s="16"/>
      <c r="AL114" s="16"/>
      <c r="AM114" s="16"/>
      <c r="AN114" s="16"/>
      <c r="AO114" s="16"/>
      <c r="AP114" s="16"/>
      <c r="AQ114" s="16"/>
      <c r="AR114" s="16"/>
      <c r="AS114" s="16"/>
      <c r="AT114" s="16"/>
      <c r="AU114" s="16"/>
    </row>
    <row r="115" spans="1:47" ht="15.75" customHeight="1" x14ac:dyDescent="0.15">
      <c r="A115" s="12"/>
      <c r="B115" s="12"/>
      <c r="C115" s="12"/>
      <c r="D115" s="12"/>
      <c r="E115" s="12"/>
      <c r="F115" s="12"/>
      <c r="G115" s="12"/>
      <c r="H115" s="12"/>
      <c r="I115" s="12"/>
      <c r="J115" s="12"/>
      <c r="K115" s="12"/>
      <c r="L115" s="12"/>
      <c r="M115" s="12"/>
      <c r="N115" s="12"/>
      <c r="O115" s="24"/>
      <c r="P115" s="16"/>
      <c r="Q115" s="16"/>
      <c r="R115" s="15">
        <f>'Cash Frenzy'!D115</f>
        <v>0</v>
      </c>
      <c r="S115" s="15">
        <f>'Cash Frenzy'!E115</f>
        <v>0</v>
      </c>
      <c r="T115" s="16"/>
      <c r="U115" s="16"/>
      <c r="V115" s="16"/>
      <c r="W115" s="16"/>
      <c r="X115" s="16"/>
      <c r="Y115" s="16"/>
      <c r="Z115" s="24"/>
      <c r="AA115" s="24"/>
      <c r="AB115" s="24"/>
      <c r="AC115" s="24"/>
      <c r="AD115" s="24"/>
      <c r="AE115" s="16"/>
      <c r="AF115" s="16"/>
      <c r="AG115" s="16"/>
      <c r="AH115" s="16"/>
      <c r="AI115" s="16"/>
      <c r="AJ115" s="16"/>
      <c r="AK115" s="16"/>
      <c r="AL115" s="16"/>
      <c r="AM115" s="16"/>
      <c r="AN115" s="16"/>
      <c r="AO115" s="16"/>
      <c r="AP115" s="16"/>
      <c r="AQ115" s="16"/>
      <c r="AR115" s="16"/>
      <c r="AS115" s="16"/>
      <c r="AT115" s="16"/>
      <c r="AU115" s="16"/>
    </row>
    <row r="116" spans="1:47" ht="15.75" customHeight="1" x14ac:dyDescent="0.15">
      <c r="A116" s="12"/>
      <c r="B116" s="12"/>
      <c r="C116" s="12"/>
      <c r="D116" s="12"/>
      <c r="E116" s="12"/>
      <c r="F116" s="12"/>
      <c r="G116" s="12"/>
      <c r="H116" s="12"/>
      <c r="I116" s="12"/>
      <c r="J116" s="12"/>
      <c r="K116" s="12"/>
      <c r="L116" s="12"/>
      <c r="M116" s="12"/>
      <c r="N116" s="12"/>
      <c r="O116" s="12"/>
      <c r="P116" s="16"/>
      <c r="Q116" s="16"/>
      <c r="R116" s="15">
        <f>'Cash Frenzy'!D116</f>
        <v>0</v>
      </c>
      <c r="S116" s="15">
        <f>'Cash Frenzy'!E116</f>
        <v>0</v>
      </c>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row>
    <row r="117" spans="1:47" ht="15.75" customHeight="1" x14ac:dyDescent="0.15">
      <c r="A117" s="12"/>
      <c r="B117" s="12"/>
      <c r="C117" s="12"/>
      <c r="D117" s="12"/>
      <c r="E117" s="12"/>
      <c r="F117" s="12"/>
      <c r="G117" s="12"/>
      <c r="H117" s="12"/>
      <c r="I117" s="12"/>
      <c r="J117" s="12"/>
      <c r="K117" s="12"/>
      <c r="L117" s="12"/>
      <c r="M117" s="12"/>
      <c r="N117" s="12"/>
      <c r="O117" s="12"/>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row>
    <row r="118" spans="1:47" ht="15.75" customHeight="1" x14ac:dyDescent="0.15">
      <c r="A118" s="12"/>
      <c r="B118" s="12"/>
      <c r="C118" s="12"/>
      <c r="D118" s="12"/>
      <c r="E118" s="12"/>
      <c r="F118" s="12"/>
      <c r="G118" s="12"/>
      <c r="H118" s="12"/>
      <c r="I118" s="12"/>
      <c r="J118" s="12"/>
      <c r="K118" s="12"/>
      <c r="L118" s="12"/>
      <c r="M118" s="12"/>
      <c r="N118" s="12"/>
      <c r="O118" s="12"/>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row>
    <row r="119" spans="1:47" ht="15.75" customHeight="1" x14ac:dyDescent="0.15">
      <c r="A119" s="12"/>
      <c r="B119" s="12"/>
      <c r="C119" s="12"/>
      <c r="D119" s="12"/>
      <c r="E119" s="12"/>
      <c r="F119" s="12"/>
      <c r="G119" s="12"/>
      <c r="H119" s="12"/>
      <c r="I119" s="12"/>
      <c r="J119" s="12"/>
      <c r="K119" s="12"/>
      <c r="L119" s="12"/>
      <c r="M119" s="12"/>
      <c r="N119" s="12"/>
      <c r="O119" s="12"/>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row>
    <row r="120" spans="1:47" ht="15.75" customHeight="1" x14ac:dyDescent="0.15">
      <c r="A120" s="12"/>
      <c r="B120" s="12"/>
      <c r="C120" s="12"/>
      <c r="D120" s="12"/>
      <c r="E120" s="12"/>
      <c r="F120" s="12"/>
      <c r="G120" s="12"/>
      <c r="H120" s="12"/>
      <c r="I120" s="12"/>
      <c r="J120" s="12"/>
      <c r="K120" s="12"/>
      <c r="L120" s="12"/>
      <c r="M120" s="12"/>
      <c r="N120" s="12"/>
      <c r="O120" s="12"/>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row>
    <row r="121" spans="1:47" ht="15.75" customHeight="1" x14ac:dyDescent="0.15">
      <c r="A121" s="12"/>
      <c r="B121" s="12"/>
      <c r="C121" s="12"/>
      <c r="D121" s="12"/>
      <c r="E121" s="12"/>
      <c r="F121" s="12"/>
      <c r="G121" s="12"/>
      <c r="H121" s="12"/>
      <c r="I121" s="12"/>
      <c r="J121" s="12"/>
      <c r="K121" s="12"/>
      <c r="L121" s="12"/>
      <c r="M121" s="12"/>
      <c r="N121" s="12"/>
      <c r="O121" s="12"/>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row>
    <row r="122" spans="1:47" ht="15.75" customHeight="1" x14ac:dyDescent="0.15">
      <c r="A122" s="12"/>
      <c r="B122" s="12"/>
      <c r="C122" s="12"/>
      <c r="D122" s="12"/>
      <c r="E122" s="12"/>
      <c r="F122" s="12"/>
      <c r="G122" s="12"/>
      <c r="H122" s="12"/>
      <c r="I122" s="12"/>
      <c r="J122" s="12"/>
      <c r="K122" s="12"/>
      <c r="L122" s="12"/>
      <c r="M122" s="12"/>
      <c r="N122" s="12"/>
      <c r="O122" s="12"/>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row>
    <row r="123" spans="1:47" ht="15.75" customHeight="1" x14ac:dyDescent="0.15">
      <c r="A123" s="12"/>
      <c r="B123" s="12"/>
      <c r="C123" s="12"/>
      <c r="D123" s="12"/>
      <c r="E123" s="12"/>
      <c r="F123" s="12"/>
      <c r="G123" s="12"/>
      <c r="H123" s="12"/>
      <c r="I123" s="12"/>
      <c r="J123" s="12"/>
      <c r="K123" s="12"/>
      <c r="L123" s="12"/>
      <c r="M123" s="12"/>
      <c r="N123" s="12"/>
      <c r="O123" s="12"/>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row>
    <row r="124" spans="1:47" ht="15.75" customHeight="1" x14ac:dyDescent="0.15">
      <c r="A124" s="12"/>
      <c r="B124" s="12"/>
      <c r="C124" s="12"/>
      <c r="D124" s="12"/>
      <c r="E124" s="12"/>
      <c r="F124" s="12"/>
      <c r="G124" s="12"/>
      <c r="H124" s="12"/>
      <c r="I124" s="12"/>
      <c r="J124" s="12"/>
      <c r="K124" s="12"/>
      <c r="L124" s="12"/>
      <c r="M124" s="12"/>
      <c r="N124" s="12"/>
      <c r="O124" s="12"/>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row>
    <row r="125" spans="1:47" ht="15.75" customHeight="1" x14ac:dyDescent="0.15">
      <c r="A125" s="12"/>
      <c r="B125" s="12"/>
      <c r="C125" s="12"/>
      <c r="D125" s="12"/>
      <c r="E125" s="12"/>
      <c r="F125" s="12"/>
      <c r="G125" s="12"/>
      <c r="H125" s="12"/>
      <c r="I125" s="12"/>
      <c r="J125" s="12"/>
      <c r="K125" s="12"/>
      <c r="L125" s="12"/>
      <c r="M125" s="12"/>
      <c r="N125" s="12"/>
      <c r="O125" s="12"/>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row>
    <row r="126" spans="1:47" ht="15.75" customHeight="1" x14ac:dyDescent="0.15">
      <c r="A126" s="12"/>
      <c r="B126" s="12"/>
      <c r="C126" s="12"/>
      <c r="D126" s="12"/>
      <c r="E126" s="12"/>
      <c r="F126" s="12"/>
      <c r="G126" s="12"/>
      <c r="H126" s="12"/>
      <c r="I126" s="12"/>
      <c r="J126" s="12"/>
      <c r="K126" s="12"/>
      <c r="L126" s="12"/>
      <c r="M126" s="12"/>
      <c r="N126" s="12"/>
      <c r="O126" s="12"/>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row>
    <row r="127" spans="1:47" ht="15.75" customHeight="1" x14ac:dyDescent="0.15">
      <c r="A127" s="12"/>
      <c r="B127" s="12"/>
      <c r="C127" s="12"/>
      <c r="D127" s="12"/>
      <c r="E127" s="12"/>
      <c r="F127" s="12"/>
      <c r="G127" s="12"/>
      <c r="H127" s="12"/>
      <c r="I127" s="12"/>
      <c r="J127" s="12"/>
      <c r="K127" s="12"/>
      <c r="L127" s="12"/>
      <c r="M127" s="12"/>
      <c r="N127" s="12"/>
      <c r="O127" s="12"/>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row>
    <row r="128" spans="1:47" ht="15.75" customHeight="1" x14ac:dyDescent="0.15">
      <c r="A128" s="12"/>
      <c r="B128" s="12"/>
      <c r="C128" s="12"/>
      <c r="D128" s="12"/>
      <c r="E128" s="12"/>
      <c r="F128" s="12"/>
      <c r="G128" s="12"/>
      <c r="H128" s="12"/>
      <c r="I128" s="12"/>
      <c r="J128" s="12"/>
      <c r="K128" s="12"/>
      <c r="L128" s="12"/>
      <c r="M128" s="12"/>
      <c r="N128" s="12"/>
      <c r="O128" s="12"/>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row>
    <row r="129" spans="1:47" ht="15.75" customHeight="1" x14ac:dyDescent="0.15">
      <c r="A129" s="12"/>
      <c r="B129" s="12"/>
      <c r="C129" s="12"/>
      <c r="D129" s="12"/>
      <c r="E129" s="12"/>
      <c r="F129" s="12"/>
      <c r="G129" s="12"/>
      <c r="H129" s="12"/>
      <c r="I129" s="12"/>
      <c r="J129" s="12"/>
      <c r="K129" s="12"/>
      <c r="L129" s="12"/>
      <c r="M129" s="12"/>
      <c r="N129" s="12"/>
      <c r="O129" s="12"/>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row>
    <row r="130" spans="1:47" ht="15.75" customHeight="1" x14ac:dyDescent="0.15">
      <c r="A130" s="12"/>
      <c r="B130" s="12"/>
      <c r="C130" s="12"/>
      <c r="D130" s="12"/>
      <c r="E130" s="12"/>
      <c r="F130" s="12"/>
      <c r="G130" s="12"/>
      <c r="H130" s="12"/>
      <c r="I130" s="12"/>
      <c r="J130" s="12"/>
      <c r="K130" s="12"/>
      <c r="L130" s="12"/>
      <c r="M130" s="12"/>
      <c r="N130" s="12"/>
      <c r="O130" s="12"/>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row>
    <row r="131" spans="1:47" ht="15.75" customHeight="1" x14ac:dyDescent="0.15">
      <c r="A131" s="12"/>
      <c r="B131" s="12"/>
      <c r="C131" s="12"/>
      <c r="D131" s="12"/>
      <c r="E131" s="12"/>
      <c r="F131" s="12"/>
      <c r="G131" s="12"/>
      <c r="H131" s="12"/>
      <c r="I131" s="12"/>
      <c r="J131" s="12"/>
      <c r="K131" s="12"/>
      <c r="L131" s="12"/>
      <c r="M131" s="12"/>
      <c r="N131" s="12"/>
      <c r="O131" s="12"/>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row>
    <row r="132" spans="1:47" ht="15.75" customHeight="1" x14ac:dyDescent="0.15">
      <c r="A132" s="12"/>
      <c r="B132" s="12"/>
      <c r="C132" s="12"/>
      <c r="D132" s="12"/>
      <c r="E132" s="12"/>
      <c r="F132" s="12"/>
      <c r="G132" s="12"/>
      <c r="H132" s="12"/>
      <c r="I132" s="12"/>
      <c r="J132" s="12"/>
      <c r="K132" s="12"/>
      <c r="L132" s="12"/>
      <c r="M132" s="12"/>
      <c r="N132" s="12"/>
      <c r="O132" s="12"/>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row>
    <row r="133" spans="1:47" ht="15.75" customHeight="1" x14ac:dyDescent="0.15">
      <c r="A133" s="12"/>
      <c r="B133" s="12"/>
      <c r="C133" s="12"/>
      <c r="D133" s="12"/>
      <c r="E133" s="12"/>
      <c r="F133" s="12"/>
      <c r="G133" s="12"/>
      <c r="H133" s="12"/>
      <c r="I133" s="12"/>
      <c r="J133" s="12"/>
      <c r="K133" s="12"/>
      <c r="L133" s="12"/>
      <c r="M133" s="12"/>
      <c r="N133" s="12"/>
      <c r="O133" s="12"/>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row>
    <row r="134" spans="1:47" ht="15.75" customHeight="1" x14ac:dyDescent="0.15">
      <c r="A134" s="12"/>
      <c r="B134" s="12"/>
      <c r="C134" s="12"/>
      <c r="D134" s="12"/>
      <c r="E134" s="12"/>
      <c r="F134" s="12"/>
      <c r="G134" s="12"/>
      <c r="H134" s="12"/>
      <c r="I134" s="12"/>
      <c r="J134" s="12"/>
      <c r="K134" s="12"/>
      <c r="L134" s="12"/>
      <c r="M134" s="12"/>
      <c r="N134" s="12"/>
      <c r="O134" s="12"/>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row>
    <row r="135" spans="1:47" ht="15.75" customHeight="1" x14ac:dyDescent="0.15">
      <c r="A135" s="12"/>
      <c r="B135" s="12"/>
      <c r="C135" s="12"/>
      <c r="D135" s="12"/>
      <c r="E135" s="12"/>
      <c r="F135" s="12"/>
      <c r="G135" s="12"/>
      <c r="H135" s="12"/>
      <c r="I135" s="12"/>
      <c r="J135" s="12"/>
      <c r="K135" s="12"/>
      <c r="L135" s="12"/>
      <c r="M135" s="12"/>
      <c r="N135" s="12"/>
      <c r="O135" s="12"/>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row>
    <row r="136" spans="1:47" ht="15.75" customHeight="1" x14ac:dyDescent="0.15">
      <c r="A136" s="12"/>
      <c r="B136" s="12"/>
      <c r="C136" s="12"/>
      <c r="D136" s="12"/>
      <c r="E136" s="12"/>
      <c r="F136" s="12"/>
      <c r="G136" s="12"/>
      <c r="H136" s="12"/>
      <c r="I136" s="12"/>
      <c r="J136" s="12"/>
      <c r="K136" s="12"/>
      <c r="L136" s="12"/>
      <c r="M136" s="12"/>
      <c r="N136" s="12"/>
      <c r="O136" s="12"/>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row>
    <row r="137" spans="1:47" ht="15.75" customHeight="1" x14ac:dyDescent="0.15">
      <c r="A137" s="12"/>
      <c r="B137" s="12"/>
      <c r="C137" s="12"/>
      <c r="D137" s="12"/>
      <c r="E137" s="12"/>
      <c r="F137" s="12"/>
      <c r="G137" s="12"/>
      <c r="H137" s="12"/>
      <c r="I137" s="12"/>
      <c r="J137" s="12"/>
      <c r="K137" s="12"/>
      <c r="L137" s="12"/>
      <c r="M137" s="12"/>
      <c r="N137" s="12"/>
      <c r="O137" s="12"/>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row>
    <row r="138" spans="1:47" ht="15.75" customHeight="1" x14ac:dyDescent="0.15">
      <c r="A138" s="12"/>
      <c r="B138" s="12"/>
      <c r="C138" s="12"/>
      <c r="D138" s="12"/>
      <c r="E138" s="12"/>
      <c r="F138" s="12"/>
      <c r="G138" s="12"/>
      <c r="H138" s="12"/>
      <c r="I138" s="12"/>
      <c r="J138" s="12"/>
      <c r="K138" s="12"/>
      <c r="L138" s="12"/>
      <c r="M138" s="12"/>
      <c r="N138" s="12"/>
      <c r="O138" s="12"/>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row>
    <row r="139" spans="1:47" ht="15.75" customHeight="1" x14ac:dyDescent="0.15">
      <c r="A139" s="12"/>
      <c r="B139" s="12"/>
      <c r="C139" s="12"/>
      <c r="D139" s="12"/>
      <c r="E139" s="12"/>
      <c r="F139" s="12"/>
      <c r="G139" s="12"/>
      <c r="H139" s="12"/>
      <c r="I139" s="12"/>
      <c r="J139" s="12"/>
      <c r="K139" s="12"/>
      <c r="L139" s="12"/>
      <c r="M139" s="12"/>
      <c r="N139" s="12"/>
      <c r="O139" s="12"/>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row>
    <row r="140" spans="1:47" ht="15.75" customHeight="1" x14ac:dyDescent="0.15">
      <c r="A140" s="12"/>
      <c r="B140" s="12"/>
      <c r="C140" s="12"/>
      <c r="D140" s="12"/>
      <c r="E140" s="12"/>
      <c r="F140" s="12"/>
      <c r="G140" s="12"/>
      <c r="H140" s="12"/>
      <c r="I140" s="12"/>
      <c r="J140" s="12"/>
      <c r="K140" s="12"/>
      <c r="L140" s="12"/>
      <c r="M140" s="12"/>
      <c r="N140" s="12"/>
      <c r="O140" s="12"/>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row>
    <row r="141" spans="1:47" ht="15.75" customHeight="1" x14ac:dyDescent="0.15">
      <c r="A141" s="12"/>
      <c r="B141" s="12"/>
      <c r="C141" s="12"/>
      <c r="D141" s="12"/>
      <c r="E141" s="12"/>
      <c r="F141" s="12"/>
      <c r="G141" s="12"/>
      <c r="H141" s="12"/>
      <c r="I141" s="12"/>
      <c r="J141" s="12"/>
      <c r="K141" s="12"/>
      <c r="L141" s="12"/>
      <c r="M141" s="12"/>
      <c r="N141" s="12"/>
      <c r="O141" s="12"/>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row>
    <row r="142" spans="1:47" ht="15.75" customHeight="1" x14ac:dyDescent="0.15">
      <c r="A142" s="12"/>
      <c r="B142" s="12"/>
      <c r="C142" s="12"/>
      <c r="D142" s="12"/>
      <c r="E142" s="12"/>
      <c r="F142" s="12"/>
      <c r="G142" s="12"/>
      <c r="H142" s="12"/>
      <c r="I142" s="12"/>
      <c r="J142" s="12"/>
      <c r="K142" s="12"/>
      <c r="L142" s="12"/>
      <c r="M142" s="12"/>
      <c r="N142" s="12"/>
      <c r="O142" s="12"/>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row>
    <row r="143" spans="1:47" ht="15.75" customHeight="1" x14ac:dyDescent="0.15">
      <c r="A143" s="12"/>
      <c r="B143" s="12"/>
      <c r="C143" s="12"/>
      <c r="D143" s="12"/>
      <c r="E143" s="12"/>
      <c r="F143" s="12"/>
      <c r="G143" s="12"/>
      <c r="H143" s="12"/>
      <c r="I143" s="12"/>
      <c r="J143" s="12"/>
      <c r="K143" s="12"/>
      <c r="L143" s="12"/>
      <c r="M143" s="12"/>
      <c r="N143" s="12"/>
      <c r="O143" s="12"/>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row>
    <row r="144" spans="1:47" ht="15.75" customHeight="1" x14ac:dyDescent="0.15">
      <c r="A144" s="12"/>
      <c r="B144" s="12"/>
      <c r="C144" s="12"/>
      <c r="D144" s="12"/>
      <c r="E144" s="12"/>
      <c r="F144" s="12"/>
      <c r="G144" s="12"/>
      <c r="H144" s="12"/>
      <c r="I144" s="12"/>
      <c r="J144" s="12"/>
      <c r="K144" s="12"/>
      <c r="L144" s="12"/>
      <c r="M144" s="12"/>
      <c r="N144" s="12"/>
      <c r="O144" s="12"/>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row>
    <row r="145" spans="1:47" ht="15.75" customHeight="1" x14ac:dyDescent="0.15">
      <c r="A145" s="12"/>
      <c r="B145" s="12"/>
      <c r="C145" s="12"/>
      <c r="D145" s="12"/>
      <c r="E145" s="12"/>
      <c r="F145" s="12"/>
      <c r="G145" s="12"/>
      <c r="H145" s="12"/>
      <c r="I145" s="12"/>
      <c r="J145" s="12"/>
      <c r="K145" s="12"/>
      <c r="L145" s="12"/>
      <c r="M145" s="12"/>
      <c r="N145" s="12"/>
      <c r="O145" s="12"/>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row>
    <row r="146" spans="1:47" ht="15.75" customHeight="1" x14ac:dyDescent="0.15">
      <c r="A146" s="12"/>
      <c r="B146" s="12"/>
      <c r="C146" s="12"/>
      <c r="D146" s="12"/>
      <c r="E146" s="12"/>
      <c r="F146" s="12"/>
      <c r="G146" s="12"/>
      <c r="H146" s="12"/>
      <c r="I146" s="12"/>
      <c r="J146" s="12"/>
      <c r="K146" s="12"/>
      <c r="L146" s="12"/>
      <c r="M146" s="12"/>
      <c r="N146" s="12"/>
      <c r="O146" s="12"/>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row>
    <row r="147" spans="1:47" ht="15.75" customHeight="1" x14ac:dyDescent="0.15">
      <c r="A147" s="12"/>
      <c r="B147" s="12"/>
      <c r="C147" s="12"/>
      <c r="D147" s="12"/>
      <c r="E147" s="12"/>
      <c r="F147" s="12"/>
      <c r="G147" s="12"/>
      <c r="H147" s="12"/>
      <c r="I147" s="12"/>
      <c r="J147" s="12"/>
      <c r="K147" s="12"/>
      <c r="L147" s="12"/>
      <c r="M147" s="12"/>
      <c r="N147" s="12"/>
      <c r="O147" s="12"/>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row>
    <row r="148" spans="1:47" ht="15.75" customHeight="1" x14ac:dyDescent="0.15">
      <c r="A148" s="12"/>
      <c r="B148" s="12"/>
      <c r="C148" s="12"/>
      <c r="D148" s="12"/>
      <c r="E148" s="12"/>
      <c r="F148" s="12"/>
      <c r="G148" s="12"/>
      <c r="H148" s="12"/>
      <c r="I148" s="12"/>
      <c r="J148" s="12"/>
      <c r="K148" s="12"/>
      <c r="L148" s="12"/>
      <c r="M148" s="12"/>
      <c r="N148" s="12"/>
      <c r="O148" s="12"/>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row>
    <row r="149" spans="1:47" ht="15.75" customHeight="1" x14ac:dyDescent="0.15">
      <c r="A149" s="12"/>
      <c r="B149" s="12"/>
      <c r="C149" s="12"/>
      <c r="D149" s="12"/>
      <c r="E149" s="12"/>
      <c r="F149" s="12"/>
      <c r="G149" s="12"/>
      <c r="H149" s="12"/>
      <c r="I149" s="12"/>
      <c r="J149" s="12"/>
      <c r="K149" s="12"/>
      <c r="L149" s="12"/>
      <c r="M149" s="12"/>
      <c r="N149" s="12"/>
      <c r="O149" s="12"/>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row>
    <row r="150" spans="1:47" ht="15.75" customHeight="1" x14ac:dyDescent="0.15">
      <c r="A150" s="12"/>
      <c r="B150" s="12"/>
      <c r="C150" s="12"/>
      <c r="D150" s="12"/>
      <c r="E150" s="12"/>
      <c r="F150" s="12"/>
      <c r="G150" s="12"/>
      <c r="H150" s="12"/>
      <c r="I150" s="12"/>
      <c r="J150" s="12"/>
      <c r="K150" s="12"/>
      <c r="L150" s="12"/>
      <c r="M150" s="12"/>
      <c r="N150" s="12"/>
      <c r="O150" s="12"/>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row>
    <row r="151" spans="1:47" ht="15.75" customHeight="1" x14ac:dyDescent="0.15">
      <c r="A151" s="12"/>
      <c r="B151" s="12"/>
      <c r="C151" s="12"/>
      <c r="D151" s="12"/>
      <c r="E151" s="12"/>
      <c r="F151" s="12"/>
      <c r="G151" s="12"/>
      <c r="H151" s="12"/>
      <c r="I151" s="12"/>
      <c r="J151" s="12"/>
      <c r="K151" s="12"/>
      <c r="L151" s="12"/>
      <c r="M151" s="12"/>
      <c r="N151" s="12"/>
      <c r="O151" s="12"/>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row>
    <row r="152" spans="1:47" ht="15.75" customHeight="1" x14ac:dyDescent="0.15">
      <c r="A152" s="12"/>
      <c r="B152" s="12"/>
      <c r="C152" s="12"/>
      <c r="D152" s="12"/>
      <c r="E152" s="12"/>
      <c r="F152" s="12"/>
      <c r="G152" s="12"/>
      <c r="H152" s="12"/>
      <c r="I152" s="12"/>
      <c r="J152" s="12"/>
      <c r="K152" s="12"/>
      <c r="L152" s="12"/>
      <c r="M152" s="12"/>
      <c r="N152" s="12"/>
      <c r="O152" s="12"/>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row>
    <row r="153" spans="1:47" ht="15.75" customHeight="1" x14ac:dyDescent="0.15">
      <c r="A153" s="12"/>
      <c r="B153" s="12"/>
      <c r="C153" s="12"/>
      <c r="D153" s="12"/>
      <c r="E153" s="12"/>
      <c r="F153" s="12"/>
      <c r="G153" s="12"/>
      <c r="H153" s="12"/>
      <c r="I153" s="12"/>
      <c r="J153" s="12"/>
      <c r="K153" s="12"/>
      <c r="L153" s="12"/>
      <c r="M153" s="12"/>
      <c r="N153" s="12"/>
      <c r="O153" s="12"/>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row>
    <row r="154" spans="1:47" ht="15.75" customHeight="1" x14ac:dyDescent="0.15">
      <c r="A154" s="12"/>
      <c r="B154" s="12"/>
      <c r="C154" s="12"/>
      <c r="D154" s="12"/>
      <c r="E154" s="12"/>
      <c r="F154" s="12"/>
      <c r="G154" s="12"/>
      <c r="H154" s="12"/>
      <c r="I154" s="12"/>
      <c r="J154" s="12"/>
      <c r="K154" s="12"/>
      <c r="L154" s="12"/>
      <c r="M154" s="12"/>
      <c r="N154" s="12"/>
      <c r="O154" s="12"/>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row>
    <row r="155" spans="1:47" ht="15.75" customHeight="1" x14ac:dyDescent="0.15">
      <c r="A155" s="12"/>
      <c r="B155" s="12"/>
      <c r="C155" s="12"/>
      <c r="D155" s="12"/>
      <c r="E155" s="12"/>
      <c r="F155" s="12"/>
      <c r="G155" s="12"/>
      <c r="H155" s="12"/>
      <c r="I155" s="12"/>
      <c r="J155" s="12"/>
      <c r="K155" s="12"/>
      <c r="L155" s="12"/>
      <c r="M155" s="12"/>
      <c r="N155" s="12"/>
      <c r="O155" s="12"/>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row>
    <row r="156" spans="1:47" ht="15.75" customHeight="1" x14ac:dyDescent="0.15">
      <c r="A156" s="12"/>
      <c r="B156" s="12"/>
      <c r="C156" s="12"/>
      <c r="D156" s="12"/>
      <c r="E156" s="12"/>
      <c r="F156" s="12"/>
      <c r="G156" s="12"/>
      <c r="H156" s="12"/>
      <c r="I156" s="12"/>
      <c r="J156" s="12"/>
      <c r="K156" s="12"/>
      <c r="L156" s="12"/>
      <c r="M156" s="12"/>
      <c r="N156" s="12"/>
      <c r="O156" s="12"/>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row>
    <row r="157" spans="1:47" ht="15.75" customHeight="1" x14ac:dyDescent="0.15">
      <c r="A157" s="12"/>
      <c r="B157" s="12"/>
      <c r="C157" s="12"/>
      <c r="D157" s="12"/>
      <c r="E157" s="12"/>
      <c r="F157" s="12"/>
      <c r="G157" s="12"/>
      <c r="H157" s="12"/>
      <c r="I157" s="12"/>
      <c r="J157" s="12"/>
      <c r="K157" s="12"/>
      <c r="L157" s="12"/>
      <c r="M157" s="12"/>
      <c r="N157" s="12"/>
      <c r="O157" s="12"/>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row>
    <row r="158" spans="1:47" ht="15.75" customHeight="1" x14ac:dyDescent="0.15">
      <c r="A158" s="12"/>
      <c r="B158" s="12"/>
      <c r="C158" s="12"/>
      <c r="D158" s="12"/>
      <c r="E158" s="12"/>
      <c r="F158" s="12"/>
      <c r="G158" s="12"/>
      <c r="H158" s="12"/>
      <c r="I158" s="12"/>
      <c r="J158" s="12"/>
      <c r="K158" s="12"/>
      <c r="L158" s="12"/>
      <c r="M158" s="12"/>
      <c r="N158" s="12"/>
      <c r="O158" s="12"/>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row>
    <row r="159" spans="1:47" ht="15.75" customHeight="1" x14ac:dyDescent="0.15">
      <c r="A159" s="12"/>
      <c r="B159" s="12"/>
      <c r="C159" s="12"/>
      <c r="D159" s="12"/>
      <c r="E159" s="12"/>
      <c r="F159" s="12"/>
      <c r="G159" s="12"/>
      <c r="H159" s="12"/>
      <c r="I159" s="12"/>
      <c r="J159" s="12"/>
      <c r="K159" s="12"/>
      <c r="L159" s="12"/>
      <c r="M159" s="12"/>
      <c r="N159" s="12"/>
      <c r="O159" s="12"/>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row>
    <row r="160" spans="1:47" ht="15.75" customHeight="1" x14ac:dyDescent="0.15">
      <c r="A160" s="12"/>
      <c r="B160" s="12"/>
      <c r="C160" s="12"/>
      <c r="D160" s="12"/>
      <c r="E160" s="12"/>
      <c r="F160" s="12"/>
      <c r="G160" s="12"/>
      <c r="H160" s="12"/>
      <c r="I160" s="12"/>
      <c r="J160" s="12"/>
      <c r="K160" s="12"/>
      <c r="L160" s="12"/>
      <c r="M160" s="12"/>
      <c r="N160" s="12"/>
      <c r="O160" s="12"/>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row>
    <row r="161" spans="1:47" ht="15.75" customHeight="1" x14ac:dyDescent="0.15">
      <c r="A161" s="12"/>
      <c r="B161" s="12"/>
      <c r="C161" s="12"/>
      <c r="D161" s="12"/>
      <c r="E161" s="12"/>
      <c r="F161" s="12"/>
      <c r="G161" s="12"/>
      <c r="H161" s="12"/>
      <c r="I161" s="12"/>
      <c r="J161" s="12"/>
      <c r="K161" s="12"/>
      <c r="L161" s="12"/>
      <c r="M161" s="12"/>
      <c r="N161" s="12"/>
      <c r="O161" s="12"/>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row>
    <row r="162" spans="1:47" ht="15.75" customHeight="1" x14ac:dyDescent="0.15">
      <c r="A162" s="12"/>
      <c r="B162" s="12"/>
      <c r="C162" s="12"/>
      <c r="D162" s="12"/>
      <c r="E162" s="12"/>
      <c r="F162" s="12"/>
      <c r="G162" s="12"/>
      <c r="H162" s="12"/>
      <c r="I162" s="12"/>
      <c r="J162" s="12"/>
      <c r="K162" s="12"/>
      <c r="L162" s="12"/>
      <c r="M162" s="12"/>
      <c r="N162" s="12"/>
      <c r="O162" s="12"/>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row>
    <row r="163" spans="1:47" ht="15.75" customHeight="1" x14ac:dyDescent="0.15">
      <c r="A163" s="12"/>
      <c r="B163" s="12"/>
      <c r="C163" s="12"/>
      <c r="D163" s="12"/>
      <c r="E163" s="12"/>
      <c r="F163" s="12"/>
      <c r="G163" s="12"/>
      <c r="H163" s="12"/>
      <c r="I163" s="12"/>
      <c r="J163" s="12"/>
      <c r="K163" s="12"/>
      <c r="L163" s="12"/>
      <c r="M163" s="12"/>
      <c r="N163" s="12"/>
      <c r="O163" s="12"/>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row>
    <row r="164" spans="1:47" ht="15.75" customHeight="1" x14ac:dyDescent="0.15">
      <c r="A164" s="12"/>
      <c r="B164" s="12"/>
      <c r="C164" s="12"/>
      <c r="D164" s="12"/>
      <c r="E164" s="12"/>
      <c r="F164" s="12"/>
      <c r="G164" s="12"/>
      <c r="H164" s="12"/>
      <c r="I164" s="12"/>
      <c r="J164" s="12"/>
      <c r="K164" s="12"/>
      <c r="L164" s="12"/>
      <c r="M164" s="12"/>
      <c r="N164" s="12"/>
      <c r="O164" s="12"/>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row>
    <row r="165" spans="1:47" ht="15.75" customHeight="1" x14ac:dyDescent="0.15">
      <c r="A165" s="12"/>
      <c r="B165" s="12"/>
      <c r="C165" s="12"/>
      <c r="D165" s="12"/>
      <c r="E165" s="12"/>
      <c r="F165" s="12"/>
      <c r="G165" s="12"/>
      <c r="H165" s="12"/>
      <c r="I165" s="12"/>
      <c r="J165" s="12"/>
      <c r="K165" s="12"/>
      <c r="L165" s="12"/>
      <c r="M165" s="12"/>
      <c r="N165" s="12"/>
      <c r="O165" s="12"/>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row>
    <row r="166" spans="1:47" ht="15.75" customHeight="1" x14ac:dyDescent="0.15">
      <c r="A166" s="12"/>
      <c r="B166" s="12"/>
      <c r="C166" s="12"/>
      <c r="D166" s="12"/>
      <c r="E166" s="12"/>
      <c r="F166" s="12"/>
      <c r="G166" s="12"/>
      <c r="H166" s="12"/>
      <c r="I166" s="12"/>
      <c r="J166" s="12"/>
      <c r="K166" s="12"/>
      <c r="L166" s="12"/>
      <c r="M166" s="12"/>
      <c r="N166" s="12"/>
      <c r="O166" s="12"/>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row>
    <row r="167" spans="1:47" ht="15.75" customHeight="1" x14ac:dyDescent="0.15">
      <c r="A167" s="12"/>
      <c r="B167" s="12"/>
      <c r="C167" s="12"/>
      <c r="D167" s="12"/>
      <c r="E167" s="12"/>
      <c r="F167" s="12"/>
      <c r="G167" s="12"/>
      <c r="H167" s="12"/>
      <c r="I167" s="12"/>
      <c r="J167" s="12"/>
      <c r="K167" s="12"/>
      <c r="L167" s="12"/>
      <c r="M167" s="12"/>
      <c r="N167" s="12"/>
      <c r="O167" s="12"/>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row>
    <row r="168" spans="1:47" ht="15.75" customHeight="1" x14ac:dyDescent="0.15">
      <c r="A168" s="12"/>
      <c r="B168" s="12"/>
      <c r="C168" s="12"/>
      <c r="D168" s="12"/>
      <c r="E168" s="12"/>
      <c r="F168" s="12"/>
      <c r="G168" s="12"/>
      <c r="H168" s="12"/>
      <c r="I168" s="12"/>
      <c r="J168" s="12"/>
      <c r="K168" s="12"/>
      <c r="L168" s="12"/>
      <c r="M168" s="12"/>
      <c r="N168" s="12"/>
      <c r="O168" s="12"/>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row>
    <row r="169" spans="1:47" ht="15.75" customHeight="1" x14ac:dyDescent="0.15">
      <c r="A169" s="12"/>
      <c r="B169" s="12"/>
      <c r="C169" s="12"/>
      <c r="D169" s="12"/>
      <c r="E169" s="12"/>
      <c r="F169" s="12"/>
      <c r="G169" s="12"/>
      <c r="H169" s="12"/>
      <c r="I169" s="12"/>
      <c r="J169" s="12"/>
      <c r="K169" s="12"/>
      <c r="L169" s="12"/>
      <c r="M169" s="12"/>
      <c r="N169" s="12"/>
      <c r="O169" s="12"/>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row>
    <row r="170" spans="1:47" ht="15.75" customHeight="1" x14ac:dyDescent="0.15">
      <c r="A170" s="12"/>
      <c r="B170" s="12"/>
      <c r="C170" s="12"/>
      <c r="D170" s="12"/>
      <c r="E170" s="12"/>
      <c r="F170" s="12"/>
      <c r="G170" s="12"/>
      <c r="H170" s="12"/>
      <c r="I170" s="12"/>
      <c r="J170" s="12"/>
      <c r="K170" s="12"/>
      <c r="L170" s="12"/>
      <c r="M170" s="12"/>
      <c r="N170" s="12"/>
      <c r="O170" s="12"/>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row>
    <row r="171" spans="1:47" ht="15.75" customHeight="1" x14ac:dyDescent="0.15">
      <c r="A171" s="12"/>
      <c r="B171" s="12"/>
      <c r="C171" s="12"/>
      <c r="D171" s="12"/>
      <c r="E171" s="12"/>
      <c r="F171" s="12"/>
      <c r="G171" s="12"/>
      <c r="H171" s="12"/>
      <c r="I171" s="12"/>
      <c r="J171" s="12"/>
      <c r="K171" s="12"/>
      <c r="L171" s="12"/>
      <c r="M171" s="12"/>
      <c r="N171" s="12"/>
      <c r="O171" s="12"/>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row>
    <row r="172" spans="1:47" ht="15.75" customHeight="1" x14ac:dyDescent="0.15">
      <c r="A172" s="12"/>
      <c r="B172" s="12"/>
      <c r="C172" s="12"/>
      <c r="D172" s="12"/>
      <c r="E172" s="12"/>
      <c r="F172" s="12"/>
      <c r="G172" s="12"/>
      <c r="H172" s="12"/>
      <c r="I172" s="12"/>
      <c r="J172" s="12"/>
      <c r="K172" s="12"/>
      <c r="L172" s="12"/>
      <c r="M172" s="12"/>
      <c r="N172" s="12"/>
      <c r="O172" s="12"/>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row>
    <row r="173" spans="1:47" ht="15.75" customHeight="1" x14ac:dyDescent="0.15">
      <c r="A173" s="12"/>
      <c r="B173" s="12"/>
      <c r="C173" s="12"/>
      <c r="D173" s="12"/>
      <c r="E173" s="12"/>
      <c r="F173" s="12"/>
      <c r="G173" s="12"/>
      <c r="H173" s="12"/>
      <c r="I173" s="12"/>
      <c r="J173" s="12"/>
      <c r="K173" s="12"/>
      <c r="L173" s="12"/>
      <c r="M173" s="12"/>
      <c r="N173" s="12"/>
      <c r="O173" s="12"/>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row>
    <row r="174" spans="1:47" ht="15.75" customHeight="1" x14ac:dyDescent="0.15">
      <c r="A174" s="12"/>
      <c r="B174" s="12"/>
      <c r="C174" s="12"/>
      <c r="D174" s="12"/>
      <c r="E174" s="12"/>
      <c r="F174" s="12"/>
      <c r="G174" s="12"/>
      <c r="H174" s="12"/>
      <c r="I174" s="12"/>
      <c r="J174" s="12"/>
      <c r="K174" s="12"/>
      <c r="L174" s="12"/>
      <c r="M174" s="12"/>
      <c r="N174" s="12"/>
      <c r="O174" s="12"/>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row>
    <row r="175" spans="1:47" ht="15.75" customHeight="1" x14ac:dyDescent="0.15">
      <c r="A175" s="12"/>
      <c r="B175" s="12"/>
      <c r="C175" s="12"/>
      <c r="D175" s="12"/>
      <c r="E175" s="12"/>
      <c r="F175" s="12"/>
      <c r="G175" s="12"/>
      <c r="H175" s="12"/>
      <c r="I175" s="12"/>
      <c r="J175" s="12"/>
      <c r="K175" s="12"/>
      <c r="L175" s="12"/>
      <c r="M175" s="12"/>
      <c r="N175" s="12"/>
      <c r="O175" s="12"/>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row>
    <row r="176" spans="1:47" ht="15.75" customHeight="1" x14ac:dyDescent="0.15">
      <c r="A176" s="12"/>
      <c r="B176" s="12"/>
      <c r="C176" s="12"/>
      <c r="D176" s="12"/>
      <c r="E176" s="12"/>
      <c r="F176" s="12"/>
      <c r="G176" s="12"/>
      <c r="H176" s="12"/>
      <c r="I176" s="12"/>
      <c r="J176" s="12"/>
      <c r="K176" s="12"/>
      <c r="L176" s="12"/>
      <c r="M176" s="12"/>
      <c r="N176" s="12"/>
      <c r="O176" s="12"/>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row>
    <row r="177" spans="1:47" ht="15.75" customHeight="1" x14ac:dyDescent="0.15">
      <c r="A177" s="12"/>
      <c r="B177" s="12"/>
      <c r="C177" s="12"/>
      <c r="D177" s="12"/>
      <c r="E177" s="12"/>
      <c r="F177" s="12"/>
      <c r="G177" s="12"/>
      <c r="H177" s="12"/>
      <c r="I177" s="12"/>
      <c r="J177" s="12"/>
      <c r="K177" s="12"/>
      <c r="L177" s="12"/>
      <c r="M177" s="12"/>
      <c r="N177" s="12"/>
      <c r="O177" s="12"/>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row>
    <row r="178" spans="1:47" ht="15.75" customHeight="1" x14ac:dyDescent="0.15">
      <c r="A178" s="12"/>
      <c r="B178" s="12"/>
      <c r="C178" s="12"/>
      <c r="D178" s="12"/>
      <c r="E178" s="12"/>
      <c r="F178" s="12"/>
      <c r="G178" s="12"/>
      <c r="H178" s="12"/>
      <c r="I178" s="12"/>
      <c r="J178" s="12"/>
      <c r="K178" s="12"/>
      <c r="L178" s="12"/>
      <c r="M178" s="12"/>
      <c r="N178" s="12"/>
      <c r="O178" s="12"/>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row>
    <row r="179" spans="1:47" ht="15.75" customHeight="1" x14ac:dyDescent="0.15">
      <c r="A179" s="12"/>
      <c r="B179" s="12"/>
      <c r="C179" s="12"/>
      <c r="D179" s="12"/>
      <c r="E179" s="12"/>
      <c r="F179" s="12"/>
      <c r="G179" s="12"/>
      <c r="H179" s="12"/>
      <c r="I179" s="12"/>
      <c r="J179" s="12"/>
      <c r="K179" s="12"/>
      <c r="L179" s="12"/>
      <c r="M179" s="12"/>
      <c r="N179" s="12"/>
      <c r="O179" s="12"/>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row>
    <row r="180" spans="1:47" ht="15.75" customHeight="1" x14ac:dyDescent="0.15">
      <c r="A180" s="12"/>
      <c r="B180" s="12"/>
      <c r="C180" s="12"/>
      <c r="D180" s="12"/>
      <c r="E180" s="12"/>
      <c r="F180" s="12"/>
      <c r="G180" s="12"/>
      <c r="H180" s="12"/>
      <c r="I180" s="12"/>
      <c r="J180" s="12"/>
      <c r="K180" s="12"/>
      <c r="L180" s="12"/>
      <c r="M180" s="12"/>
      <c r="N180" s="12"/>
      <c r="O180" s="12"/>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row>
    <row r="181" spans="1:47" ht="15.75" customHeight="1" x14ac:dyDescent="0.15">
      <c r="A181" s="12"/>
      <c r="B181" s="12"/>
      <c r="C181" s="12"/>
      <c r="D181" s="12"/>
      <c r="E181" s="12"/>
      <c r="F181" s="12"/>
      <c r="G181" s="12"/>
      <c r="H181" s="12"/>
      <c r="I181" s="12"/>
      <c r="J181" s="12"/>
      <c r="K181" s="12"/>
      <c r="L181" s="12"/>
      <c r="M181" s="12"/>
      <c r="N181" s="12"/>
      <c r="O181" s="12"/>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row>
    <row r="182" spans="1:47" ht="15.75" customHeight="1" x14ac:dyDescent="0.15">
      <c r="A182" s="12"/>
      <c r="B182" s="12"/>
      <c r="C182" s="12"/>
      <c r="D182" s="12"/>
      <c r="E182" s="12"/>
      <c r="F182" s="12"/>
      <c r="G182" s="12"/>
      <c r="H182" s="12"/>
      <c r="I182" s="12"/>
      <c r="J182" s="12"/>
      <c r="K182" s="12"/>
      <c r="L182" s="12"/>
      <c r="M182" s="12"/>
      <c r="N182" s="12"/>
      <c r="O182" s="12"/>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row>
    <row r="183" spans="1:47" ht="15.75" customHeight="1" x14ac:dyDescent="0.15">
      <c r="A183" s="12"/>
      <c r="B183" s="12"/>
      <c r="C183" s="12"/>
      <c r="D183" s="12"/>
      <c r="E183" s="12"/>
      <c r="F183" s="12"/>
      <c r="G183" s="12"/>
      <c r="H183" s="12"/>
      <c r="I183" s="12"/>
      <c r="J183" s="12"/>
      <c r="K183" s="12"/>
      <c r="L183" s="12"/>
      <c r="M183" s="12"/>
      <c r="N183" s="12"/>
      <c r="O183" s="12"/>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row>
    <row r="184" spans="1:47" ht="15.75" customHeight="1" x14ac:dyDescent="0.15">
      <c r="A184" s="12"/>
      <c r="B184" s="12"/>
      <c r="C184" s="12"/>
      <c r="D184" s="12"/>
      <c r="E184" s="12"/>
      <c r="F184" s="12"/>
      <c r="G184" s="12"/>
      <c r="H184" s="12"/>
      <c r="I184" s="12"/>
      <c r="J184" s="12"/>
      <c r="K184" s="12"/>
      <c r="L184" s="12"/>
      <c r="M184" s="12"/>
      <c r="N184" s="12"/>
      <c r="O184" s="12"/>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row>
    <row r="185" spans="1:47" ht="15.75" customHeight="1" x14ac:dyDescent="0.15">
      <c r="A185" s="12"/>
      <c r="B185" s="12"/>
      <c r="C185" s="12"/>
      <c r="D185" s="12"/>
      <c r="E185" s="12"/>
      <c r="F185" s="12"/>
      <c r="G185" s="12"/>
      <c r="H185" s="12"/>
      <c r="I185" s="12"/>
      <c r="J185" s="12"/>
      <c r="K185" s="12"/>
      <c r="L185" s="12"/>
      <c r="M185" s="12"/>
      <c r="N185" s="12"/>
      <c r="O185" s="12"/>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row>
    <row r="186" spans="1:47" ht="15.75" customHeight="1" x14ac:dyDescent="0.15">
      <c r="A186" s="12"/>
      <c r="B186" s="12"/>
      <c r="C186" s="12"/>
      <c r="D186" s="12"/>
      <c r="E186" s="12"/>
      <c r="F186" s="12"/>
      <c r="G186" s="12"/>
      <c r="H186" s="12"/>
      <c r="I186" s="12"/>
      <c r="J186" s="12"/>
      <c r="K186" s="12"/>
      <c r="L186" s="12"/>
      <c r="M186" s="12"/>
      <c r="N186" s="12"/>
      <c r="O186" s="12"/>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row>
    <row r="187" spans="1:47" ht="15.75" customHeight="1" x14ac:dyDescent="0.15">
      <c r="A187" s="12"/>
      <c r="B187" s="12"/>
      <c r="C187" s="12"/>
      <c r="D187" s="12"/>
      <c r="E187" s="12"/>
      <c r="F187" s="12"/>
      <c r="G187" s="12"/>
      <c r="H187" s="12"/>
      <c r="I187" s="12"/>
      <c r="J187" s="12"/>
      <c r="K187" s="12"/>
      <c r="L187" s="12"/>
      <c r="M187" s="12"/>
      <c r="N187" s="12"/>
      <c r="O187" s="12"/>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row>
    <row r="188" spans="1:47" ht="15.75" customHeight="1" x14ac:dyDescent="0.15">
      <c r="A188" s="12"/>
      <c r="B188" s="12"/>
      <c r="C188" s="12"/>
      <c r="D188" s="12"/>
      <c r="E188" s="12"/>
      <c r="F188" s="12"/>
      <c r="G188" s="12"/>
      <c r="H188" s="12"/>
      <c r="I188" s="12"/>
      <c r="J188" s="12"/>
      <c r="K188" s="12"/>
      <c r="L188" s="12"/>
      <c r="M188" s="12"/>
      <c r="N188" s="12"/>
      <c r="O188" s="12"/>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row>
    <row r="189" spans="1:47" ht="15.75" customHeight="1" x14ac:dyDescent="0.15">
      <c r="A189" s="12"/>
      <c r="B189" s="12"/>
      <c r="C189" s="12"/>
      <c r="D189" s="12"/>
      <c r="E189" s="12"/>
      <c r="F189" s="12"/>
      <c r="G189" s="12"/>
      <c r="H189" s="12"/>
      <c r="I189" s="12"/>
      <c r="J189" s="12"/>
      <c r="K189" s="12"/>
      <c r="L189" s="12"/>
      <c r="M189" s="12"/>
      <c r="N189" s="12"/>
      <c r="O189" s="12"/>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row>
    <row r="190" spans="1:47" ht="15.75" customHeight="1" x14ac:dyDescent="0.15">
      <c r="A190" s="12"/>
      <c r="B190" s="12"/>
      <c r="C190" s="12"/>
      <c r="D190" s="12"/>
      <c r="E190" s="12"/>
      <c r="F190" s="12"/>
      <c r="G190" s="12"/>
      <c r="H190" s="12"/>
      <c r="I190" s="12"/>
      <c r="J190" s="12"/>
      <c r="K190" s="12"/>
      <c r="L190" s="12"/>
      <c r="M190" s="12"/>
      <c r="N190" s="12"/>
      <c r="O190" s="12"/>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row>
    <row r="191" spans="1:47" ht="15.75" customHeight="1" x14ac:dyDescent="0.15">
      <c r="A191" s="12"/>
      <c r="B191" s="12"/>
      <c r="C191" s="12"/>
      <c r="D191" s="12"/>
      <c r="E191" s="12"/>
      <c r="F191" s="12"/>
      <c r="G191" s="12"/>
      <c r="H191" s="12"/>
      <c r="I191" s="12"/>
      <c r="J191" s="12"/>
      <c r="K191" s="12"/>
      <c r="L191" s="12"/>
      <c r="M191" s="12"/>
      <c r="N191" s="12"/>
      <c r="O191" s="12"/>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row>
    <row r="192" spans="1:47" ht="15.75" customHeight="1" x14ac:dyDescent="0.15">
      <c r="A192" s="12"/>
      <c r="B192" s="12"/>
      <c r="C192" s="12"/>
      <c r="D192" s="12"/>
      <c r="E192" s="12"/>
      <c r="F192" s="12"/>
      <c r="G192" s="12"/>
      <c r="H192" s="12"/>
      <c r="I192" s="12"/>
      <c r="J192" s="12"/>
      <c r="K192" s="12"/>
      <c r="L192" s="12"/>
      <c r="M192" s="12"/>
      <c r="N192" s="12"/>
      <c r="O192" s="12"/>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row>
    <row r="193" spans="1:47" ht="15.75" customHeight="1" x14ac:dyDescent="0.15">
      <c r="A193" s="12"/>
      <c r="B193" s="12"/>
      <c r="C193" s="12"/>
      <c r="D193" s="12"/>
      <c r="E193" s="12"/>
      <c r="F193" s="12"/>
      <c r="G193" s="12"/>
      <c r="H193" s="12"/>
      <c r="I193" s="12"/>
      <c r="J193" s="12"/>
      <c r="K193" s="12"/>
      <c r="L193" s="12"/>
      <c r="M193" s="12"/>
      <c r="N193" s="12"/>
      <c r="O193" s="12"/>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row>
    <row r="194" spans="1:47" ht="15.75" customHeight="1" x14ac:dyDescent="0.15">
      <c r="A194" s="12"/>
      <c r="B194" s="12"/>
      <c r="C194" s="12"/>
      <c r="D194" s="12"/>
      <c r="E194" s="12"/>
      <c r="F194" s="12"/>
      <c r="G194" s="12"/>
      <c r="H194" s="12"/>
      <c r="I194" s="12"/>
      <c r="J194" s="12"/>
      <c r="K194" s="12"/>
      <c r="L194" s="12"/>
      <c r="M194" s="12"/>
      <c r="N194" s="12"/>
      <c r="O194" s="12"/>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row>
    <row r="195" spans="1:47" ht="15.75" customHeight="1" x14ac:dyDescent="0.15">
      <c r="A195" s="12"/>
      <c r="B195" s="12"/>
      <c r="C195" s="12"/>
      <c r="D195" s="12"/>
      <c r="E195" s="12"/>
      <c r="F195" s="12"/>
      <c r="G195" s="12"/>
      <c r="H195" s="12"/>
      <c r="I195" s="12"/>
      <c r="J195" s="12"/>
      <c r="K195" s="12"/>
      <c r="L195" s="12"/>
      <c r="M195" s="12"/>
      <c r="N195" s="12"/>
      <c r="O195" s="12"/>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row>
    <row r="196" spans="1:47" ht="15.75" customHeight="1" x14ac:dyDescent="0.15">
      <c r="A196" s="12"/>
      <c r="B196" s="12"/>
      <c r="C196" s="12"/>
      <c r="D196" s="12"/>
      <c r="E196" s="12"/>
      <c r="F196" s="12"/>
      <c r="G196" s="12"/>
      <c r="H196" s="12"/>
      <c r="I196" s="12"/>
      <c r="J196" s="12"/>
      <c r="K196" s="12"/>
      <c r="L196" s="12"/>
      <c r="M196" s="12"/>
      <c r="N196" s="12"/>
      <c r="O196" s="12"/>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row>
    <row r="197" spans="1:47" ht="15.75" customHeight="1" x14ac:dyDescent="0.15">
      <c r="A197" s="12"/>
      <c r="B197" s="12"/>
      <c r="C197" s="12"/>
      <c r="D197" s="12"/>
      <c r="E197" s="12"/>
      <c r="F197" s="12"/>
      <c r="G197" s="12"/>
      <c r="H197" s="12"/>
      <c r="I197" s="12"/>
      <c r="J197" s="12"/>
      <c r="K197" s="12"/>
      <c r="L197" s="12"/>
      <c r="M197" s="12"/>
      <c r="N197" s="12"/>
      <c r="O197" s="12"/>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row>
    <row r="198" spans="1:47" ht="15.75" customHeight="1" x14ac:dyDescent="0.15">
      <c r="A198" s="12"/>
      <c r="B198" s="12"/>
      <c r="C198" s="12"/>
      <c r="D198" s="12"/>
      <c r="E198" s="12"/>
      <c r="F198" s="12"/>
      <c r="G198" s="12"/>
      <c r="H198" s="12"/>
      <c r="I198" s="12"/>
      <c r="J198" s="12"/>
      <c r="K198" s="12"/>
      <c r="L198" s="12"/>
      <c r="M198" s="12"/>
      <c r="N198" s="12"/>
      <c r="O198" s="12"/>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row>
    <row r="199" spans="1:47" ht="15.75" customHeight="1" x14ac:dyDescent="0.15">
      <c r="A199" s="12"/>
      <c r="B199" s="12"/>
      <c r="C199" s="12"/>
      <c r="D199" s="12"/>
      <c r="E199" s="12"/>
      <c r="F199" s="12"/>
      <c r="G199" s="12"/>
      <c r="H199" s="12"/>
      <c r="I199" s="12"/>
      <c r="J199" s="12"/>
      <c r="K199" s="12"/>
      <c r="L199" s="12"/>
      <c r="M199" s="12"/>
      <c r="N199" s="12"/>
      <c r="O199" s="12"/>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row>
    <row r="200" spans="1:47" ht="15.75" customHeight="1" x14ac:dyDescent="0.15">
      <c r="A200" s="12"/>
      <c r="B200" s="12"/>
      <c r="C200" s="12"/>
      <c r="D200" s="12"/>
      <c r="E200" s="12"/>
      <c r="F200" s="12"/>
      <c r="G200" s="12"/>
      <c r="H200" s="12"/>
      <c r="I200" s="12"/>
      <c r="J200" s="12"/>
      <c r="K200" s="12"/>
      <c r="L200" s="12"/>
      <c r="M200" s="12"/>
      <c r="N200" s="12"/>
      <c r="O200" s="12"/>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row>
    <row r="201" spans="1:47" ht="15.75" customHeight="1" x14ac:dyDescent="0.15">
      <c r="A201" s="12"/>
      <c r="B201" s="12"/>
      <c r="C201" s="12"/>
      <c r="D201" s="12"/>
      <c r="E201" s="12"/>
      <c r="F201" s="12"/>
      <c r="G201" s="12"/>
      <c r="H201" s="12"/>
      <c r="I201" s="12"/>
      <c r="J201" s="12"/>
      <c r="K201" s="12"/>
      <c r="L201" s="12"/>
      <c r="M201" s="12"/>
      <c r="N201" s="12"/>
      <c r="O201" s="12"/>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row>
    <row r="202" spans="1:47" ht="15.75" customHeight="1" x14ac:dyDescent="0.15">
      <c r="A202" s="12"/>
      <c r="B202" s="12"/>
      <c r="C202" s="12"/>
      <c r="D202" s="12"/>
      <c r="E202" s="12"/>
      <c r="F202" s="12"/>
      <c r="G202" s="12"/>
      <c r="H202" s="12"/>
      <c r="I202" s="12"/>
      <c r="J202" s="12"/>
      <c r="K202" s="12"/>
      <c r="L202" s="12"/>
      <c r="M202" s="12"/>
      <c r="N202" s="12"/>
      <c r="O202" s="12"/>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row>
    <row r="203" spans="1:47" ht="15.75" customHeight="1" x14ac:dyDescent="0.15">
      <c r="A203" s="12"/>
      <c r="B203" s="12"/>
      <c r="C203" s="12"/>
      <c r="D203" s="12"/>
      <c r="E203" s="12"/>
      <c r="F203" s="12"/>
      <c r="G203" s="12"/>
      <c r="H203" s="12"/>
      <c r="I203" s="12"/>
      <c r="J203" s="12"/>
      <c r="K203" s="12"/>
      <c r="L203" s="12"/>
      <c r="M203" s="12"/>
      <c r="N203" s="12"/>
      <c r="O203" s="12"/>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row>
    <row r="204" spans="1:47" ht="15.75" customHeight="1" x14ac:dyDescent="0.15">
      <c r="A204" s="12"/>
      <c r="B204" s="12"/>
      <c r="C204" s="12"/>
      <c r="D204" s="12"/>
      <c r="E204" s="12"/>
      <c r="F204" s="12"/>
      <c r="G204" s="12"/>
      <c r="H204" s="12"/>
      <c r="I204" s="12"/>
      <c r="J204" s="12"/>
      <c r="K204" s="12"/>
      <c r="L204" s="12"/>
      <c r="M204" s="12"/>
      <c r="N204" s="12"/>
      <c r="O204" s="12"/>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row>
    <row r="205" spans="1:47" ht="15.75" customHeight="1" x14ac:dyDescent="0.15">
      <c r="A205" s="12"/>
      <c r="B205" s="12"/>
      <c r="C205" s="12"/>
      <c r="D205" s="12"/>
      <c r="E205" s="12"/>
      <c r="F205" s="12"/>
      <c r="G205" s="12"/>
      <c r="H205" s="12"/>
      <c r="I205" s="12"/>
      <c r="J205" s="12"/>
      <c r="K205" s="12"/>
      <c r="L205" s="12"/>
      <c r="M205" s="12"/>
      <c r="N205" s="12"/>
      <c r="O205" s="12"/>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row>
    <row r="206" spans="1:47" ht="15.75" customHeight="1" x14ac:dyDescent="0.15">
      <c r="A206" s="12"/>
      <c r="B206" s="12"/>
      <c r="C206" s="12"/>
      <c r="D206" s="12"/>
      <c r="E206" s="12"/>
      <c r="F206" s="12"/>
      <c r="G206" s="12"/>
      <c r="H206" s="12"/>
      <c r="I206" s="12"/>
      <c r="J206" s="12"/>
      <c r="K206" s="12"/>
      <c r="L206" s="12"/>
      <c r="M206" s="12"/>
      <c r="N206" s="12"/>
      <c r="O206" s="12"/>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row>
    <row r="207" spans="1:47" ht="15.75" customHeight="1" x14ac:dyDescent="0.15">
      <c r="A207" s="12"/>
      <c r="B207" s="12"/>
      <c r="C207" s="12"/>
      <c r="D207" s="12"/>
      <c r="E207" s="12"/>
      <c r="F207" s="12"/>
      <c r="G207" s="12"/>
      <c r="H207" s="12"/>
      <c r="I207" s="12"/>
      <c r="J207" s="12"/>
      <c r="K207" s="12"/>
      <c r="L207" s="12"/>
      <c r="M207" s="12"/>
      <c r="N207" s="12"/>
      <c r="O207" s="12"/>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row>
    <row r="208" spans="1:47" ht="15.75" customHeight="1" x14ac:dyDescent="0.15">
      <c r="A208" s="12"/>
      <c r="B208" s="12"/>
      <c r="C208" s="12"/>
      <c r="D208" s="12"/>
      <c r="E208" s="12"/>
      <c r="F208" s="12"/>
      <c r="G208" s="12"/>
      <c r="H208" s="12"/>
      <c r="I208" s="12"/>
      <c r="J208" s="12"/>
      <c r="K208" s="12"/>
      <c r="L208" s="12"/>
      <c r="M208" s="12"/>
      <c r="N208" s="12"/>
      <c r="O208" s="12"/>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row>
    <row r="209" spans="1:47" ht="15.75" customHeight="1" x14ac:dyDescent="0.15">
      <c r="A209" s="12"/>
      <c r="B209" s="12"/>
      <c r="C209" s="12"/>
      <c r="D209" s="12"/>
      <c r="E209" s="12"/>
      <c r="F209" s="12"/>
      <c r="G209" s="12"/>
      <c r="H209" s="12"/>
      <c r="I209" s="12"/>
      <c r="J209" s="12"/>
      <c r="K209" s="12"/>
      <c r="L209" s="12"/>
      <c r="M209" s="12"/>
      <c r="N209" s="12"/>
      <c r="O209" s="12"/>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row>
    <row r="210" spans="1:47" ht="15.75" customHeight="1" x14ac:dyDescent="0.15">
      <c r="A210" s="12"/>
      <c r="B210" s="12"/>
      <c r="C210" s="12"/>
      <c r="D210" s="12"/>
      <c r="E210" s="12"/>
      <c r="F210" s="12"/>
      <c r="G210" s="12"/>
      <c r="H210" s="12"/>
      <c r="I210" s="12"/>
      <c r="J210" s="12"/>
      <c r="K210" s="12"/>
      <c r="L210" s="12"/>
      <c r="M210" s="12"/>
      <c r="N210" s="12"/>
      <c r="O210" s="12"/>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row>
    <row r="211" spans="1:47" ht="15.75" customHeight="1" x14ac:dyDescent="0.15">
      <c r="A211" s="12"/>
      <c r="B211" s="12"/>
      <c r="C211" s="12"/>
      <c r="D211" s="12"/>
      <c r="E211" s="12"/>
      <c r="F211" s="12"/>
      <c r="G211" s="12"/>
      <c r="H211" s="12"/>
      <c r="I211" s="12"/>
      <c r="J211" s="12"/>
      <c r="K211" s="12"/>
      <c r="L211" s="12"/>
      <c r="M211" s="12"/>
      <c r="N211" s="12"/>
      <c r="O211" s="12"/>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row>
    <row r="212" spans="1:47" ht="15.75" customHeight="1" x14ac:dyDescent="0.15">
      <c r="A212" s="12"/>
      <c r="B212" s="12"/>
      <c r="C212" s="12"/>
      <c r="D212" s="12"/>
      <c r="E212" s="12"/>
      <c r="F212" s="12"/>
      <c r="G212" s="12"/>
      <c r="H212" s="12"/>
      <c r="I212" s="12"/>
      <c r="J212" s="12"/>
      <c r="K212" s="12"/>
      <c r="L212" s="12"/>
      <c r="M212" s="12"/>
      <c r="N212" s="12"/>
      <c r="O212" s="12"/>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row>
    <row r="213" spans="1:47" ht="15.75" customHeight="1" x14ac:dyDescent="0.15">
      <c r="A213" s="12"/>
      <c r="B213" s="12"/>
      <c r="C213" s="12"/>
      <c r="D213" s="12"/>
      <c r="E213" s="12"/>
      <c r="F213" s="12"/>
      <c r="G213" s="12"/>
      <c r="H213" s="12"/>
      <c r="I213" s="12"/>
      <c r="J213" s="12"/>
      <c r="K213" s="12"/>
      <c r="L213" s="12"/>
      <c r="M213" s="12"/>
      <c r="N213" s="12"/>
      <c r="O213" s="12"/>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row>
    <row r="214" spans="1:47" ht="15.75" customHeight="1" x14ac:dyDescent="0.15">
      <c r="A214" s="12"/>
      <c r="B214" s="12"/>
      <c r="C214" s="12"/>
      <c r="D214" s="12"/>
      <c r="E214" s="12"/>
      <c r="F214" s="12"/>
      <c r="G214" s="12"/>
      <c r="H214" s="12"/>
      <c r="I214" s="12"/>
      <c r="J214" s="12"/>
      <c r="K214" s="12"/>
      <c r="L214" s="12"/>
      <c r="M214" s="12"/>
      <c r="N214" s="12"/>
      <c r="O214" s="12"/>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row>
    <row r="215" spans="1:47" ht="15.75" customHeight="1" x14ac:dyDescent="0.15">
      <c r="A215" s="12"/>
      <c r="B215" s="12"/>
      <c r="C215" s="12"/>
      <c r="D215" s="12"/>
      <c r="E215" s="12"/>
      <c r="F215" s="12"/>
      <c r="G215" s="12"/>
      <c r="H215" s="12"/>
      <c r="I215" s="12"/>
      <c r="J215" s="12"/>
      <c r="K215" s="12"/>
      <c r="L215" s="12"/>
      <c r="M215" s="12"/>
      <c r="N215" s="12"/>
      <c r="O215" s="12"/>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row>
    <row r="216" spans="1:47" ht="15.75" customHeight="1" x14ac:dyDescent="0.15">
      <c r="A216" s="12"/>
      <c r="B216" s="12"/>
      <c r="C216" s="12"/>
      <c r="D216" s="12"/>
      <c r="E216" s="12"/>
      <c r="F216" s="12"/>
      <c r="G216" s="12"/>
      <c r="H216" s="12"/>
      <c r="I216" s="12"/>
      <c r="J216" s="12"/>
      <c r="K216" s="12"/>
      <c r="L216" s="12"/>
      <c r="M216" s="12"/>
      <c r="N216" s="12"/>
      <c r="O216" s="12"/>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row>
    <row r="217" spans="1:47" ht="15.75" customHeight="1" x14ac:dyDescent="0.15">
      <c r="A217" s="12"/>
      <c r="B217" s="12"/>
      <c r="C217" s="12"/>
      <c r="D217" s="12"/>
      <c r="E217" s="12"/>
      <c r="F217" s="12"/>
      <c r="G217" s="12"/>
      <c r="H217" s="12"/>
      <c r="I217" s="12"/>
      <c r="J217" s="12"/>
      <c r="K217" s="12"/>
      <c r="L217" s="12"/>
      <c r="M217" s="12"/>
      <c r="N217" s="12"/>
      <c r="O217" s="12"/>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row>
    <row r="218" spans="1:47" ht="15.75" customHeight="1" x14ac:dyDescent="0.15">
      <c r="A218" s="12"/>
      <c r="B218" s="12"/>
      <c r="C218" s="12"/>
      <c r="D218" s="12"/>
      <c r="E218" s="12"/>
      <c r="F218" s="12"/>
      <c r="G218" s="12"/>
      <c r="H218" s="12"/>
      <c r="I218" s="12"/>
      <c r="J218" s="12"/>
      <c r="K218" s="12"/>
      <c r="L218" s="12"/>
      <c r="M218" s="12"/>
      <c r="N218" s="12"/>
      <c r="O218" s="12"/>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row>
    <row r="219" spans="1:47" ht="15.75" customHeight="1" x14ac:dyDescent="0.15">
      <c r="A219" s="12"/>
      <c r="B219" s="12"/>
      <c r="C219" s="12"/>
      <c r="D219" s="12"/>
      <c r="E219" s="12"/>
      <c r="F219" s="12"/>
      <c r="G219" s="12"/>
      <c r="H219" s="12"/>
      <c r="I219" s="12"/>
      <c r="J219" s="12"/>
      <c r="K219" s="12"/>
      <c r="L219" s="12"/>
      <c r="M219" s="12"/>
      <c r="N219" s="12"/>
      <c r="O219" s="12"/>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row>
    <row r="220" spans="1:47" ht="15.75" customHeight="1" x14ac:dyDescent="0.15">
      <c r="A220" s="12"/>
      <c r="B220" s="12"/>
      <c r="C220" s="12"/>
      <c r="D220" s="12"/>
      <c r="E220" s="12"/>
      <c r="F220" s="12"/>
      <c r="G220" s="12"/>
      <c r="H220" s="12"/>
      <c r="I220" s="12"/>
      <c r="J220" s="12"/>
      <c r="K220" s="12"/>
      <c r="L220" s="12"/>
      <c r="M220" s="12"/>
      <c r="N220" s="12"/>
      <c r="O220" s="12"/>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row>
    <row r="221" spans="1:47" ht="15.75" customHeight="1" x14ac:dyDescent="0.15">
      <c r="A221" s="12"/>
      <c r="B221" s="12"/>
      <c r="C221" s="12"/>
      <c r="D221" s="12"/>
      <c r="E221" s="12"/>
      <c r="F221" s="12"/>
      <c r="G221" s="12"/>
      <c r="H221" s="12"/>
      <c r="I221" s="12"/>
      <c r="J221" s="12"/>
      <c r="K221" s="12"/>
      <c r="L221" s="12"/>
      <c r="M221" s="12"/>
      <c r="N221" s="12"/>
      <c r="O221" s="12"/>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row>
    <row r="222" spans="1:47" ht="15.75" customHeight="1" x14ac:dyDescent="0.15">
      <c r="A222" s="12"/>
      <c r="B222" s="12"/>
      <c r="C222" s="12"/>
      <c r="D222" s="12"/>
      <c r="E222" s="12"/>
      <c r="F222" s="12"/>
      <c r="G222" s="12"/>
      <c r="H222" s="12"/>
      <c r="I222" s="12"/>
      <c r="J222" s="12"/>
      <c r="K222" s="12"/>
      <c r="L222" s="12"/>
      <c r="M222" s="12"/>
      <c r="N222" s="12"/>
      <c r="O222" s="12"/>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row>
    <row r="223" spans="1:47" ht="15.75" customHeight="1" x14ac:dyDescent="0.15">
      <c r="A223" s="12"/>
      <c r="B223" s="12"/>
      <c r="C223" s="12"/>
      <c r="D223" s="12"/>
      <c r="E223" s="12"/>
      <c r="F223" s="12"/>
      <c r="G223" s="12"/>
      <c r="H223" s="12"/>
      <c r="I223" s="12"/>
      <c r="J223" s="12"/>
      <c r="K223" s="12"/>
      <c r="L223" s="12"/>
      <c r="M223" s="12"/>
      <c r="N223" s="12"/>
      <c r="O223" s="12"/>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row>
    <row r="224" spans="1:47" ht="15.75" customHeight="1" x14ac:dyDescent="0.15">
      <c r="A224" s="12"/>
      <c r="B224" s="12"/>
      <c r="C224" s="12"/>
      <c r="D224" s="12"/>
      <c r="E224" s="12"/>
      <c r="F224" s="12"/>
      <c r="G224" s="12"/>
      <c r="H224" s="12"/>
      <c r="I224" s="12"/>
      <c r="J224" s="12"/>
      <c r="K224" s="12"/>
      <c r="L224" s="12"/>
      <c r="M224" s="12"/>
      <c r="N224" s="12"/>
      <c r="O224" s="12"/>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row>
    <row r="225" spans="1:47" ht="15.75" customHeight="1" x14ac:dyDescent="0.15">
      <c r="A225" s="12"/>
      <c r="B225" s="12"/>
      <c r="C225" s="12"/>
      <c r="D225" s="12"/>
      <c r="E225" s="12"/>
      <c r="F225" s="12"/>
      <c r="G225" s="12"/>
      <c r="H225" s="12"/>
      <c r="I225" s="12"/>
      <c r="J225" s="12"/>
      <c r="K225" s="12"/>
      <c r="L225" s="12"/>
      <c r="M225" s="12"/>
      <c r="N225" s="12"/>
      <c r="O225" s="12"/>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row>
    <row r="226" spans="1:47" ht="15.75" customHeight="1" x14ac:dyDescent="0.15">
      <c r="A226" s="12"/>
      <c r="B226" s="12"/>
      <c r="C226" s="12"/>
      <c r="D226" s="12"/>
      <c r="E226" s="12"/>
      <c r="F226" s="12"/>
      <c r="G226" s="12"/>
      <c r="H226" s="12"/>
      <c r="I226" s="12"/>
      <c r="J226" s="12"/>
      <c r="K226" s="12"/>
      <c r="L226" s="12"/>
      <c r="M226" s="12"/>
      <c r="N226" s="12"/>
      <c r="O226" s="12"/>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row>
    <row r="227" spans="1:47" ht="15.75" customHeight="1" x14ac:dyDescent="0.15">
      <c r="A227" s="12"/>
      <c r="B227" s="12"/>
      <c r="C227" s="12"/>
      <c r="D227" s="12"/>
      <c r="E227" s="12"/>
      <c r="F227" s="12"/>
      <c r="G227" s="12"/>
      <c r="H227" s="12"/>
      <c r="I227" s="12"/>
      <c r="J227" s="12"/>
      <c r="K227" s="12"/>
      <c r="L227" s="12"/>
      <c r="M227" s="12"/>
      <c r="N227" s="12"/>
      <c r="O227" s="12"/>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row>
    <row r="228" spans="1:47" ht="15.75" customHeight="1" x14ac:dyDescent="0.15">
      <c r="A228" s="12"/>
      <c r="B228" s="12"/>
      <c r="C228" s="12"/>
      <c r="D228" s="12"/>
      <c r="E228" s="12"/>
      <c r="F228" s="12"/>
      <c r="G228" s="12"/>
      <c r="H228" s="12"/>
      <c r="I228" s="12"/>
      <c r="J228" s="12"/>
      <c r="K228" s="12"/>
      <c r="L228" s="12"/>
      <c r="M228" s="12"/>
      <c r="N228" s="12"/>
      <c r="O228" s="12"/>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row>
    <row r="229" spans="1:47" ht="15.75" customHeight="1" x14ac:dyDescent="0.15">
      <c r="A229" s="12"/>
      <c r="B229" s="12"/>
      <c r="C229" s="12"/>
      <c r="D229" s="12"/>
      <c r="E229" s="12"/>
      <c r="F229" s="12"/>
      <c r="G229" s="12"/>
      <c r="H229" s="12"/>
      <c r="I229" s="12"/>
      <c r="J229" s="12"/>
      <c r="K229" s="12"/>
      <c r="L229" s="12"/>
      <c r="M229" s="12"/>
      <c r="N229" s="12"/>
      <c r="O229" s="12"/>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row>
    <row r="230" spans="1:47" ht="15.75" customHeight="1" x14ac:dyDescent="0.15">
      <c r="A230" s="12"/>
      <c r="B230" s="12"/>
      <c r="C230" s="12"/>
      <c r="D230" s="12"/>
      <c r="E230" s="12"/>
      <c r="F230" s="12"/>
      <c r="G230" s="12"/>
      <c r="H230" s="12"/>
      <c r="I230" s="12"/>
      <c r="J230" s="12"/>
      <c r="K230" s="12"/>
      <c r="L230" s="12"/>
      <c r="M230" s="12"/>
      <c r="N230" s="12"/>
      <c r="O230" s="12"/>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row>
    <row r="231" spans="1:47" ht="15.75" customHeight="1" x14ac:dyDescent="0.15">
      <c r="A231" s="12"/>
      <c r="B231" s="12"/>
      <c r="C231" s="12"/>
      <c r="D231" s="12"/>
      <c r="E231" s="12"/>
      <c r="F231" s="12"/>
      <c r="G231" s="12"/>
      <c r="H231" s="12"/>
      <c r="I231" s="12"/>
      <c r="J231" s="12"/>
      <c r="K231" s="12"/>
      <c r="L231" s="12"/>
      <c r="M231" s="12"/>
      <c r="N231" s="12"/>
      <c r="O231" s="12"/>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row>
    <row r="232" spans="1:47" ht="15.75" customHeight="1" x14ac:dyDescent="0.15">
      <c r="A232" s="12"/>
      <c r="B232" s="12"/>
      <c r="C232" s="12"/>
      <c r="D232" s="12"/>
      <c r="E232" s="12"/>
      <c r="F232" s="12"/>
      <c r="G232" s="12"/>
      <c r="H232" s="12"/>
      <c r="I232" s="12"/>
      <c r="J232" s="12"/>
      <c r="K232" s="12"/>
      <c r="L232" s="12"/>
      <c r="M232" s="12"/>
      <c r="N232" s="12"/>
      <c r="O232" s="12"/>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row>
    <row r="233" spans="1:47" ht="15.75" customHeight="1" x14ac:dyDescent="0.15">
      <c r="A233" s="12"/>
      <c r="B233" s="12"/>
      <c r="C233" s="12"/>
      <c r="D233" s="12"/>
      <c r="E233" s="12"/>
      <c r="F233" s="12"/>
      <c r="G233" s="12"/>
      <c r="H233" s="12"/>
      <c r="I233" s="12"/>
      <c r="J233" s="12"/>
      <c r="K233" s="12"/>
      <c r="L233" s="12"/>
      <c r="M233" s="12"/>
      <c r="N233" s="12"/>
      <c r="O233" s="12"/>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row>
    <row r="234" spans="1:47" ht="15.75" customHeight="1" x14ac:dyDescent="0.15">
      <c r="A234" s="12"/>
      <c r="B234" s="12"/>
      <c r="C234" s="12"/>
      <c r="D234" s="12"/>
      <c r="E234" s="12"/>
      <c r="F234" s="12"/>
      <c r="G234" s="12"/>
      <c r="H234" s="12"/>
      <c r="I234" s="12"/>
      <c r="J234" s="12"/>
      <c r="K234" s="12"/>
      <c r="L234" s="12"/>
      <c r="M234" s="12"/>
      <c r="N234" s="12"/>
      <c r="O234" s="12"/>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row>
    <row r="235" spans="1:47" ht="15.75" customHeight="1" x14ac:dyDescent="0.15">
      <c r="A235" s="12"/>
      <c r="B235" s="12"/>
      <c r="C235" s="12"/>
      <c r="D235" s="12"/>
      <c r="E235" s="12"/>
      <c r="F235" s="12"/>
      <c r="G235" s="12"/>
      <c r="H235" s="12"/>
      <c r="I235" s="12"/>
      <c r="J235" s="12"/>
      <c r="K235" s="12"/>
      <c r="L235" s="12"/>
      <c r="M235" s="12"/>
      <c r="N235" s="12"/>
      <c r="O235" s="12"/>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row>
    <row r="236" spans="1:47" ht="15.75" customHeight="1" x14ac:dyDescent="0.15">
      <c r="A236" s="12"/>
      <c r="B236" s="12"/>
      <c r="C236" s="12"/>
      <c r="D236" s="12"/>
      <c r="E236" s="12"/>
      <c r="F236" s="12"/>
      <c r="G236" s="12"/>
      <c r="H236" s="12"/>
      <c r="I236" s="12"/>
      <c r="J236" s="12"/>
      <c r="K236" s="12"/>
      <c r="L236" s="12"/>
      <c r="M236" s="12"/>
      <c r="N236" s="12"/>
      <c r="O236" s="12"/>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row>
    <row r="237" spans="1:47" ht="15.75" customHeight="1" x14ac:dyDescent="0.15">
      <c r="A237" s="12"/>
      <c r="B237" s="12"/>
      <c r="C237" s="12"/>
      <c r="D237" s="12"/>
      <c r="E237" s="12"/>
      <c r="F237" s="12"/>
      <c r="G237" s="12"/>
      <c r="H237" s="12"/>
      <c r="I237" s="12"/>
      <c r="J237" s="12"/>
      <c r="K237" s="12"/>
      <c r="L237" s="12"/>
      <c r="M237" s="12"/>
      <c r="N237" s="12"/>
      <c r="O237" s="12"/>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row>
    <row r="238" spans="1:47" ht="15.75" customHeight="1" x14ac:dyDescent="0.15">
      <c r="A238" s="12"/>
      <c r="B238" s="12"/>
      <c r="C238" s="12"/>
      <c r="D238" s="12"/>
      <c r="E238" s="12"/>
      <c r="F238" s="12"/>
      <c r="G238" s="12"/>
      <c r="H238" s="12"/>
      <c r="I238" s="12"/>
      <c r="J238" s="12"/>
      <c r="K238" s="12"/>
      <c r="L238" s="12"/>
      <c r="M238" s="12"/>
      <c r="N238" s="12"/>
      <c r="O238" s="12"/>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row>
    <row r="239" spans="1:47" ht="15.75" customHeight="1" x14ac:dyDescent="0.15">
      <c r="A239" s="12"/>
      <c r="B239" s="12"/>
      <c r="C239" s="12"/>
      <c r="D239" s="12"/>
      <c r="E239" s="12"/>
      <c r="F239" s="12"/>
      <c r="G239" s="12"/>
      <c r="H239" s="12"/>
      <c r="I239" s="12"/>
      <c r="J239" s="12"/>
      <c r="K239" s="12"/>
      <c r="L239" s="12"/>
      <c r="M239" s="12"/>
      <c r="N239" s="12"/>
      <c r="O239" s="12"/>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row>
    <row r="240" spans="1:47" ht="15.75" customHeight="1" x14ac:dyDescent="0.15">
      <c r="A240" s="12"/>
      <c r="B240" s="12"/>
      <c r="C240" s="12"/>
      <c r="D240" s="12"/>
      <c r="E240" s="12"/>
      <c r="F240" s="12"/>
      <c r="G240" s="12"/>
      <c r="H240" s="12"/>
      <c r="I240" s="12"/>
      <c r="J240" s="12"/>
      <c r="K240" s="12"/>
      <c r="L240" s="12"/>
      <c r="M240" s="12"/>
      <c r="N240" s="12"/>
      <c r="O240" s="12"/>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row>
    <row r="241" spans="1:47" ht="15.75" customHeight="1" x14ac:dyDescent="0.15">
      <c r="A241" s="12"/>
      <c r="B241" s="12"/>
      <c r="C241" s="12"/>
      <c r="D241" s="12"/>
      <c r="E241" s="12"/>
      <c r="F241" s="12"/>
      <c r="G241" s="12"/>
      <c r="H241" s="12"/>
      <c r="I241" s="12"/>
      <c r="J241" s="12"/>
      <c r="K241" s="12"/>
      <c r="L241" s="12"/>
      <c r="M241" s="12"/>
      <c r="N241" s="12"/>
      <c r="O241" s="12"/>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row>
    <row r="242" spans="1:47" ht="15.75" customHeight="1" x14ac:dyDescent="0.15">
      <c r="A242" s="12"/>
      <c r="B242" s="12"/>
      <c r="C242" s="12"/>
      <c r="D242" s="12"/>
      <c r="E242" s="12"/>
      <c r="F242" s="12"/>
      <c r="G242" s="12"/>
      <c r="H242" s="12"/>
      <c r="I242" s="12"/>
      <c r="J242" s="12"/>
      <c r="K242" s="12"/>
      <c r="L242" s="12"/>
      <c r="M242" s="12"/>
      <c r="N242" s="12"/>
      <c r="O242" s="12"/>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row>
    <row r="243" spans="1:47" ht="15.75" customHeight="1" x14ac:dyDescent="0.15">
      <c r="A243" s="12"/>
      <c r="B243" s="12"/>
      <c r="C243" s="12"/>
      <c r="D243" s="12"/>
      <c r="E243" s="12"/>
      <c r="F243" s="12"/>
      <c r="G243" s="12"/>
      <c r="H243" s="12"/>
      <c r="I243" s="12"/>
      <c r="J243" s="12"/>
      <c r="K243" s="12"/>
      <c r="L243" s="12"/>
      <c r="M243" s="12"/>
      <c r="N243" s="12"/>
      <c r="O243" s="12"/>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row>
    <row r="244" spans="1:47" ht="15.75" customHeight="1" x14ac:dyDescent="0.15">
      <c r="A244" s="12"/>
      <c r="B244" s="12"/>
      <c r="C244" s="12"/>
      <c r="D244" s="12"/>
      <c r="E244" s="12"/>
      <c r="F244" s="12"/>
      <c r="G244" s="12"/>
      <c r="H244" s="12"/>
      <c r="I244" s="12"/>
      <c r="J244" s="12"/>
      <c r="K244" s="12"/>
      <c r="L244" s="12"/>
      <c r="M244" s="12"/>
      <c r="N244" s="12"/>
      <c r="O244" s="12"/>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row>
    <row r="245" spans="1:47" ht="15.75" customHeight="1" x14ac:dyDescent="0.15">
      <c r="A245" s="12"/>
      <c r="B245" s="12"/>
      <c r="C245" s="12"/>
      <c r="D245" s="12"/>
      <c r="E245" s="12"/>
      <c r="F245" s="12"/>
      <c r="G245" s="12"/>
      <c r="H245" s="12"/>
      <c r="I245" s="12"/>
      <c r="J245" s="12"/>
      <c r="K245" s="12"/>
      <c r="L245" s="12"/>
      <c r="M245" s="12"/>
      <c r="N245" s="12"/>
      <c r="O245" s="12"/>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row>
    <row r="246" spans="1:47" ht="15.75" customHeight="1" x14ac:dyDescent="0.15">
      <c r="A246" s="12"/>
      <c r="B246" s="12"/>
      <c r="C246" s="12"/>
      <c r="D246" s="12"/>
      <c r="E246" s="12"/>
      <c r="F246" s="12"/>
      <c r="G246" s="12"/>
      <c r="H246" s="12"/>
      <c r="I246" s="12"/>
      <c r="J246" s="12"/>
      <c r="K246" s="12"/>
      <c r="L246" s="12"/>
      <c r="M246" s="12"/>
      <c r="N246" s="12"/>
      <c r="O246" s="12"/>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row>
    <row r="247" spans="1:47" ht="15.75" customHeight="1" x14ac:dyDescent="0.15">
      <c r="A247" s="12"/>
      <c r="B247" s="12"/>
      <c r="C247" s="12"/>
      <c r="D247" s="12"/>
      <c r="E247" s="12"/>
      <c r="F247" s="12"/>
      <c r="G247" s="12"/>
      <c r="H247" s="12"/>
      <c r="I247" s="12"/>
      <c r="J247" s="12"/>
      <c r="K247" s="12"/>
      <c r="L247" s="12"/>
      <c r="M247" s="12"/>
      <c r="N247" s="12"/>
      <c r="O247" s="12"/>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row>
    <row r="248" spans="1:47" ht="15.75" customHeight="1" x14ac:dyDescent="0.15">
      <c r="A248" s="12"/>
      <c r="B248" s="12"/>
      <c r="C248" s="12"/>
      <c r="D248" s="12"/>
      <c r="E248" s="12"/>
      <c r="F248" s="12"/>
      <c r="G248" s="12"/>
      <c r="H248" s="12"/>
      <c r="I248" s="12"/>
      <c r="J248" s="12"/>
      <c r="K248" s="12"/>
      <c r="L248" s="12"/>
      <c r="M248" s="12"/>
      <c r="N248" s="12"/>
      <c r="O248" s="12"/>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row>
    <row r="249" spans="1:47" ht="15.75" customHeight="1" x14ac:dyDescent="0.15">
      <c r="A249" s="12"/>
      <c r="B249" s="12"/>
      <c r="C249" s="12"/>
      <c r="D249" s="12"/>
      <c r="E249" s="12"/>
      <c r="F249" s="12"/>
      <c r="G249" s="12"/>
      <c r="H249" s="12"/>
      <c r="I249" s="12"/>
      <c r="J249" s="12"/>
      <c r="K249" s="12"/>
      <c r="L249" s="12"/>
      <c r="M249" s="12"/>
      <c r="N249" s="12"/>
      <c r="O249" s="12"/>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row>
    <row r="250" spans="1:47" ht="15.75" customHeight="1" x14ac:dyDescent="0.15">
      <c r="A250" s="12"/>
      <c r="B250" s="12"/>
      <c r="C250" s="12"/>
      <c r="D250" s="12"/>
      <c r="E250" s="12"/>
      <c r="F250" s="12"/>
      <c r="G250" s="12"/>
      <c r="H250" s="12"/>
      <c r="I250" s="12"/>
      <c r="J250" s="12"/>
      <c r="K250" s="12"/>
      <c r="L250" s="12"/>
      <c r="M250" s="12"/>
      <c r="N250" s="12"/>
      <c r="O250" s="12"/>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row>
    <row r="251" spans="1:47" ht="15.75" customHeight="1" x14ac:dyDescent="0.15">
      <c r="A251" s="12"/>
      <c r="B251" s="12"/>
      <c r="C251" s="12"/>
      <c r="D251" s="12"/>
      <c r="E251" s="12"/>
      <c r="F251" s="12"/>
      <c r="G251" s="12"/>
      <c r="H251" s="12"/>
      <c r="I251" s="12"/>
      <c r="J251" s="12"/>
      <c r="K251" s="12"/>
      <c r="L251" s="12"/>
      <c r="M251" s="12"/>
      <c r="N251" s="12"/>
      <c r="O251" s="12"/>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row>
    <row r="252" spans="1:47" ht="15.75" customHeight="1" x14ac:dyDescent="0.15">
      <c r="A252" s="12"/>
      <c r="B252" s="12"/>
      <c r="C252" s="12"/>
      <c r="D252" s="12"/>
      <c r="E252" s="12"/>
      <c r="F252" s="12"/>
      <c r="G252" s="12"/>
      <c r="H252" s="12"/>
      <c r="I252" s="12"/>
      <c r="J252" s="12"/>
      <c r="K252" s="12"/>
      <c r="L252" s="12"/>
      <c r="M252" s="12"/>
      <c r="N252" s="12"/>
      <c r="O252" s="12"/>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row>
    <row r="253" spans="1:47" ht="15.75" customHeight="1" x14ac:dyDescent="0.15">
      <c r="A253" s="12"/>
      <c r="B253" s="12"/>
      <c r="C253" s="12"/>
      <c r="D253" s="12"/>
      <c r="E253" s="12"/>
      <c r="F253" s="12"/>
      <c r="G253" s="12"/>
      <c r="H253" s="12"/>
      <c r="I253" s="12"/>
      <c r="J253" s="12"/>
      <c r="K253" s="12"/>
      <c r="L253" s="12"/>
      <c r="M253" s="12"/>
      <c r="N253" s="12"/>
      <c r="O253" s="12"/>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row>
    <row r="254" spans="1:47" ht="15.75" customHeight="1" x14ac:dyDescent="0.15">
      <c r="A254" s="12"/>
      <c r="B254" s="12"/>
      <c r="C254" s="12"/>
      <c r="D254" s="12"/>
      <c r="E254" s="12"/>
      <c r="F254" s="12"/>
      <c r="G254" s="12"/>
      <c r="H254" s="12"/>
      <c r="I254" s="12"/>
      <c r="J254" s="12"/>
      <c r="K254" s="12"/>
      <c r="L254" s="12"/>
      <c r="M254" s="12"/>
      <c r="N254" s="12"/>
      <c r="O254" s="12"/>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row>
    <row r="255" spans="1:47" ht="15.75" customHeight="1" x14ac:dyDescent="0.15">
      <c r="A255" s="12"/>
      <c r="B255" s="12"/>
      <c r="C255" s="12"/>
      <c r="D255" s="12"/>
      <c r="E255" s="12"/>
      <c r="F255" s="12"/>
      <c r="G255" s="12"/>
      <c r="H255" s="12"/>
      <c r="I255" s="12"/>
      <c r="J255" s="12"/>
      <c r="K255" s="12"/>
      <c r="L255" s="12"/>
      <c r="M255" s="12"/>
      <c r="N255" s="12"/>
      <c r="O255" s="12"/>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row>
    <row r="256" spans="1:47" ht="15.75" customHeight="1" x14ac:dyDescent="0.15">
      <c r="A256" s="12"/>
      <c r="B256" s="12"/>
      <c r="C256" s="12"/>
      <c r="D256" s="12"/>
      <c r="E256" s="12"/>
      <c r="F256" s="12"/>
      <c r="G256" s="12"/>
      <c r="H256" s="12"/>
      <c r="I256" s="12"/>
      <c r="J256" s="12"/>
      <c r="K256" s="12"/>
      <c r="L256" s="12"/>
      <c r="M256" s="12"/>
      <c r="N256" s="12"/>
      <c r="O256" s="12"/>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row>
    <row r="257" spans="1:47" ht="15.75" customHeight="1" x14ac:dyDescent="0.15">
      <c r="A257" s="12"/>
      <c r="B257" s="12"/>
      <c r="C257" s="12"/>
      <c r="D257" s="12"/>
      <c r="E257" s="12"/>
      <c r="F257" s="12"/>
      <c r="G257" s="12"/>
      <c r="H257" s="12"/>
      <c r="I257" s="12"/>
      <c r="J257" s="12"/>
      <c r="K257" s="12"/>
      <c r="L257" s="12"/>
      <c r="M257" s="12"/>
      <c r="N257" s="12"/>
      <c r="O257" s="12"/>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row>
    <row r="258" spans="1:47" ht="15.75" customHeight="1" x14ac:dyDescent="0.15">
      <c r="A258" s="12"/>
      <c r="B258" s="12"/>
      <c r="C258" s="12"/>
      <c r="D258" s="12"/>
      <c r="E258" s="12"/>
      <c r="F258" s="12"/>
      <c r="G258" s="12"/>
      <c r="H258" s="12"/>
      <c r="I258" s="12"/>
      <c r="J258" s="12"/>
      <c r="K258" s="12"/>
      <c r="L258" s="12"/>
      <c r="M258" s="12"/>
      <c r="N258" s="12"/>
      <c r="O258" s="12"/>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row>
    <row r="259" spans="1:47" ht="15.75" customHeight="1" x14ac:dyDescent="0.15">
      <c r="A259" s="12"/>
      <c r="B259" s="12"/>
      <c r="C259" s="12"/>
      <c r="D259" s="12"/>
      <c r="E259" s="12"/>
      <c r="F259" s="12"/>
      <c r="G259" s="12"/>
      <c r="H259" s="12"/>
      <c r="I259" s="12"/>
      <c r="J259" s="12"/>
      <c r="K259" s="12"/>
      <c r="L259" s="12"/>
      <c r="M259" s="12"/>
      <c r="N259" s="12"/>
      <c r="O259" s="12"/>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row>
    <row r="260" spans="1:47" ht="15.75" customHeight="1" x14ac:dyDescent="0.15">
      <c r="A260" s="12"/>
      <c r="B260" s="12"/>
      <c r="C260" s="12"/>
      <c r="D260" s="12"/>
      <c r="E260" s="12"/>
      <c r="F260" s="12"/>
      <c r="G260" s="12"/>
      <c r="H260" s="12"/>
      <c r="I260" s="12"/>
      <c r="J260" s="12"/>
      <c r="K260" s="12"/>
      <c r="L260" s="12"/>
      <c r="M260" s="12"/>
      <c r="N260" s="12"/>
      <c r="O260" s="12"/>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row>
    <row r="261" spans="1:47" ht="15.75" customHeight="1" x14ac:dyDescent="0.15">
      <c r="A261" s="12"/>
      <c r="B261" s="12"/>
      <c r="C261" s="12"/>
      <c r="D261" s="12"/>
      <c r="E261" s="12"/>
      <c r="F261" s="12"/>
      <c r="G261" s="12"/>
      <c r="H261" s="12"/>
      <c r="I261" s="12"/>
      <c r="J261" s="12"/>
      <c r="K261" s="12"/>
      <c r="L261" s="12"/>
      <c r="M261" s="12"/>
      <c r="N261" s="12"/>
      <c r="O261" s="12"/>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row>
    <row r="262" spans="1:47" ht="15.75" customHeight="1" x14ac:dyDescent="0.15">
      <c r="A262" s="12"/>
      <c r="B262" s="12"/>
      <c r="C262" s="12"/>
      <c r="D262" s="12"/>
      <c r="E262" s="12"/>
      <c r="F262" s="12"/>
      <c r="G262" s="12"/>
      <c r="H262" s="12"/>
      <c r="I262" s="12"/>
      <c r="J262" s="12"/>
      <c r="K262" s="12"/>
      <c r="L262" s="12"/>
      <c r="M262" s="12"/>
      <c r="N262" s="12"/>
      <c r="O262" s="12"/>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row>
    <row r="263" spans="1:47" ht="15.75" customHeight="1" x14ac:dyDescent="0.15">
      <c r="A263" s="12"/>
      <c r="B263" s="12"/>
      <c r="C263" s="12"/>
      <c r="D263" s="12"/>
      <c r="E263" s="12"/>
      <c r="F263" s="12"/>
      <c r="G263" s="12"/>
      <c r="H263" s="12"/>
      <c r="I263" s="12"/>
      <c r="J263" s="12"/>
      <c r="K263" s="12"/>
      <c r="L263" s="12"/>
      <c r="M263" s="12"/>
      <c r="N263" s="12"/>
      <c r="O263" s="12"/>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row>
    <row r="264" spans="1:47" ht="15.75" customHeight="1" x14ac:dyDescent="0.15">
      <c r="A264" s="12"/>
      <c r="B264" s="12"/>
      <c r="C264" s="12"/>
      <c r="D264" s="12"/>
      <c r="E264" s="12"/>
      <c r="F264" s="12"/>
      <c r="G264" s="12"/>
      <c r="H264" s="12"/>
      <c r="I264" s="12"/>
      <c r="J264" s="12"/>
      <c r="K264" s="12"/>
      <c r="L264" s="12"/>
      <c r="M264" s="12"/>
      <c r="N264" s="12"/>
      <c r="O264" s="12"/>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row>
    <row r="265" spans="1:47" ht="15.75" customHeight="1" x14ac:dyDescent="0.15">
      <c r="A265" s="12"/>
      <c r="B265" s="12"/>
      <c r="C265" s="12"/>
      <c r="D265" s="12"/>
      <c r="E265" s="12"/>
      <c r="F265" s="12"/>
      <c r="G265" s="12"/>
      <c r="H265" s="12"/>
      <c r="I265" s="12"/>
      <c r="J265" s="12"/>
      <c r="K265" s="12"/>
      <c r="L265" s="12"/>
      <c r="M265" s="12"/>
      <c r="N265" s="12"/>
      <c r="O265" s="12"/>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row>
    <row r="266" spans="1:47" ht="15.75" customHeight="1" x14ac:dyDescent="0.15">
      <c r="A266" s="12"/>
      <c r="B266" s="12"/>
      <c r="C266" s="12"/>
      <c r="D266" s="12"/>
      <c r="E266" s="12"/>
      <c r="F266" s="12"/>
      <c r="G266" s="12"/>
      <c r="H266" s="12"/>
      <c r="I266" s="12"/>
      <c r="J266" s="12"/>
      <c r="K266" s="12"/>
      <c r="L266" s="12"/>
      <c r="M266" s="12"/>
      <c r="N266" s="12"/>
      <c r="O266" s="12"/>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row>
    <row r="267" spans="1:47" ht="15.75" customHeight="1" x14ac:dyDescent="0.15">
      <c r="A267" s="12"/>
      <c r="B267" s="12"/>
      <c r="C267" s="12"/>
      <c r="D267" s="12"/>
      <c r="E267" s="12"/>
      <c r="F267" s="12"/>
      <c r="G267" s="12"/>
      <c r="H267" s="12"/>
      <c r="I267" s="12"/>
      <c r="J267" s="12"/>
      <c r="K267" s="12"/>
      <c r="L267" s="12"/>
      <c r="M267" s="12"/>
      <c r="N267" s="12"/>
      <c r="O267" s="12"/>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row>
    <row r="268" spans="1:47" ht="15.75" customHeight="1" x14ac:dyDescent="0.15">
      <c r="A268" s="12"/>
      <c r="B268" s="12"/>
      <c r="C268" s="12"/>
      <c r="D268" s="12"/>
      <c r="E268" s="12"/>
      <c r="F268" s="12"/>
      <c r="G268" s="12"/>
      <c r="H268" s="12"/>
      <c r="I268" s="12"/>
      <c r="J268" s="12"/>
      <c r="K268" s="12"/>
      <c r="L268" s="12"/>
      <c r="M268" s="12"/>
      <c r="N268" s="12"/>
      <c r="O268" s="12"/>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row>
    <row r="269" spans="1:47" ht="15.75" customHeight="1" x14ac:dyDescent="0.15">
      <c r="A269" s="12"/>
      <c r="B269" s="12"/>
      <c r="C269" s="12"/>
      <c r="D269" s="12"/>
      <c r="E269" s="12"/>
      <c r="F269" s="12"/>
      <c r="G269" s="12"/>
      <c r="H269" s="12"/>
      <c r="I269" s="12"/>
      <c r="J269" s="12"/>
      <c r="K269" s="12"/>
      <c r="L269" s="12"/>
      <c r="M269" s="12"/>
      <c r="N269" s="12"/>
      <c r="O269" s="12"/>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row>
    <row r="270" spans="1:47" ht="15.75" customHeight="1" x14ac:dyDescent="0.15">
      <c r="A270" s="12"/>
      <c r="B270" s="12"/>
      <c r="C270" s="12"/>
      <c r="D270" s="12"/>
      <c r="E270" s="12"/>
      <c r="F270" s="12"/>
      <c r="G270" s="12"/>
      <c r="H270" s="12"/>
      <c r="I270" s="12"/>
      <c r="J270" s="12"/>
      <c r="K270" s="12"/>
      <c r="L270" s="12"/>
      <c r="M270" s="12"/>
      <c r="N270" s="12"/>
      <c r="O270" s="12"/>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row>
    <row r="271" spans="1:47" ht="15.75" customHeight="1" x14ac:dyDescent="0.15">
      <c r="A271" s="12"/>
      <c r="B271" s="12"/>
      <c r="C271" s="12"/>
      <c r="D271" s="12"/>
      <c r="E271" s="12"/>
      <c r="F271" s="12"/>
      <c r="G271" s="12"/>
      <c r="H271" s="12"/>
      <c r="I271" s="12"/>
      <c r="J271" s="12"/>
      <c r="K271" s="12"/>
      <c r="L271" s="12"/>
      <c r="M271" s="12"/>
      <c r="N271" s="12"/>
      <c r="O271" s="12"/>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row>
    <row r="272" spans="1:47" ht="15.75" customHeight="1" x14ac:dyDescent="0.15">
      <c r="A272" s="12"/>
      <c r="B272" s="12"/>
      <c r="C272" s="12"/>
      <c r="D272" s="12"/>
      <c r="E272" s="12"/>
      <c r="F272" s="12"/>
      <c r="G272" s="12"/>
      <c r="H272" s="12"/>
      <c r="I272" s="12"/>
      <c r="J272" s="12"/>
      <c r="K272" s="12"/>
      <c r="L272" s="12"/>
      <c r="M272" s="12"/>
      <c r="N272" s="12"/>
      <c r="O272" s="12"/>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row>
    <row r="273" spans="1:47" ht="15.75" customHeight="1" x14ac:dyDescent="0.15">
      <c r="A273" s="12"/>
      <c r="B273" s="12"/>
      <c r="C273" s="12"/>
      <c r="D273" s="12"/>
      <c r="E273" s="12"/>
      <c r="F273" s="12"/>
      <c r="G273" s="12"/>
      <c r="H273" s="12"/>
      <c r="I273" s="12"/>
      <c r="J273" s="12"/>
      <c r="K273" s="12"/>
      <c r="L273" s="12"/>
      <c r="M273" s="12"/>
      <c r="N273" s="12"/>
      <c r="O273" s="12"/>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row>
    <row r="274" spans="1:47" ht="15.75" customHeight="1" x14ac:dyDescent="0.15">
      <c r="A274" s="12"/>
      <c r="B274" s="12"/>
      <c r="C274" s="12"/>
      <c r="D274" s="12"/>
      <c r="E274" s="12"/>
      <c r="F274" s="12"/>
      <c r="G274" s="12"/>
      <c r="H274" s="12"/>
      <c r="I274" s="12"/>
      <c r="J274" s="12"/>
      <c r="K274" s="12"/>
      <c r="L274" s="12"/>
      <c r="M274" s="12"/>
      <c r="N274" s="12"/>
      <c r="O274" s="12"/>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row>
    <row r="275" spans="1:47" ht="15.75" customHeight="1" x14ac:dyDescent="0.15">
      <c r="A275" s="12"/>
      <c r="B275" s="12"/>
      <c r="C275" s="12"/>
      <c r="D275" s="12"/>
      <c r="E275" s="12"/>
      <c r="F275" s="12"/>
      <c r="G275" s="12"/>
      <c r="H275" s="12"/>
      <c r="I275" s="12"/>
      <c r="J275" s="12"/>
      <c r="K275" s="12"/>
      <c r="L275" s="12"/>
      <c r="M275" s="12"/>
      <c r="N275" s="12"/>
      <c r="O275" s="12"/>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row>
    <row r="276" spans="1:47" ht="15.75" customHeight="1" x14ac:dyDescent="0.15">
      <c r="A276" s="12"/>
      <c r="B276" s="12"/>
      <c r="C276" s="12"/>
      <c r="D276" s="12"/>
      <c r="E276" s="12"/>
      <c r="F276" s="12"/>
      <c r="G276" s="12"/>
      <c r="H276" s="12"/>
      <c r="I276" s="12"/>
      <c r="J276" s="12"/>
      <c r="K276" s="12"/>
      <c r="L276" s="12"/>
      <c r="M276" s="12"/>
      <c r="N276" s="12"/>
      <c r="O276" s="12"/>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row>
    <row r="277" spans="1:47" ht="15.75" customHeight="1" x14ac:dyDescent="0.15">
      <c r="A277" s="12"/>
      <c r="B277" s="12"/>
      <c r="C277" s="12"/>
      <c r="D277" s="12"/>
      <c r="E277" s="12"/>
      <c r="F277" s="12"/>
      <c r="G277" s="12"/>
      <c r="H277" s="12"/>
      <c r="I277" s="12"/>
      <c r="J277" s="12"/>
      <c r="K277" s="12"/>
      <c r="L277" s="12"/>
      <c r="M277" s="12"/>
      <c r="N277" s="12"/>
      <c r="O277" s="12"/>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row>
    <row r="278" spans="1:47" ht="15.75" customHeight="1" x14ac:dyDescent="0.15">
      <c r="A278" s="12"/>
      <c r="B278" s="12"/>
      <c r="C278" s="12"/>
      <c r="D278" s="12"/>
      <c r="E278" s="12"/>
      <c r="F278" s="12"/>
      <c r="G278" s="12"/>
      <c r="H278" s="12"/>
      <c r="I278" s="12"/>
      <c r="J278" s="12"/>
      <c r="K278" s="12"/>
      <c r="L278" s="12"/>
      <c r="M278" s="12"/>
      <c r="N278" s="12"/>
      <c r="O278" s="12"/>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row>
    <row r="279" spans="1:47" ht="15.75" customHeight="1" x14ac:dyDescent="0.15">
      <c r="A279" s="12"/>
      <c r="B279" s="12"/>
      <c r="C279" s="12"/>
      <c r="D279" s="12"/>
      <c r="E279" s="12"/>
      <c r="F279" s="12"/>
      <c r="G279" s="12"/>
      <c r="H279" s="12"/>
      <c r="I279" s="12"/>
      <c r="J279" s="12"/>
      <c r="K279" s="12"/>
      <c r="L279" s="12"/>
      <c r="M279" s="12"/>
      <c r="N279" s="12"/>
      <c r="O279" s="12"/>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row>
    <row r="280" spans="1:47" ht="15.75" customHeight="1" x14ac:dyDescent="0.15">
      <c r="A280" s="12"/>
      <c r="B280" s="12"/>
      <c r="C280" s="12"/>
      <c r="D280" s="12"/>
      <c r="E280" s="12"/>
      <c r="F280" s="12"/>
      <c r="G280" s="12"/>
      <c r="H280" s="12"/>
      <c r="I280" s="12"/>
      <c r="J280" s="12"/>
      <c r="K280" s="12"/>
      <c r="L280" s="12"/>
      <c r="M280" s="12"/>
      <c r="N280" s="12"/>
      <c r="O280" s="12"/>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row>
    <row r="281" spans="1:47" ht="15.75" customHeight="1" x14ac:dyDescent="0.15">
      <c r="A281" s="12"/>
      <c r="B281" s="12"/>
      <c r="C281" s="12"/>
      <c r="D281" s="12"/>
      <c r="E281" s="12"/>
      <c r="F281" s="12"/>
      <c r="G281" s="12"/>
      <c r="H281" s="12"/>
      <c r="I281" s="12"/>
      <c r="J281" s="12"/>
      <c r="K281" s="12"/>
      <c r="L281" s="12"/>
      <c r="M281" s="12"/>
      <c r="N281" s="12"/>
      <c r="O281" s="12"/>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row>
    <row r="282" spans="1:47" ht="15.75" customHeight="1" x14ac:dyDescent="0.15">
      <c r="A282" s="12"/>
      <c r="B282" s="12"/>
      <c r="C282" s="12"/>
      <c r="D282" s="12"/>
      <c r="E282" s="12"/>
      <c r="F282" s="12"/>
      <c r="G282" s="12"/>
      <c r="H282" s="12"/>
      <c r="I282" s="12"/>
      <c r="J282" s="12"/>
      <c r="K282" s="12"/>
      <c r="L282" s="12"/>
      <c r="M282" s="12"/>
      <c r="N282" s="12"/>
      <c r="O282" s="12"/>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row>
    <row r="283" spans="1:47" ht="15.75" customHeight="1" x14ac:dyDescent="0.15">
      <c r="A283" s="12"/>
      <c r="B283" s="12"/>
      <c r="C283" s="12"/>
      <c r="D283" s="12"/>
      <c r="E283" s="12"/>
      <c r="F283" s="12"/>
      <c r="G283" s="12"/>
      <c r="H283" s="12"/>
      <c r="I283" s="12"/>
      <c r="J283" s="12"/>
      <c r="K283" s="12"/>
      <c r="L283" s="12"/>
      <c r="M283" s="12"/>
      <c r="N283" s="12"/>
      <c r="O283" s="12"/>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row>
    <row r="284" spans="1:47" ht="15.75" customHeight="1" x14ac:dyDescent="0.15">
      <c r="A284" s="12"/>
      <c r="B284" s="12"/>
      <c r="C284" s="12"/>
      <c r="D284" s="12"/>
      <c r="E284" s="12"/>
      <c r="F284" s="12"/>
      <c r="G284" s="12"/>
      <c r="H284" s="12"/>
      <c r="I284" s="12"/>
      <c r="J284" s="12"/>
      <c r="K284" s="12"/>
      <c r="L284" s="12"/>
      <c r="M284" s="12"/>
      <c r="N284" s="12"/>
      <c r="O284" s="12"/>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row>
    <row r="285" spans="1:47" ht="15.75" customHeight="1" x14ac:dyDescent="0.15">
      <c r="A285" s="12"/>
      <c r="B285" s="12"/>
      <c r="C285" s="12"/>
      <c r="D285" s="12"/>
      <c r="E285" s="12"/>
      <c r="F285" s="12"/>
      <c r="G285" s="12"/>
      <c r="H285" s="12"/>
      <c r="I285" s="12"/>
      <c r="J285" s="12"/>
      <c r="K285" s="12"/>
      <c r="L285" s="12"/>
      <c r="M285" s="12"/>
      <c r="N285" s="12"/>
      <c r="O285" s="12"/>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row>
    <row r="286" spans="1:47" ht="15.75" customHeight="1" x14ac:dyDescent="0.15">
      <c r="A286" s="12"/>
      <c r="B286" s="12"/>
      <c r="C286" s="12"/>
      <c r="D286" s="12"/>
      <c r="E286" s="12"/>
      <c r="F286" s="12"/>
      <c r="G286" s="12"/>
      <c r="H286" s="12"/>
      <c r="I286" s="12"/>
      <c r="J286" s="12"/>
      <c r="K286" s="12"/>
      <c r="L286" s="12"/>
      <c r="M286" s="12"/>
      <c r="N286" s="12"/>
      <c r="O286" s="12"/>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row>
    <row r="287" spans="1:47" ht="15.75" customHeight="1" x14ac:dyDescent="0.15">
      <c r="A287" s="12"/>
      <c r="B287" s="12"/>
      <c r="C287" s="12"/>
      <c r="D287" s="12"/>
      <c r="E287" s="12"/>
      <c r="F287" s="12"/>
      <c r="G287" s="12"/>
      <c r="H287" s="12"/>
      <c r="I287" s="12"/>
      <c r="J287" s="12"/>
      <c r="K287" s="12"/>
      <c r="L287" s="12"/>
      <c r="M287" s="12"/>
      <c r="N287" s="12"/>
      <c r="O287" s="12"/>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row>
    <row r="288" spans="1:47" ht="15.75" customHeight="1" x14ac:dyDescent="0.15">
      <c r="A288" s="12"/>
      <c r="B288" s="12"/>
      <c r="C288" s="12"/>
      <c r="D288" s="12"/>
      <c r="E288" s="12"/>
      <c r="F288" s="12"/>
      <c r="G288" s="12"/>
      <c r="H288" s="12"/>
      <c r="I288" s="12"/>
      <c r="J288" s="12"/>
      <c r="K288" s="12"/>
      <c r="L288" s="12"/>
      <c r="M288" s="12"/>
      <c r="N288" s="12"/>
      <c r="O288" s="12"/>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row>
    <row r="289" spans="1:47" ht="15.75" customHeight="1" x14ac:dyDescent="0.15">
      <c r="A289" s="12"/>
      <c r="B289" s="12"/>
      <c r="C289" s="12"/>
      <c r="D289" s="12"/>
      <c r="E289" s="12"/>
      <c r="F289" s="12"/>
      <c r="G289" s="12"/>
      <c r="H289" s="12"/>
      <c r="I289" s="12"/>
      <c r="J289" s="12"/>
      <c r="K289" s="12"/>
      <c r="L289" s="12"/>
      <c r="M289" s="12"/>
      <c r="N289" s="12"/>
      <c r="O289" s="12"/>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row>
    <row r="290" spans="1:47" ht="15.75" customHeight="1" x14ac:dyDescent="0.15">
      <c r="A290" s="12"/>
      <c r="B290" s="12"/>
      <c r="C290" s="12"/>
      <c r="D290" s="12"/>
      <c r="E290" s="12"/>
      <c r="F290" s="12"/>
      <c r="G290" s="12"/>
      <c r="H290" s="12"/>
      <c r="I290" s="12"/>
      <c r="J290" s="12"/>
      <c r="K290" s="12"/>
      <c r="L290" s="12"/>
      <c r="M290" s="12"/>
      <c r="N290" s="12"/>
      <c r="O290" s="12"/>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row>
    <row r="291" spans="1:47" ht="15.75" customHeight="1" x14ac:dyDescent="0.15">
      <c r="A291" s="12"/>
      <c r="B291" s="12"/>
      <c r="C291" s="12"/>
      <c r="D291" s="12"/>
      <c r="E291" s="12"/>
      <c r="F291" s="12"/>
      <c r="G291" s="12"/>
      <c r="H291" s="12"/>
      <c r="I291" s="12"/>
      <c r="J291" s="12"/>
      <c r="K291" s="12"/>
      <c r="L291" s="12"/>
      <c r="M291" s="12"/>
      <c r="N291" s="12"/>
      <c r="O291" s="12"/>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row>
    <row r="292" spans="1:47" ht="15.75" customHeight="1" x14ac:dyDescent="0.15">
      <c r="A292" s="12"/>
      <c r="B292" s="12"/>
      <c r="C292" s="12"/>
      <c r="D292" s="12"/>
      <c r="E292" s="12"/>
      <c r="F292" s="12"/>
      <c r="G292" s="12"/>
      <c r="H292" s="12"/>
      <c r="I292" s="12"/>
      <c r="J292" s="12"/>
      <c r="K292" s="12"/>
      <c r="L292" s="12"/>
      <c r="M292" s="12"/>
      <c r="N292" s="12"/>
      <c r="O292" s="12"/>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row>
    <row r="293" spans="1:47" ht="15.75" customHeight="1" x14ac:dyDescent="0.15">
      <c r="A293" s="12"/>
      <c r="B293" s="12"/>
      <c r="C293" s="12"/>
      <c r="D293" s="12"/>
      <c r="E293" s="12"/>
      <c r="F293" s="12"/>
      <c r="G293" s="12"/>
      <c r="H293" s="12"/>
      <c r="I293" s="12"/>
      <c r="J293" s="12"/>
      <c r="K293" s="12"/>
      <c r="L293" s="12"/>
      <c r="M293" s="12"/>
      <c r="N293" s="12"/>
      <c r="O293" s="12"/>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row>
    <row r="294" spans="1:47" ht="15.75" customHeight="1" x14ac:dyDescent="0.15">
      <c r="A294" s="12"/>
      <c r="B294" s="12"/>
      <c r="C294" s="12"/>
      <c r="D294" s="12"/>
      <c r="E294" s="12"/>
      <c r="F294" s="12"/>
      <c r="G294" s="12"/>
      <c r="H294" s="12"/>
      <c r="I294" s="12"/>
      <c r="J294" s="12"/>
      <c r="K294" s="12"/>
      <c r="L294" s="12"/>
      <c r="M294" s="12"/>
      <c r="N294" s="12"/>
      <c r="O294" s="12"/>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row>
    <row r="295" spans="1:47" ht="15.75" customHeight="1" x14ac:dyDescent="0.15">
      <c r="A295" s="12"/>
      <c r="B295" s="12"/>
      <c r="C295" s="12"/>
      <c r="D295" s="12"/>
      <c r="E295" s="12"/>
      <c r="F295" s="12"/>
      <c r="G295" s="12"/>
      <c r="H295" s="12"/>
      <c r="I295" s="12"/>
      <c r="J295" s="12"/>
      <c r="K295" s="12"/>
      <c r="L295" s="12"/>
      <c r="M295" s="12"/>
      <c r="N295" s="12"/>
      <c r="O295" s="12"/>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row>
    <row r="296" spans="1:47" ht="15.75" customHeight="1" x14ac:dyDescent="0.15">
      <c r="A296" s="12"/>
      <c r="B296" s="12"/>
      <c r="C296" s="12"/>
      <c r="D296" s="12"/>
      <c r="E296" s="12"/>
      <c r="F296" s="12"/>
      <c r="G296" s="12"/>
      <c r="H296" s="12"/>
      <c r="I296" s="12"/>
      <c r="J296" s="12"/>
      <c r="K296" s="12"/>
      <c r="L296" s="12"/>
      <c r="M296" s="12"/>
      <c r="N296" s="12"/>
      <c r="O296" s="12"/>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row>
    <row r="297" spans="1:47" ht="15.75" customHeight="1" x14ac:dyDescent="0.15">
      <c r="A297" s="12"/>
      <c r="B297" s="12"/>
      <c r="C297" s="12"/>
      <c r="D297" s="12"/>
      <c r="E297" s="12"/>
      <c r="F297" s="12"/>
      <c r="G297" s="12"/>
      <c r="H297" s="12"/>
      <c r="I297" s="12"/>
      <c r="J297" s="12"/>
      <c r="K297" s="12"/>
      <c r="L297" s="12"/>
      <c r="M297" s="12"/>
      <c r="N297" s="12"/>
      <c r="O297" s="12"/>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row>
    <row r="298" spans="1:47" ht="15.75" customHeight="1" x14ac:dyDescent="0.15">
      <c r="A298" s="12"/>
      <c r="B298" s="12"/>
      <c r="C298" s="12"/>
      <c r="D298" s="12"/>
      <c r="E298" s="12"/>
      <c r="F298" s="12"/>
      <c r="G298" s="12"/>
      <c r="H298" s="12"/>
      <c r="I298" s="12"/>
      <c r="J298" s="12"/>
      <c r="K298" s="12"/>
      <c r="L298" s="12"/>
      <c r="M298" s="12"/>
      <c r="N298" s="12"/>
      <c r="O298" s="12"/>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row>
    <row r="299" spans="1:47" ht="15.75" customHeight="1" x14ac:dyDescent="0.15">
      <c r="A299" s="12"/>
      <c r="B299" s="12"/>
      <c r="C299" s="12"/>
      <c r="D299" s="12"/>
      <c r="E299" s="12"/>
      <c r="F299" s="12"/>
      <c r="G299" s="12"/>
      <c r="H299" s="12"/>
      <c r="I299" s="12"/>
      <c r="J299" s="12"/>
      <c r="K299" s="12"/>
      <c r="L299" s="12"/>
      <c r="M299" s="12"/>
      <c r="N299" s="12"/>
      <c r="O299" s="12"/>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row>
    <row r="300" spans="1:47" ht="15.75" customHeight="1" x14ac:dyDescent="0.15">
      <c r="A300" s="12"/>
      <c r="B300" s="12"/>
      <c r="C300" s="12"/>
      <c r="D300" s="12"/>
      <c r="E300" s="12"/>
      <c r="F300" s="12"/>
      <c r="G300" s="12"/>
      <c r="H300" s="12"/>
      <c r="I300" s="12"/>
      <c r="J300" s="12"/>
      <c r="K300" s="12"/>
      <c r="L300" s="12"/>
      <c r="M300" s="12"/>
      <c r="N300" s="12"/>
      <c r="O300" s="12"/>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row>
    <row r="301" spans="1:47" ht="15.75" customHeight="1" x14ac:dyDescent="0.15">
      <c r="A301" s="12"/>
      <c r="B301" s="12"/>
      <c r="C301" s="12"/>
      <c r="D301" s="12"/>
      <c r="E301" s="12"/>
      <c r="F301" s="12"/>
      <c r="G301" s="12"/>
      <c r="H301" s="12"/>
      <c r="I301" s="12"/>
      <c r="J301" s="12"/>
      <c r="K301" s="12"/>
      <c r="L301" s="12"/>
      <c r="M301" s="12"/>
      <c r="N301" s="12"/>
      <c r="O301" s="12"/>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row>
    <row r="302" spans="1:47" ht="15.75" customHeight="1" x14ac:dyDescent="0.15">
      <c r="A302" s="12"/>
      <c r="B302" s="12"/>
      <c r="C302" s="12"/>
      <c r="D302" s="12"/>
      <c r="E302" s="12"/>
      <c r="F302" s="12"/>
      <c r="G302" s="12"/>
      <c r="H302" s="12"/>
      <c r="I302" s="12"/>
      <c r="J302" s="12"/>
      <c r="K302" s="12"/>
      <c r="L302" s="12"/>
      <c r="M302" s="12"/>
      <c r="N302" s="12"/>
      <c r="O302" s="12"/>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row>
    <row r="303" spans="1:47" ht="15.75" customHeight="1" x14ac:dyDescent="0.15">
      <c r="A303" s="12"/>
      <c r="B303" s="12"/>
      <c r="C303" s="12"/>
      <c r="D303" s="12"/>
      <c r="E303" s="12"/>
      <c r="F303" s="12"/>
      <c r="G303" s="12"/>
      <c r="H303" s="12"/>
      <c r="I303" s="12"/>
      <c r="J303" s="12"/>
      <c r="K303" s="12"/>
      <c r="L303" s="12"/>
      <c r="M303" s="12"/>
      <c r="N303" s="12"/>
      <c r="O303" s="12"/>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row>
    <row r="304" spans="1:47" ht="15.75" customHeight="1" x14ac:dyDescent="0.15">
      <c r="A304" s="12"/>
      <c r="B304" s="12"/>
      <c r="C304" s="12"/>
      <c r="D304" s="12"/>
      <c r="E304" s="12"/>
      <c r="F304" s="12"/>
      <c r="G304" s="12"/>
      <c r="H304" s="12"/>
      <c r="I304" s="12"/>
      <c r="J304" s="12"/>
      <c r="K304" s="12"/>
      <c r="L304" s="12"/>
      <c r="M304" s="12"/>
      <c r="N304" s="12"/>
      <c r="O304" s="12"/>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row>
    <row r="305" spans="1:47" ht="15.75" customHeight="1" x14ac:dyDescent="0.15">
      <c r="A305" s="12"/>
      <c r="B305" s="12"/>
      <c r="C305" s="12"/>
      <c r="D305" s="12"/>
      <c r="E305" s="12"/>
      <c r="F305" s="12"/>
      <c r="G305" s="12"/>
      <c r="H305" s="12"/>
      <c r="I305" s="12"/>
      <c r="J305" s="12"/>
      <c r="K305" s="12"/>
      <c r="L305" s="12"/>
      <c r="M305" s="12"/>
      <c r="N305" s="12"/>
      <c r="O305" s="12"/>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row>
    <row r="306" spans="1:47" ht="15.75" customHeight="1" x14ac:dyDescent="0.15">
      <c r="A306" s="12"/>
      <c r="B306" s="12"/>
      <c r="C306" s="12"/>
      <c r="D306" s="12"/>
      <c r="E306" s="12"/>
      <c r="F306" s="12"/>
      <c r="G306" s="12"/>
      <c r="H306" s="12"/>
      <c r="I306" s="12"/>
      <c r="J306" s="12"/>
      <c r="K306" s="12"/>
      <c r="L306" s="12"/>
      <c r="M306" s="12"/>
      <c r="N306" s="12"/>
      <c r="O306" s="12"/>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row>
    <row r="307" spans="1:47" ht="15.75" customHeight="1" x14ac:dyDescent="0.15">
      <c r="A307" s="12"/>
      <c r="B307" s="12"/>
      <c r="C307" s="12"/>
      <c r="D307" s="12"/>
      <c r="E307" s="12"/>
      <c r="F307" s="12"/>
      <c r="G307" s="12"/>
      <c r="H307" s="12"/>
      <c r="I307" s="12"/>
      <c r="J307" s="12"/>
      <c r="K307" s="12"/>
      <c r="L307" s="12"/>
      <c r="M307" s="12"/>
      <c r="N307" s="12"/>
      <c r="O307" s="12"/>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row>
    <row r="308" spans="1:47" ht="15.75" customHeight="1" x14ac:dyDescent="0.15">
      <c r="A308" s="12"/>
      <c r="B308" s="12"/>
      <c r="C308" s="12"/>
      <c r="D308" s="12"/>
      <c r="E308" s="12"/>
      <c r="F308" s="12"/>
      <c r="G308" s="12"/>
      <c r="H308" s="12"/>
      <c r="I308" s="12"/>
      <c r="J308" s="12"/>
      <c r="K308" s="12"/>
      <c r="L308" s="12"/>
      <c r="M308" s="12"/>
      <c r="N308" s="12"/>
      <c r="O308" s="12"/>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row>
    <row r="309" spans="1:47" ht="15.75" customHeight="1" x14ac:dyDescent="0.15">
      <c r="A309" s="12"/>
      <c r="B309" s="12"/>
      <c r="C309" s="12"/>
      <c r="D309" s="12"/>
      <c r="E309" s="12"/>
      <c r="F309" s="12"/>
      <c r="G309" s="12"/>
      <c r="H309" s="12"/>
      <c r="I309" s="12"/>
      <c r="J309" s="12"/>
      <c r="K309" s="12"/>
      <c r="L309" s="12"/>
      <c r="M309" s="12"/>
      <c r="N309" s="12"/>
      <c r="O309" s="12"/>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row>
    <row r="310" spans="1:47" ht="15.75" customHeight="1" x14ac:dyDescent="0.15">
      <c r="A310" s="12"/>
      <c r="B310" s="12"/>
      <c r="C310" s="12"/>
      <c r="D310" s="12"/>
      <c r="E310" s="12"/>
      <c r="F310" s="12"/>
      <c r="G310" s="12"/>
      <c r="H310" s="12"/>
      <c r="I310" s="12"/>
      <c r="J310" s="12"/>
      <c r="K310" s="12"/>
      <c r="L310" s="12"/>
      <c r="M310" s="12"/>
      <c r="N310" s="12"/>
      <c r="O310" s="12"/>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row>
    <row r="311" spans="1:47" ht="15.75" customHeight="1" x14ac:dyDescent="0.15">
      <c r="A311" s="12"/>
      <c r="B311" s="12"/>
      <c r="C311" s="12"/>
      <c r="D311" s="12"/>
      <c r="E311" s="12"/>
      <c r="F311" s="12"/>
      <c r="G311" s="12"/>
      <c r="H311" s="12"/>
      <c r="I311" s="12"/>
      <c r="J311" s="12"/>
      <c r="K311" s="12"/>
      <c r="L311" s="12"/>
      <c r="M311" s="12"/>
      <c r="N311" s="12"/>
      <c r="O311" s="12"/>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row>
    <row r="312" spans="1:47" ht="15.75" customHeight="1" x14ac:dyDescent="0.15">
      <c r="A312" s="12"/>
      <c r="B312" s="12"/>
      <c r="C312" s="12"/>
      <c r="D312" s="12"/>
      <c r="E312" s="12"/>
      <c r="F312" s="12"/>
      <c r="G312" s="12"/>
      <c r="H312" s="12"/>
      <c r="I312" s="12"/>
      <c r="J312" s="12"/>
      <c r="K312" s="12"/>
      <c r="L312" s="12"/>
      <c r="M312" s="12"/>
      <c r="N312" s="12"/>
      <c r="O312" s="12"/>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row>
    <row r="313" spans="1:47" ht="15.75" customHeight="1" x14ac:dyDescent="0.15">
      <c r="A313" s="12"/>
      <c r="B313" s="12"/>
      <c r="C313" s="12"/>
      <c r="D313" s="12"/>
      <c r="E313" s="12"/>
      <c r="F313" s="12"/>
      <c r="G313" s="12"/>
      <c r="H313" s="12"/>
      <c r="I313" s="12"/>
      <c r="J313" s="12"/>
      <c r="K313" s="12"/>
      <c r="L313" s="12"/>
      <c r="M313" s="12"/>
      <c r="N313" s="12"/>
      <c r="O313" s="12"/>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row>
    <row r="314" spans="1:47" ht="15.75" customHeight="1" x14ac:dyDescent="0.15">
      <c r="A314" s="12"/>
      <c r="B314" s="12"/>
      <c r="C314" s="12"/>
      <c r="D314" s="12"/>
      <c r="E314" s="12"/>
      <c r="F314" s="12"/>
      <c r="G314" s="12"/>
      <c r="H314" s="12"/>
      <c r="I314" s="12"/>
      <c r="J314" s="12"/>
      <c r="K314" s="12"/>
      <c r="L314" s="12"/>
      <c r="M314" s="12"/>
      <c r="N314" s="12"/>
      <c r="O314" s="12"/>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row>
    <row r="315" spans="1:47" ht="15.75" customHeight="1" x14ac:dyDescent="0.15">
      <c r="A315" s="12"/>
      <c r="B315" s="12"/>
      <c r="C315" s="12"/>
      <c r="D315" s="12"/>
      <c r="E315" s="12"/>
      <c r="F315" s="12"/>
      <c r="G315" s="12"/>
      <c r="H315" s="12"/>
      <c r="I315" s="12"/>
      <c r="J315" s="12"/>
      <c r="K315" s="12"/>
      <c r="L315" s="12"/>
      <c r="M315" s="12"/>
      <c r="N315" s="12"/>
      <c r="O315" s="12"/>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row>
    <row r="316" spans="1:47" ht="15.75" customHeight="1" x14ac:dyDescent="0.15">
      <c r="A316" s="12"/>
      <c r="B316" s="12"/>
      <c r="C316" s="12"/>
      <c r="D316" s="12"/>
      <c r="E316" s="12"/>
      <c r="F316" s="12"/>
      <c r="G316" s="12"/>
      <c r="H316" s="12"/>
      <c r="I316" s="12"/>
      <c r="J316" s="12"/>
      <c r="K316" s="12"/>
      <c r="L316" s="12"/>
      <c r="M316" s="12"/>
      <c r="N316" s="12"/>
      <c r="O316" s="12"/>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row>
    <row r="317" spans="1:47" ht="15.75" customHeight="1" x14ac:dyDescent="0.15"/>
    <row r="318" spans="1:47" ht="15.75" customHeight="1" x14ac:dyDescent="0.15"/>
    <row r="319" spans="1:47" ht="15.75" customHeight="1" x14ac:dyDescent="0.15"/>
    <row r="320" spans="1:47"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autoFilter ref="A10:H15" xr:uid="{00000000-0009-0000-0000-000000000000}">
    <sortState xmlns:xlrd2="http://schemas.microsoft.com/office/spreadsheetml/2017/richdata2" ref="A10:H15">
      <sortCondition descending="1" ref="B10:B15"/>
    </sortState>
  </autoFilter>
  <mergeCells count="4">
    <mergeCell ref="O2:Y2"/>
    <mergeCell ref="Z2:AI2"/>
    <mergeCell ref="AJ2:AM2"/>
    <mergeCell ref="AN2:AU2"/>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B1000"/>
  <sheetViews>
    <sheetView workbookViewId="0"/>
  </sheetViews>
  <sheetFormatPr baseColWidth="10" defaultColWidth="14.5" defaultRowHeight="15" customHeight="1" x14ac:dyDescent="0.15"/>
  <cols>
    <col min="1" max="6" width="14.5" customWidth="1"/>
  </cols>
  <sheetData>
    <row r="1" spans="2:2" ht="15.75" customHeight="1" x14ac:dyDescent="0.15"/>
    <row r="2" spans="2:2" ht="15.75" customHeight="1" x14ac:dyDescent="0.15"/>
    <row r="3" spans="2:2" ht="15.75" customHeight="1" x14ac:dyDescent="0.15">
      <c r="B3" s="37"/>
    </row>
    <row r="4" spans="2:2" ht="15.75" customHeight="1" x14ac:dyDescent="0.15">
      <c r="B4" s="37"/>
    </row>
    <row r="5" spans="2:2" ht="15.75" customHeight="1" x14ac:dyDescent="0.15">
      <c r="B5" s="37"/>
    </row>
    <row r="6" spans="2:2" ht="15.75" customHeight="1" x14ac:dyDescent="0.15">
      <c r="B6" s="37"/>
    </row>
    <row r="7" spans="2:2" ht="15.75" customHeight="1" x14ac:dyDescent="0.15">
      <c r="B7" s="37"/>
    </row>
    <row r="8" spans="2:2" ht="15.75" customHeight="1" x14ac:dyDescent="0.15">
      <c r="B8" s="37"/>
    </row>
    <row r="9" spans="2:2" ht="15.75" customHeight="1" x14ac:dyDescent="0.15">
      <c r="B9" s="37"/>
    </row>
    <row r="10" spans="2:2" ht="15.75" customHeight="1" x14ac:dyDescent="0.15">
      <c r="B10" s="37"/>
    </row>
    <row r="11" spans="2:2" ht="15.75" customHeight="1" x14ac:dyDescent="0.15">
      <c r="B11" s="37"/>
    </row>
    <row r="12" spans="2:2" ht="15.75" customHeight="1" x14ac:dyDescent="0.15">
      <c r="B12" s="37"/>
    </row>
    <row r="13" spans="2:2" ht="15.75" customHeight="1" x14ac:dyDescent="0.15">
      <c r="B13" s="37"/>
    </row>
    <row r="14" spans="2:2" ht="15.75" customHeight="1" x14ac:dyDescent="0.15"/>
    <row r="15" spans="2:2" ht="15.75" customHeight="1" x14ac:dyDescent="0.15"/>
    <row r="16" spans="2:2"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baseColWidth="10" defaultColWidth="14.5" defaultRowHeight="15" customHeight="1" x14ac:dyDescent="0.15"/>
  <cols>
    <col min="1" max="1" width="24.5" customWidth="1"/>
    <col min="2" max="3" width="25" customWidth="1"/>
    <col min="4" max="5" width="14" customWidth="1"/>
    <col min="6" max="6" width="15.83203125" customWidth="1"/>
    <col min="7" max="7" width="6" customWidth="1"/>
    <col min="8" max="8" width="20.6640625" customWidth="1"/>
    <col min="9" max="10" width="25" customWidth="1"/>
    <col min="11" max="13" width="21" customWidth="1"/>
    <col min="14" max="14" width="9" customWidth="1"/>
    <col min="15" max="15" width="35" customWidth="1"/>
    <col min="16" max="16" width="14.6640625" customWidth="1"/>
    <col min="17" max="17" width="9.5" customWidth="1"/>
    <col min="18" max="18" width="22.5" customWidth="1"/>
    <col min="19" max="19" width="18.83203125" customWidth="1"/>
    <col min="20" max="20" width="6.6640625" customWidth="1"/>
    <col min="21" max="21" width="29.1640625" customWidth="1"/>
    <col min="22" max="22" width="14.83203125" customWidth="1"/>
    <col min="23" max="23" width="8.5" customWidth="1"/>
    <col min="24" max="24" width="89.33203125" customWidth="1"/>
  </cols>
  <sheetData>
    <row r="1" spans="1:26" ht="15.75" customHeight="1" x14ac:dyDescent="0.2">
      <c r="A1" s="38" t="s">
        <v>69</v>
      </c>
      <c r="B1" s="39"/>
      <c r="C1" s="39"/>
      <c r="D1" s="3"/>
      <c r="E1" s="3"/>
      <c r="F1" s="3"/>
      <c r="G1" s="40"/>
      <c r="H1" s="40"/>
      <c r="I1" s="39"/>
      <c r="J1" s="39"/>
      <c r="K1" s="2"/>
      <c r="L1" s="2"/>
      <c r="M1" s="40"/>
      <c r="N1" s="40"/>
      <c r="O1" s="38" t="s">
        <v>70</v>
      </c>
      <c r="P1" s="40"/>
      <c r="Q1" s="40"/>
      <c r="R1" s="38"/>
      <c r="S1" s="40"/>
      <c r="T1" s="40"/>
      <c r="U1" s="2"/>
      <c r="V1" s="2"/>
      <c r="W1" s="40"/>
      <c r="X1" s="2"/>
      <c r="Y1" s="41"/>
      <c r="Z1" s="41"/>
    </row>
    <row r="2" spans="1:26" ht="15.75" customHeight="1" x14ac:dyDescent="0.2">
      <c r="A2" s="42" t="s">
        <v>71</v>
      </c>
      <c r="B2" s="43"/>
      <c r="C2" s="43"/>
      <c r="D2" s="16"/>
      <c r="E2" s="16"/>
      <c r="F2" s="16"/>
      <c r="G2" s="12"/>
      <c r="H2" s="42" t="s">
        <v>72</v>
      </c>
      <c r="I2" s="43"/>
      <c r="J2" s="43"/>
      <c r="K2" s="16"/>
      <c r="L2" s="16"/>
      <c r="M2" s="12"/>
      <c r="N2" s="12"/>
      <c r="O2" s="44" t="s">
        <v>73</v>
      </c>
      <c r="P2" s="45"/>
      <c r="Q2" s="12"/>
      <c r="R2" s="44" t="s">
        <v>74</v>
      </c>
      <c r="S2" s="45"/>
      <c r="T2" s="12"/>
      <c r="U2" s="46" t="s">
        <v>75</v>
      </c>
      <c r="V2" s="46"/>
      <c r="W2" s="12"/>
      <c r="X2" s="44" t="s">
        <v>76</v>
      </c>
      <c r="Y2" s="41"/>
      <c r="Z2" s="41"/>
    </row>
    <row r="3" spans="1:26" ht="15.75" customHeight="1" x14ac:dyDescent="0.2">
      <c r="A3" s="7" t="s">
        <v>18</v>
      </c>
      <c r="B3" s="7" t="s">
        <v>77</v>
      </c>
      <c r="C3" s="7" t="s">
        <v>78</v>
      </c>
      <c r="D3" s="47" t="s">
        <v>79</v>
      </c>
      <c r="E3" s="47" t="s">
        <v>80</v>
      </c>
      <c r="F3" s="48" t="s">
        <v>81</v>
      </c>
      <c r="G3" s="12"/>
      <c r="H3" s="7" t="s">
        <v>18</v>
      </c>
      <c r="I3" s="7" t="s">
        <v>77</v>
      </c>
      <c r="J3" s="7" t="s">
        <v>78</v>
      </c>
      <c r="K3" s="47" t="s">
        <v>79</v>
      </c>
      <c r="L3" s="47" t="s">
        <v>80</v>
      </c>
      <c r="M3" s="48" t="s">
        <v>81</v>
      </c>
      <c r="N3" s="12"/>
      <c r="O3" s="49" t="s">
        <v>82</v>
      </c>
      <c r="P3" s="50" t="s">
        <v>83</v>
      </c>
      <c r="Q3" s="36"/>
      <c r="R3" s="49" t="s">
        <v>84</v>
      </c>
      <c r="S3" s="50" t="s">
        <v>85</v>
      </c>
      <c r="T3" s="12"/>
      <c r="U3" s="16" t="s">
        <v>86</v>
      </c>
      <c r="V3" s="15">
        <f>AVERAGE(300,700)*P6</f>
        <v>0.495</v>
      </c>
      <c r="W3" s="12"/>
      <c r="X3" s="51" t="s">
        <v>87</v>
      </c>
      <c r="Y3" s="41"/>
      <c r="Z3" s="41"/>
    </row>
    <row r="4" spans="1:26" ht="15.75" customHeight="1" x14ac:dyDescent="0.2">
      <c r="A4" s="16">
        <v>0</v>
      </c>
      <c r="B4" s="43" t="s">
        <v>88</v>
      </c>
      <c r="C4" s="43" t="s">
        <v>89</v>
      </c>
      <c r="D4" s="15">
        <f>P17*P23/2</f>
        <v>0.9106327810799999</v>
      </c>
      <c r="E4" s="15">
        <f>(8*$P$17)+$S$33</f>
        <v>1.9975999999999998</v>
      </c>
      <c r="F4" s="15">
        <f t="shared" ref="F4:F35" si="0">IFERROR(D4+E4,"error")</f>
        <v>2.9082327810799997</v>
      </c>
      <c r="G4" s="12"/>
      <c r="H4" s="16">
        <v>0</v>
      </c>
      <c r="I4" s="43" t="s">
        <v>88</v>
      </c>
      <c r="J4" s="43" t="s">
        <v>90</v>
      </c>
      <c r="K4" s="15">
        <f>$P$17*P23/2</f>
        <v>0.9106327810799999</v>
      </c>
      <c r="L4" s="15">
        <f>(8*$P$17)+$S$33+S16+S11</f>
        <v>2.7235999999999998</v>
      </c>
      <c r="M4" s="15">
        <f t="shared" ref="M4:M35" si="1">IFERROR(K4+L4,"error")</f>
        <v>3.6342327810799997</v>
      </c>
      <c r="N4" s="12"/>
      <c r="O4" s="52" t="s">
        <v>91</v>
      </c>
      <c r="P4" s="53">
        <v>1000</v>
      </c>
      <c r="Q4" s="12"/>
      <c r="R4" s="52" t="s">
        <v>92</v>
      </c>
      <c r="S4" s="53">
        <v>3</v>
      </c>
      <c r="T4" s="12"/>
      <c r="U4" s="16" t="s">
        <v>93</v>
      </c>
      <c r="V4" s="15">
        <v>0.44550000000000001</v>
      </c>
      <c r="W4" s="12"/>
      <c r="X4" s="51" t="s">
        <v>94</v>
      </c>
      <c r="Y4" s="41"/>
      <c r="Z4" s="41"/>
    </row>
    <row r="5" spans="1:26" ht="30.75" customHeight="1" x14ac:dyDescent="0.2">
      <c r="A5" s="16">
        <v>1</v>
      </c>
      <c r="B5" s="43" t="s">
        <v>95</v>
      </c>
      <c r="C5" s="43" t="s">
        <v>96</v>
      </c>
      <c r="D5" s="15">
        <f>1*$S$11</f>
        <v>0.42899999999999999</v>
      </c>
      <c r="E5" s="15">
        <f>1*$S$21</f>
        <v>0.627</v>
      </c>
      <c r="F5" s="15">
        <f t="shared" si="0"/>
        <v>1.056</v>
      </c>
      <c r="G5" s="12"/>
      <c r="H5" s="16">
        <v>1</v>
      </c>
      <c r="I5" s="43" t="s">
        <v>95</v>
      </c>
      <c r="J5" s="43" t="s">
        <v>96</v>
      </c>
      <c r="K5" s="15">
        <f>1*$S$11</f>
        <v>0.42899999999999999</v>
      </c>
      <c r="L5" s="15">
        <f>1*$S$21</f>
        <v>0.627</v>
      </c>
      <c r="M5" s="15">
        <f t="shared" si="1"/>
        <v>1.056</v>
      </c>
      <c r="N5" s="12"/>
      <c r="O5" s="52" t="s">
        <v>97</v>
      </c>
      <c r="P5" s="54">
        <v>0.99</v>
      </c>
      <c r="Q5" s="12"/>
      <c r="R5" s="55" t="s">
        <v>98</v>
      </c>
      <c r="S5" s="56">
        <v>1900</v>
      </c>
      <c r="T5" s="12"/>
      <c r="U5" s="16" t="s">
        <v>99</v>
      </c>
      <c r="V5" s="15">
        <f>AVERAGE(S11,2*S11)</f>
        <v>0.64349999999999996</v>
      </c>
      <c r="W5" s="12"/>
      <c r="X5" s="57" t="s">
        <v>100</v>
      </c>
      <c r="Y5" s="41"/>
      <c r="Z5" s="41"/>
    </row>
    <row r="6" spans="1:26" ht="15.75" customHeight="1" x14ac:dyDescent="0.2">
      <c r="A6" s="16">
        <v>2</v>
      </c>
      <c r="B6" s="43" t="s">
        <v>101</v>
      </c>
      <c r="C6" s="43" t="s">
        <v>102</v>
      </c>
      <c r="D6" s="15">
        <f>S$16*P23/4</f>
        <v>0.75886065089999988</v>
      </c>
      <c r="E6" s="15">
        <f>0</f>
        <v>0</v>
      </c>
      <c r="F6" s="15">
        <f t="shared" si="0"/>
        <v>0.75886065089999988</v>
      </c>
      <c r="G6" s="12"/>
      <c r="H6" s="16">
        <v>2</v>
      </c>
      <c r="I6" s="43" t="s">
        <v>101</v>
      </c>
      <c r="J6" s="43" t="s">
        <v>103</v>
      </c>
      <c r="K6" s="15">
        <f>$S$16*P23/4</f>
        <v>0.75886065089999988</v>
      </c>
      <c r="L6" s="15">
        <f>E29</f>
        <v>2.6399999999999997</v>
      </c>
      <c r="M6" s="15">
        <f t="shared" si="1"/>
        <v>3.3988606508999997</v>
      </c>
      <c r="N6" s="12"/>
      <c r="O6" s="58" t="s">
        <v>104</v>
      </c>
      <c r="P6" s="59">
        <f>P5/P4</f>
        <v>9.8999999999999999E-4</v>
      </c>
      <c r="Q6" s="12"/>
      <c r="R6" s="58" t="s">
        <v>104</v>
      </c>
      <c r="S6" s="60">
        <f>S5/S4*$P$6</f>
        <v>0.627</v>
      </c>
      <c r="T6" s="12"/>
      <c r="U6" s="28" t="s">
        <v>105</v>
      </c>
      <c r="V6" s="34">
        <f>SUM(V3:V5)</f>
        <v>1.5840000000000001</v>
      </c>
      <c r="W6" s="12"/>
      <c r="X6" s="34"/>
      <c r="Y6" s="41"/>
      <c r="Z6" s="41"/>
    </row>
    <row r="7" spans="1:26" ht="15.75" customHeight="1" x14ac:dyDescent="0.2">
      <c r="A7" s="16">
        <v>3</v>
      </c>
      <c r="B7" s="43" t="s">
        <v>106</v>
      </c>
      <c r="C7" s="43" t="s">
        <v>107</v>
      </c>
      <c r="D7" s="15">
        <f>100*$P$6</f>
        <v>9.9000000000000005E-2</v>
      </c>
      <c r="E7" s="15">
        <f>$S$16*P23/2</f>
        <v>1.5177213017999998</v>
      </c>
      <c r="F7" s="15">
        <f t="shared" si="0"/>
        <v>1.6167213017999997</v>
      </c>
      <c r="G7" s="12"/>
      <c r="H7" s="16">
        <v>3</v>
      </c>
      <c r="I7" s="43" t="s">
        <v>106</v>
      </c>
      <c r="J7" s="43" t="s">
        <v>102</v>
      </c>
      <c r="K7" s="15">
        <f>100*$P$6</f>
        <v>9.9000000000000005E-2</v>
      </c>
      <c r="L7" s="15">
        <v>0</v>
      </c>
      <c r="M7" s="15">
        <f t="shared" si="1"/>
        <v>9.9000000000000005E-2</v>
      </c>
      <c r="N7" s="12"/>
      <c r="O7" s="61"/>
      <c r="P7" s="62"/>
      <c r="Q7" s="12"/>
      <c r="R7" s="52"/>
      <c r="S7" s="56"/>
      <c r="T7" s="12"/>
      <c r="U7" s="16"/>
      <c r="V7" s="15"/>
      <c r="W7" s="12"/>
      <c r="X7" s="15"/>
      <c r="Y7" s="41"/>
      <c r="Z7" s="41"/>
    </row>
    <row r="8" spans="1:26" ht="28.5" customHeight="1" x14ac:dyDescent="0.2">
      <c r="A8" s="16">
        <v>4</v>
      </c>
      <c r="B8" s="43" t="s">
        <v>95</v>
      </c>
      <c r="C8" s="43" t="s">
        <v>108</v>
      </c>
      <c r="D8" s="15">
        <f>1*$S$11</f>
        <v>0.42899999999999999</v>
      </c>
      <c r="E8" s="15">
        <f>1000*$P$6</f>
        <v>0.99</v>
      </c>
      <c r="F8" s="15">
        <f t="shared" si="0"/>
        <v>1.419</v>
      </c>
      <c r="G8" s="12"/>
      <c r="H8" s="16">
        <v>4</v>
      </c>
      <c r="I8" s="43" t="s">
        <v>95</v>
      </c>
      <c r="J8" s="43" t="s">
        <v>109</v>
      </c>
      <c r="K8" s="15">
        <f>1*$S$11</f>
        <v>0.42899999999999999</v>
      </c>
      <c r="L8" s="15">
        <f>(200*$P$6)+(1*$P528)+(1*$S$16)+(1*$S$6)</f>
        <v>1.1219999999999999</v>
      </c>
      <c r="M8" s="15">
        <f t="shared" si="1"/>
        <v>1.5509999999999999</v>
      </c>
      <c r="N8" s="12"/>
      <c r="O8" s="49" t="s">
        <v>110</v>
      </c>
      <c r="P8" s="50" t="s">
        <v>111</v>
      </c>
      <c r="Q8" s="36"/>
      <c r="R8" s="49" t="s">
        <v>112</v>
      </c>
      <c r="S8" s="50" t="s">
        <v>113</v>
      </c>
      <c r="T8" s="12"/>
      <c r="U8" s="214" t="s">
        <v>75</v>
      </c>
      <c r="V8" s="215"/>
      <c r="W8" s="12"/>
      <c r="X8" s="63"/>
      <c r="Y8" s="41"/>
      <c r="Z8" s="41"/>
    </row>
    <row r="9" spans="1:26" ht="30" customHeight="1" x14ac:dyDescent="0.2">
      <c r="A9" s="16">
        <v>5</v>
      </c>
      <c r="B9" s="43" t="s">
        <v>114</v>
      </c>
      <c r="C9" s="43" t="s">
        <v>115</v>
      </c>
      <c r="D9" s="15">
        <f>(200*$P$6)+(1*$S$16)+(1*$S$11)</f>
        <v>0.92399999999999993</v>
      </c>
      <c r="E9" s="15">
        <v>0</v>
      </c>
      <c r="F9" s="15">
        <f t="shared" si="0"/>
        <v>0.92399999999999993</v>
      </c>
      <c r="G9" s="12"/>
      <c r="H9" s="16">
        <v>5</v>
      </c>
      <c r="I9" s="43" t="s">
        <v>114</v>
      </c>
      <c r="J9" s="43" t="s">
        <v>116</v>
      </c>
      <c r="K9" s="15">
        <f>(200*$P$6)+(1*$S$16)+(1*$S$11)</f>
        <v>0.92399999999999993</v>
      </c>
      <c r="L9" s="15">
        <v>0</v>
      </c>
      <c r="M9" s="15">
        <f t="shared" si="1"/>
        <v>0.92399999999999993</v>
      </c>
      <c r="N9" s="12"/>
      <c r="O9" s="52" t="s">
        <v>117</v>
      </c>
      <c r="P9" s="53" t="s">
        <v>111</v>
      </c>
      <c r="Q9" s="12"/>
      <c r="R9" s="52" t="s">
        <v>92</v>
      </c>
      <c r="S9" s="53">
        <v>3</v>
      </c>
      <c r="T9" s="12"/>
      <c r="U9" s="16" t="s">
        <v>118</v>
      </c>
      <c r="V9" s="15">
        <f>AVERAGE(500,1000)*P6</f>
        <v>0.74250000000000005</v>
      </c>
      <c r="W9" s="12"/>
      <c r="X9" s="15"/>
      <c r="Y9" s="41"/>
      <c r="Z9" s="41"/>
    </row>
    <row r="10" spans="1:26" ht="15.75" customHeight="1" x14ac:dyDescent="0.2">
      <c r="A10" s="16">
        <v>6</v>
      </c>
      <c r="B10" s="43" t="s">
        <v>95</v>
      </c>
      <c r="C10" s="43" t="s">
        <v>119</v>
      </c>
      <c r="D10" s="15">
        <f>1*$S$11</f>
        <v>0.42899999999999999</v>
      </c>
      <c r="E10" s="15">
        <f>2*$S$16</f>
        <v>0.59399999999999997</v>
      </c>
      <c r="F10" s="15">
        <f t="shared" si="0"/>
        <v>1.0229999999999999</v>
      </c>
      <c r="G10" s="12"/>
      <c r="H10" s="16">
        <v>6</v>
      </c>
      <c r="I10" s="43" t="s">
        <v>95</v>
      </c>
      <c r="J10" s="43" t="s">
        <v>120</v>
      </c>
      <c r="K10" s="15">
        <f>1*$S$11</f>
        <v>0.42899999999999999</v>
      </c>
      <c r="L10" s="15">
        <f>5500*$P$6</f>
        <v>5.4450000000000003</v>
      </c>
      <c r="M10" s="15">
        <f t="shared" si="1"/>
        <v>5.8740000000000006</v>
      </c>
      <c r="N10" s="12"/>
      <c r="O10" s="55" t="s">
        <v>121</v>
      </c>
      <c r="P10" s="56" t="s">
        <v>111</v>
      </c>
      <c r="Q10" s="12"/>
      <c r="R10" s="55" t="s">
        <v>98</v>
      </c>
      <c r="S10" s="56">
        <v>1300</v>
      </c>
      <c r="T10" s="12"/>
      <c r="U10" s="16" t="s">
        <v>122</v>
      </c>
      <c r="V10" s="15">
        <v>0.74250000000000005</v>
      </c>
      <c r="W10" s="12"/>
      <c r="X10" s="15"/>
      <c r="Y10" s="41"/>
      <c r="Z10" s="41"/>
    </row>
    <row r="11" spans="1:26" ht="15.75" customHeight="1" x14ac:dyDescent="0.2">
      <c r="A11" s="16">
        <v>7</v>
      </c>
      <c r="B11" s="43" t="s">
        <v>123</v>
      </c>
      <c r="C11" s="43" t="s">
        <v>124</v>
      </c>
      <c r="D11" s="15">
        <f>1*$S$16</f>
        <v>0.29699999999999999</v>
      </c>
      <c r="E11" s="15">
        <f>2*$S$11</f>
        <v>0.85799999999999998</v>
      </c>
      <c r="F11" s="15">
        <f t="shared" si="0"/>
        <v>1.155</v>
      </c>
      <c r="G11" s="12"/>
      <c r="H11" s="16">
        <v>7</v>
      </c>
      <c r="I11" s="43" t="s">
        <v>123</v>
      </c>
      <c r="J11" s="43" t="s">
        <v>124</v>
      </c>
      <c r="K11" s="15">
        <f>1*$S$16</f>
        <v>0.29699999999999999</v>
      </c>
      <c r="L11" s="15">
        <f>2*$S$11</f>
        <v>0.85799999999999998</v>
      </c>
      <c r="M11" s="15">
        <f t="shared" si="1"/>
        <v>1.155</v>
      </c>
      <c r="N11" s="12"/>
      <c r="O11" s="58" t="s">
        <v>104</v>
      </c>
      <c r="P11" s="60" t="s">
        <v>111</v>
      </c>
      <c r="Q11" s="12"/>
      <c r="R11" s="58" t="s">
        <v>104</v>
      </c>
      <c r="S11" s="60">
        <f>S10/S9*$P$6</f>
        <v>0.42899999999999999</v>
      </c>
      <c r="T11" s="12"/>
      <c r="U11" s="16" t="s">
        <v>125</v>
      </c>
      <c r="V11" s="15">
        <f>(AVERAGE(0.5,1)*3.5)*P17</f>
        <v>0.467775</v>
      </c>
      <c r="W11" s="12"/>
      <c r="X11" s="15"/>
      <c r="Y11" s="41"/>
      <c r="Z11" s="41"/>
    </row>
    <row r="12" spans="1:26" ht="15.75" customHeight="1" x14ac:dyDescent="0.2">
      <c r="A12" s="16">
        <v>8</v>
      </c>
      <c r="B12" s="43" t="s">
        <v>106</v>
      </c>
      <c r="C12" s="43" t="s">
        <v>126</v>
      </c>
      <c r="D12" s="15">
        <f>100*$P$6</f>
        <v>9.9000000000000005E-2</v>
      </c>
      <c r="E12" s="15">
        <f>2*$S$21</f>
        <v>1.254</v>
      </c>
      <c r="F12" s="15">
        <f t="shared" si="0"/>
        <v>1.353</v>
      </c>
      <c r="G12" s="12"/>
      <c r="H12" s="16">
        <v>8</v>
      </c>
      <c r="I12" s="43" t="s">
        <v>106</v>
      </c>
      <c r="J12" s="43" t="s">
        <v>126</v>
      </c>
      <c r="K12" s="15">
        <f>100*$P$6</f>
        <v>9.9000000000000005E-2</v>
      </c>
      <c r="L12" s="15">
        <f>2*$S$21</f>
        <v>1.254</v>
      </c>
      <c r="M12" s="15">
        <f t="shared" si="1"/>
        <v>1.353</v>
      </c>
      <c r="N12" s="12"/>
      <c r="O12" s="12"/>
      <c r="P12" s="12"/>
      <c r="Q12" s="12"/>
      <c r="R12" s="52"/>
      <c r="S12" s="64"/>
      <c r="T12" s="12"/>
      <c r="U12" s="16" t="s">
        <v>127</v>
      </c>
      <c r="V12" s="15">
        <f>AVERAGE(1,2,3)*S11</f>
        <v>0.85799999999999998</v>
      </c>
      <c r="W12" s="12"/>
      <c r="X12" s="15"/>
      <c r="Y12" s="41"/>
      <c r="Z12" s="41"/>
    </row>
    <row r="13" spans="1:26" ht="15.75" customHeight="1" x14ac:dyDescent="0.2">
      <c r="A13" s="16">
        <v>9</v>
      </c>
      <c r="B13" s="43" t="s">
        <v>128</v>
      </c>
      <c r="C13" s="43" t="s">
        <v>129</v>
      </c>
      <c r="D13" s="15">
        <f>$P$17*P23/2</f>
        <v>0.9106327810799999</v>
      </c>
      <c r="E13" s="15">
        <f>S11*P23/2</f>
        <v>2.1922641025999998</v>
      </c>
      <c r="F13" s="15">
        <f t="shared" si="0"/>
        <v>3.1028968836799997</v>
      </c>
      <c r="G13" s="12"/>
      <c r="H13" s="16">
        <v>9</v>
      </c>
      <c r="I13" s="43" t="s">
        <v>88</v>
      </c>
      <c r="J13" s="43" t="s">
        <v>129</v>
      </c>
      <c r="K13" s="15">
        <f>$P$17*P23/2</f>
        <v>0.9106327810799999</v>
      </c>
      <c r="L13" s="15">
        <f>S11*P23/2</f>
        <v>2.1922641025999998</v>
      </c>
      <c r="M13" s="15">
        <f t="shared" si="1"/>
        <v>3.1028968836799997</v>
      </c>
      <c r="N13" s="12"/>
      <c r="O13" s="44" t="s">
        <v>130</v>
      </c>
      <c r="P13" s="45"/>
      <c r="Q13" s="36"/>
      <c r="R13" s="49" t="s">
        <v>131</v>
      </c>
      <c r="S13" s="50" t="s">
        <v>132</v>
      </c>
      <c r="T13" s="12"/>
      <c r="U13" s="28" t="s">
        <v>105</v>
      </c>
      <c r="V13" s="34">
        <f>SUM(V9:V12)</f>
        <v>2.810775</v>
      </c>
      <c r="W13" s="12"/>
      <c r="X13" s="34"/>
      <c r="Y13" s="41"/>
      <c r="Z13" s="41"/>
    </row>
    <row r="14" spans="1:26" ht="15.75" customHeight="1" x14ac:dyDescent="0.2">
      <c r="A14" s="16">
        <v>10</v>
      </c>
      <c r="B14" s="43" t="s">
        <v>133</v>
      </c>
      <c r="C14" s="65" t="s">
        <v>134</v>
      </c>
      <c r="D14" s="15">
        <f>1*$S$31</f>
        <v>0.95699999999999996</v>
      </c>
      <c r="E14" s="15">
        <f>V6</f>
        <v>1.5840000000000001</v>
      </c>
      <c r="F14" s="15">
        <f t="shared" si="0"/>
        <v>2.5409999999999999</v>
      </c>
      <c r="G14" s="12"/>
      <c r="H14" s="16">
        <v>10</v>
      </c>
      <c r="I14" s="43" t="s">
        <v>133</v>
      </c>
      <c r="J14" s="43" t="s">
        <v>116</v>
      </c>
      <c r="K14" s="15">
        <f>1*S31</f>
        <v>0.95699999999999996</v>
      </c>
      <c r="L14" s="15">
        <v>0</v>
      </c>
      <c r="M14" s="15">
        <f t="shared" si="1"/>
        <v>0.95699999999999996</v>
      </c>
      <c r="N14" s="12"/>
      <c r="O14" s="49" t="s">
        <v>135</v>
      </c>
      <c r="P14" s="50" t="s">
        <v>136</v>
      </c>
      <c r="Q14" s="12"/>
      <c r="R14" s="52" t="s">
        <v>92</v>
      </c>
      <c r="S14" s="53">
        <v>3</v>
      </c>
      <c r="T14" s="12"/>
      <c r="U14" s="16"/>
      <c r="V14" s="66"/>
      <c r="W14" s="12"/>
      <c r="X14" s="66"/>
      <c r="Y14" s="41"/>
      <c r="Z14" s="41"/>
    </row>
    <row r="15" spans="1:26" ht="15.75" customHeight="1" x14ac:dyDescent="0.2">
      <c r="A15" s="16">
        <v>11</v>
      </c>
      <c r="B15" s="43" t="s">
        <v>123</v>
      </c>
      <c r="C15" s="43" t="s">
        <v>137</v>
      </c>
      <c r="D15" s="15">
        <f>1*$S$16</f>
        <v>0.29699999999999999</v>
      </c>
      <c r="E15" s="15">
        <f>500*$P$6</f>
        <v>0.495</v>
      </c>
      <c r="F15" s="15">
        <f t="shared" si="0"/>
        <v>0.79200000000000004</v>
      </c>
      <c r="G15" s="12"/>
      <c r="H15" s="16">
        <v>11</v>
      </c>
      <c r="I15" s="43" t="s">
        <v>123</v>
      </c>
      <c r="J15" s="43" t="s">
        <v>119</v>
      </c>
      <c r="K15" s="15">
        <f>1*$S$16</f>
        <v>0.29699999999999999</v>
      </c>
      <c r="L15" s="15">
        <f>2*$S$16</f>
        <v>0.59399999999999997</v>
      </c>
      <c r="M15" s="15">
        <f t="shared" si="1"/>
        <v>0.89100000000000001</v>
      </c>
      <c r="N15" s="12"/>
      <c r="O15" s="52" t="s">
        <v>117</v>
      </c>
      <c r="P15" s="53">
        <v>5</v>
      </c>
      <c r="Q15" s="12"/>
      <c r="R15" s="55" t="s">
        <v>98</v>
      </c>
      <c r="S15" s="56">
        <v>900</v>
      </c>
      <c r="T15" s="12"/>
      <c r="U15" s="16"/>
      <c r="V15" s="16"/>
      <c r="W15" s="12"/>
      <c r="X15" s="16"/>
      <c r="Y15" s="41"/>
      <c r="Z15" s="41"/>
    </row>
    <row r="16" spans="1:26" ht="15.75" customHeight="1" x14ac:dyDescent="0.2">
      <c r="A16" s="16">
        <v>12</v>
      </c>
      <c r="B16" s="43" t="s">
        <v>106</v>
      </c>
      <c r="C16" s="43" t="s">
        <v>124</v>
      </c>
      <c r="D16" s="15">
        <f>100*$P$6</f>
        <v>9.9000000000000005E-2</v>
      </c>
      <c r="E16" s="15">
        <f>2*$S$11</f>
        <v>0.85799999999999998</v>
      </c>
      <c r="F16" s="15">
        <f t="shared" si="0"/>
        <v>0.95699999999999996</v>
      </c>
      <c r="G16" s="12"/>
      <c r="H16" s="16">
        <v>12</v>
      </c>
      <c r="I16" s="43" t="s">
        <v>106</v>
      </c>
      <c r="J16" s="43" t="s">
        <v>138</v>
      </c>
      <c r="K16" s="15">
        <f>100*$P$6</f>
        <v>9.9000000000000005E-2</v>
      </c>
      <c r="L16" s="15">
        <f>2*$S$11</f>
        <v>0.85799999999999998</v>
      </c>
      <c r="M16" s="15">
        <f t="shared" si="1"/>
        <v>0.95699999999999996</v>
      </c>
      <c r="N16" s="12"/>
      <c r="O16" s="52" t="s">
        <v>139</v>
      </c>
      <c r="P16" s="53">
        <v>900</v>
      </c>
      <c r="Q16" s="12"/>
      <c r="R16" s="58" t="s">
        <v>104</v>
      </c>
      <c r="S16" s="60">
        <f>S15/S14*$P$6</f>
        <v>0.29699999999999999</v>
      </c>
      <c r="T16" s="12"/>
      <c r="U16" s="16"/>
      <c r="V16" s="16"/>
      <c r="W16" s="12"/>
      <c r="X16" s="16"/>
      <c r="Y16" s="41"/>
      <c r="Z16" s="41"/>
    </row>
    <row r="17" spans="1:26" ht="15.75" customHeight="1" x14ac:dyDescent="0.2">
      <c r="A17" s="16">
        <v>13</v>
      </c>
      <c r="B17" s="43" t="s">
        <v>95</v>
      </c>
      <c r="C17" s="43" t="s">
        <v>140</v>
      </c>
      <c r="D17" s="15">
        <f>1*$S$11</f>
        <v>0.42899999999999999</v>
      </c>
      <c r="E17" s="15">
        <v>0</v>
      </c>
      <c r="F17" s="15">
        <f t="shared" si="0"/>
        <v>0.42899999999999999</v>
      </c>
      <c r="G17" s="12"/>
      <c r="H17" s="16">
        <v>13</v>
      </c>
      <c r="I17" s="43" t="s">
        <v>95</v>
      </c>
      <c r="J17" s="43" t="s">
        <v>140</v>
      </c>
      <c r="K17" s="15">
        <f>1*$S$11</f>
        <v>0.42899999999999999</v>
      </c>
      <c r="L17" s="15">
        <v>0</v>
      </c>
      <c r="M17" s="15">
        <f t="shared" si="1"/>
        <v>0.42899999999999999</v>
      </c>
      <c r="N17" s="12"/>
      <c r="O17" s="58" t="s">
        <v>104</v>
      </c>
      <c r="P17" s="60">
        <f>P16/P15*P6</f>
        <v>0.1782</v>
      </c>
      <c r="Q17" s="12"/>
      <c r="R17" s="12"/>
      <c r="S17" s="54"/>
      <c r="T17" s="12"/>
      <c r="U17" s="16"/>
      <c r="V17" s="16"/>
      <c r="W17" s="12"/>
      <c r="X17" s="16"/>
      <c r="Y17" s="41"/>
      <c r="Z17" s="41"/>
    </row>
    <row r="18" spans="1:26" ht="15.75" customHeight="1" x14ac:dyDescent="0.2">
      <c r="A18" s="16">
        <v>14</v>
      </c>
      <c r="B18" s="43" t="s">
        <v>141</v>
      </c>
      <c r="C18" s="43" t="s">
        <v>126</v>
      </c>
      <c r="D18" s="15">
        <f>1*$S$6</f>
        <v>0.627</v>
      </c>
      <c r="E18" s="15">
        <f>2*$S$21</f>
        <v>1.254</v>
      </c>
      <c r="F18" s="15">
        <f t="shared" si="0"/>
        <v>1.881</v>
      </c>
      <c r="G18" s="12"/>
      <c r="H18" s="16">
        <v>14</v>
      </c>
      <c r="I18" s="43" t="s">
        <v>141</v>
      </c>
      <c r="J18" s="43" t="s">
        <v>142</v>
      </c>
      <c r="K18" s="15">
        <f>1*$S$6</f>
        <v>0.627</v>
      </c>
      <c r="L18" s="15">
        <f>2*$S$6</f>
        <v>1.254</v>
      </c>
      <c r="M18" s="15">
        <f t="shared" si="1"/>
        <v>1.881</v>
      </c>
      <c r="N18" s="12"/>
      <c r="O18" s="12"/>
      <c r="P18" s="12"/>
      <c r="Q18" s="36"/>
      <c r="R18" s="49" t="s">
        <v>143</v>
      </c>
      <c r="S18" s="67" t="s">
        <v>144</v>
      </c>
      <c r="T18" s="12"/>
      <c r="U18" s="16"/>
      <c r="V18" s="16"/>
      <c r="W18" s="12"/>
      <c r="X18" s="16"/>
      <c r="Y18" s="41"/>
      <c r="Z18" s="41"/>
    </row>
    <row r="19" spans="1:26" ht="15.75" customHeight="1" x14ac:dyDescent="0.2">
      <c r="A19" s="16">
        <v>15</v>
      </c>
      <c r="B19" s="43" t="s">
        <v>106</v>
      </c>
      <c r="C19" s="43" t="s">
        <v>145</v>
      </c>
      <c r="D19" s="15">
        <f>100*$P$6</f>
        <v>9.9000000000000005E-2</v>
      </c>
      <c r="E19" s="15">
        <f>($P$6*500)+(1*$S$16)+(1*$S$6)+(P23*P17)</f>
        <v>3.2402655621599998</v>
      </c>
      <c r="F19" s="15">
        <f t="shared" si="0"/>
        <v>3.33926556216</v>
      </c>
      <c r="G19" s="12"/>
      <c r="H19" s="16">
        <v>15</v>
      </c>
      <c r="I19" s="43" t="s">
        <v>106</v>
      </c>
      <c r="J19" s="43" t="s">
        <v>146</v>
      </c>
      <c r="K19" s="15">
        <f>100*$P$6</f>
        <v>9.9000000000000005E-2</v>
      </c>
      <c r="L19" s="15">
        <f>E19</f>
        <v>3.2402655621599998</v>
      </c>
      <c r="M19" s="15">
        <f t="shared" si="1"/>
        <v>3.33926556216</v>
      </c>
      <c r="N19" s="12"/>
      <c r="O19" s="44" t="s">
        <v>147</v>
      </c>
      <c r="P19" s="45"/>
      <c r="Q19" s="12"/>
      <c r="R19" s="52" t="s">
        <v>92</v>
      </c>
      <c r="S19" s="53">
        <v>3</v>
      </c>
      <c r="T19" s="12"/>
      <c r="U19" s="16"/>
      <c r="V19" s="16"/>
      <c r="W19" s="12"/>
      <c r="X19" s="16"/>
      <c r="Y19" s="41"/>
      <c r="Z19" s="41"/>
    </row>
    <row r="20" spans="1:26" ht="15.75" customHeight="1" x14ac:dyDescent="0.2">
      <c r="A20" s="16">
        <v>16</v>
      </c>
      <c r="B20" s="43" t="s">
        <v>128</v>
      </c>
      <c r="C20" s="43" t="s">
        <v>119</v>
      </c>
      <c r="D20" s="15">
        <f>P17*P23/2</f>
        <v>0.9106327810799999</v>
      </c>
      <c r="E20" s="15">
        <f>2*$S$16</f>
        <v>0.59399999999999997</v>
      </c>
      <c r="F20" s="15">
        <f t="shared" si="0"/>
        <v>1.5046327810799998</v>
      </c>
      <c r="G20" s="12"/>
      <c r="H20" s="16">
        <v>16</v>
      </c>
      <c r="I20" s="43" t="s">
        <v>88</v>
      </c>
      <c r="J20" s="43" t="s">
        <v>119</v>
      </c>
      <c r="K20" s="15">
        <f>$P$17*P23/2</f>
        <v>0.9106327810799999</v>
      </c>
      <c r="L20" s="15">
        <f>2*$S$16</f>
        <v>0.59399999999999997</v>
      </c>
      <c r="M20" s="15">
        <f t="shared" si="1"/>
        <v>1.5046327810799998</v>
      </c>
      <c r="N20" s="12"/>
      <c r="O20" s="12" t="s">
        <v>148</v>
      </c>
      <c r="P20" s="23">
        <f>'Usage Data (cvs)'!C3</f>
        <v>10.220345466666666</v>
      </c>
      <c r="Q20" s="12"/>
      <c r="R20" s="55" t="s">
        <v>98</v>
      </c>
      <c r="S20" s="56">
        <v>1900</v>
      </c>
      <c r="T20" s="12"/>
      <c r="U20" s="16"/>
      <c r="V20" s="16"/>
      <c r="W20" s="12"/>
      <c r="X20" s="16"/>
      <c r="Y20" s="41"/>
      <c r="Z20" s="41"/>
    </row>
    <row r="21" spans="1:26" ht="15.75" customHeight="1" x14ac:dyDescent="0.2">
      <c r="A21" s="16">
        <v>17</v>
      </c>
      <c r="B21" s="43" t="s">
        <v>123</v>
      </c>
      <c r="C21" s="43" t="s">
        <v>124</v>
      </c>
      <c r="D21" s="15">
        <f>1*$S$16</f>
        <v>0.29699999999999999</v>
      </c>
      <c r="E21" s="15">
        <f>2*$S$11</f>
        <v>0.85799999999999998</v>
      </c>
      <c r="F21" s="15">
        <f t="shared" si="0"/>
        <v>1.155</v>
      </c>
      <c r="G21" s="12"/>
      <c r="H21" s="16">
        <v>17</v>
      </c>
      <c r="I21" s="43" t="s">
        <v>123</v>
      </c>
      <c r="J21" s="43" t="s">
        <v>124</v>
      </c>
      <c r="K21" s="15">
        <f>1*$S$16</f>
        <v>0.29699999999999999</v>
      </c>
      <c r="L21" s="15">
        <f>2*$S$11</f>
        <v>0.85799999999999998</v>
      </c>
      <c r="M21" s="15">
        <f t="shared" si="1"/>
        <v>1.155</v>
      </c>
      <c r="N21" s="12"/>
      <c r="O21" s="12" t="s">
        <v>149</v>
      </c>
      <c r="P21" s="13">
        <f>'Usage Data (cvs)'!B3</f>
        <v>4.1097759999999992</v>
      </c>
      <c r="Q21" s="12"/>
      <c r="R21" s="58" t="s">
        <v>104</v>
      </c>
      <c r="S21" s="60">
        <f>S20/S19*$P$6</f>
        <v>0.627</v>
      </c>
      <c r="T21" s="68"/>
      <c r="U21" s="16"/>
      <c r="V21" s="16"/>
      <c r="W21" s="68"/>
      <c r="X21" s="16"/>
      <c r="Y21" s="41"/>
      <c r="Z21" s="41"/>
    </row>
    <row r="22" spans="1:26" ht="15.75" customHeight="1" x14ac:dyDescent="0.2">
      <c r="A22" s="16">
        <v>18</v>
      </c>
      <c r="B22" s="43" t="s">
        <v>95</v>
      </c>
      <c r="C22" s="43" t="s">
        <v>126</v>
      </c>
      <c r="D22" s="15">
        <f>1*$S$11</f>
        <v>0.42899999999999999</v>
      </c>
      <c r="E22" s="15">
        <f>2*$S$21</f>
        <v>1.254</v>
      </c>
      <c r="F22" s="15">
        <f t="shared" si="0"/>
        <v>1.6830000000000001</v>
      </c>
      <c r="G22" s="12"/>
      <c r="H22" s="16">
        <v>18</v>
      </c>
      <c r="I22" s="43" t="s">
        <v>95</v>
      </c>
      <c r="J22" s="43" t="s">
        <v>126</v>
      </c>
      <c r="K22" s="15">
        <f>1*$S$11</f>
        <v>0.42899999999999999</v>
      </c>
      <c r="L22" s="15">
        <f>2*$S$21</f>
        <v>1.254</v>
      </c>
      <c r="M22" s="15">
        <f t="shared" si="1"/>
        <v>1.6830000000000001</v>
      </c>
      <c r="N22" s="12"/>
      <c r="O22" s="12" t="s">
        <v>150</v>
      </c>
      <c r="P22" s="13">
        <v>2</v>
      </c>
      <c r="Q22" s="12"/>
      <c r="R22" s="64"/>
      <c r="S22" s="69"/>
      <c r="T22" s="68"/>
      <c r="U22" s="16"/>
      <c r="V22" s="16"/>
      <c r="W22" s="68"/>
      <c r="X22" s="16"/>
      <c r="Y22" s="41"/>
      <c r="Z22" s="41"/>
    </row>
    <row r="23" spans="1:26" ht="15.75" customHeight="1" x14ac:dyDescent="0.2">
      <c r="A23" s="16">
        <v>19</v>
      </c>
      <c r="B23" s="43" t="s">
        <v>141</v>
      </c>
      <c r="C23" s="43" t="s">
        <v>151</v>
      </c>
      <c r="D23" s="15">
        <f>1*$S$6</f>
        <v>0.627</v>
      </c>
      <c r="E23" s="15">
        <f>(0.5*3.5)*$S$16</f>
        <v>0.51974999999999993</v>
      </c>
      <c r="F23" s="15">
        <f t="shared" si="0"/>
        <v>1.1467499999999999</v>
      </c>
      <c r="G23" s="12"/>
      <c r="H23" s="16">
        <v>19</v>
      </c>
      <c r="I23" s="43" t="s">
        <v>141</v>
      </c>
      <c r="J23" s="43" t="s">
        <v>151</v>
      </c>
      <c r="K23" s="15">
        <f>1*$S$6</f>
        <v>0.627</v>
      </c>
      <c r="L23" s="15">
        <f>(0.5*3.5)*$S$16</f>
        <v>0.51974999999999993</v>
      </c>
      <c r="M23" s="15">
        <f t="shared" si="1"/>
        <v>1.1467499999999999</v>
      </c>
      <c r="N23" s="12"/>
      <c r="O23" s="58" t="s">
        <v>152</v>
      </c>
      <c r="P23" s="70">
        <f>P20</f>
        <v>10.220345466666666</v>
      </c>
      <c r="Q23" s="36"/>
      <c r="R23" s="49" t="s">
        <v>153</v>
      </c>
      <c r="S23" s="50" t="s">
        <v>154</v>
      </c>
      <c r="T23" s="68"/>
      <c r="U23" s="16"/>
      <c r="V23" s="16"/>
      <c r="W23" s="68"/>
      <c r="X23" s="16"/>
      <c r="Y23" s="41"/>
      <c r="Z23" s="41"/>
    </row>
    <row r="24" spans="1:26" ht="27.75" customHeight="1" x14ac:dyDescent="0.2">
      <c r="A24" s="16">
        <v>20</v>
      </c>
      <c r="B24" s="43" t="s">
        <v>114</v>
      </c>
      <c r="C24" s="65" t="s">
        <v>155</v>
      </c>
      <c r="D24" s="15">
        <f>(200*$P$6)+(1*$S$16)+(1*$S$11)</f>
        <v>0.92399999999999993</v>
      </c>
      <c r="E24" s="15">
        <f>V13</f>
        <v>2.810775</v>
      </c>
      <c r="F24" s="15">
        <f t="shared" si="0"/>
        <v>3.734775</v>
      </c>
      <c r="G24" s="12"/>
      <c r="H24" s="16">
        <v>20</v>
      </c>
      <c r="I24" s="43" t="s">
        <v>114</v>
      </c>
      <c r="J24" s="43" t="s">
        <v>116</v>
      </c>
      <c r="K24" s="15">
        <f>(200*$P$6)+(1*$S$16)+(1*$S$11)</f>
        <v>0.92399999999999993</v>
      </c>
      <c r="L24" s="15">
        <v>0</v>
      </c>
      <c r="M24" s="15">
        <f t="shared" si="1"/>
        <v>0.92399999999999993</v>
      </c>
      <c r="N24" s="12"/>
      <c r="O24" s="58" t="s">
        <v>156</v>
      </c>
      <c r="P24" s="71">
        <f>P20*P21/P22</f>
        <v>21.001665255307728</v>
      </c>
      <c r="Q24" s="12"/>
      <c r="R24" s="52" t="s">
        <v>92</v>
      </c>
      <c r="S24" s="53">
        <v>1</v>
      </c>
      <c r="T24" s="68"/>
      <c r="U24" s="16"/>
      <c r="V24" s="16"/>
      <c r="W24" s="68"/>
      <c r="X24" s="16"/>
      <c r="Y24" s="41"/>
      <c r="Z24" s="41"/>
    </row>
    <row r="25" spans="1:26" ht="15.75" customHeight="1" x14ac:dyDescent="0.2">
      <c r="A25" s="16">
        <v>21</v>
      </c>
      <c r="B25" s="43" t="s">
        <v>123</v>
      </c>
      <c r="C25" s="43" t="s">
        <v>126</v>
      </c>
      <c r="D25" s="15">
        <f>1*$S$16</f>
        <v>0.29699999999999999</v>
      </c>
      <c r="E25" s="15">
        <f>2*$S$21</f>
        <v>1.254</v>
      </c>
      <c r="F25" s="15">
        <f t="shared" si="0"/>
        <v>1.5509999999999999</v>
      </c>
      <c r="G25" s="12"/>
      <c r="H25" s="16">
        <v>21</v>
      </c>
      <c r="I25" s="43" t="s">
        <v>123</v>
      </c>
      <c r="J25" s="43" t="s">
        <v>126</v>
      </c>
      <c r="K25" s="15">
        <f>1*$S$16</f>
        <v>0.29699999999999999</v>
      </c>
      <c r="L25" s="15">
        <f>2*$S$21</f>
        <v>1.254</v>
      </c>
      <c r="M25" s="15">
        <f t="shared" si="1"/>
        <v>1.5509999999999999</v>
      </c>
      <c r="N25" s="12"/>
      <c r="O25" s="216"/>
      <c r="P25" s="217"/>
      <c r="Q25" s="12"/>
      <c r="R25" s="55" t="s">
        <v>98</v>
      </c>
      <c r="S25" s="56">
        <v>500</v>
      </c>
      <c r="T25" s="68"/>
      <c r="U25" s="16"/>
      <c r="V25" s="16"/>
      <c r="W25" s="68"/>
      <c r="X25" s="16"/>
      <c r="Y25" s="41"/>
      <c r="Z25" s="41"/>
    </row>
    <row r="26" spans="1:26" ht="15.75" customHeight="1" x14ac:dyDescent="0.2">
      <c r="A26" s="16">
        <v>22</v>
      </c>
      <c r="B26" s="43" t="s">
        <v>95</v>
      </c>
      <c r="C26" s="43" t="s">
        <v>157</v>
      </c>
      <c r="D26" s="15">
        <f>1*$S$11</f>
        <v>0.42899999999999999</v>
      </c>
      <c r="E26" s="15">
        <f>$P$17*P23</f>
        <v>1.8212655621599998</v>
      </c>
      <c r="F26" s="15">
        <f t="shared" si="0"/>
        <v>2.2502655621599996</v>
      </c>
      <c r="G26" s="12"/>
      <c r="H26" s="16">
        <v>22</v>
      </c>
      <c r="I26" s="43" t="s">
        <v>95</v>
      </c>
      <c r="J26" s="43" t="s">
        <v>107</v>
      </c>
      <c r="K26" s="15">
        <f>1*$S$11</f>
        <v>0.42899999999999999</v>
      </c>
      <c r="L26" s="15">
        <f>(0.5*3.5)*$S$16</f>
        <v>0.51974999999999993</v>
      </c>
      <c r="M26" s="15">
        <f t="shared" si="1"/>
        <v>0.94874999999999998</v>
      </c>
      <c r="N26" s="12"/>
      <c r="O26" s="12"/>
      <c r="P26" s="12"/>
      <c r="Q26" s="12"/>
      <c r="R26" s="58" t="s">
        <v>158</v>
      </c>
      <c r="S26" s="60">
        <f>S25/S24*$P$6</f>
        <v>0.495</v>
      </c>
      <c r="T26" s="12"/>
      <c r="U26" s="16"/>
      <c r="V26" s="16"/>
      <c r="W26" s="12"/>
      <c r="X26" s="16"/>
      <c r="Y26" s="41"/>
      <c r="Z26" s="41"/>
    </row>
    <row r="27" spans="1:26" ht="15.75" customHeight="1" x14ac:dyDescent="0.2">
      <c r="A27" s="16">
        <v>23</v>
      </c>
      <c r="B27" s="43" t="s">
        <v>157</v>
      </c>
      <c r="C27" s="43" t="s">
        <v>159</v>
      </c>
      <c r="D27" s="15">
        <f>P17*P23</f>
        <v>1.8212655621599998</v>
      </c>
      <c r="E27" s="15">
        <v>0</v>
      </c>
      <c r="F27" s="15">
        <f t="shared" si="0"/>
        <v>1.8212655621599998</v>
      </c>
      <c r="G27" s="12"/>
      <c r="H27" s="16">
        <v>23</v>
      </c>
      <c r="I27" s="43" t="s">
        <v>157</v>
      </c>
      <c r="J27" s="43" t="s">
        <v>159</v>
      </c>
      <c r="K27" s="15">
        <f>$P$17*P23</f>
        <v>1.8212655621599998</v>
      </c>
      <c r="L27" s="15">
        <v>0</v>
      </c>
      <c r="M27" s="15">
        <f t="shared" si="1"/>
        <v>1.8212655621599998</v>
      </c>
      <c r="N27" s="12"/>
      <c r="O27" s="12"/>
      <c r="P27" s="12"/>
      <c r="Q27" s="12"/>
      <c r="R27" s="12"/>
      <c r="S27" s="12"/>
      <c r="T27" s="12"/>
      <c r="U27" s="16"/>
      <c r="V27" s="16"/>
      <c r="W27" s="12"/>
      <c r="X27" s="16"/>
      <c r="Y27" s="41"/>
      <c r="Z27" s="41"/>
    </row>
    <row r="28" spans="1:26" ht="15.75" customHeight="1" x14ac:dyDescent="0.2">
      <c r="A28" s="16">
        <v>24</v>
      </c>
      <c r="B28" s="43" t="s">
        <v>96</v>
      </c>
      <c r="C28" s="43" t="s">
        <v>138</v>
      </c>
      <c r="D28" s="15">
        <f>1*$S$21</f>
        <v>0.627</v>
      </c>
      <c r="E28" s="15">
        <f>2*$S$11</f>
        <v>0.85799999999999998</v>
      </c>
      <c r="F28" s="15">
        <f t="shared" si="0"/>
        <v>1.4849999999999999</v>
      </c>
      <c r="G28" s="12"/>
      <c r="H28" s="16">
        <v>24</v>
      </c>
      <c r="I28" s="43" t="s">
        <v>96</v>
      </c>
      <c r="J28" s="43" t="s">
        <v>160</v>
      </c>
      <c r="K28" s="15">
        <f>1*$S$21</f>
        <v>0.627</v>
      </c>
      <c r="L28" s="15">
        <f>2*$S$31</f>
        <v>1.9139999999999999</v>
      </c>
      <c r="M28" s="15">
        <f t="shared" si="1"/>
        <v>2.5409999999999999</v>
      </c>
      <c r="N28" s="12"/>
      <c r="O28" s="12"/>
      <c r="P28" s="12"/>
      <c r="Q28" s="12"/>
      <c r="R28" s="49" t="s">
        <v>161</v>
      </c>
      <c r="S28" s="50" t="s">
        <v>162</v>
      </c>
      <c r="T28" s="12"/>
      <c r="U28" s="16"/>
      <c r="V28" s="16"/>
      <c r="W28" s="12"/>
      <c r="X28" s="16"/>
      <c r="Y28" s="41"/>
      <c r="Z28" s="41"/>
    </row>
    <row r="29" spans="1:26" ht="27" customHeight="1" x14ac:dyDescent="0.2">
      <c r="A29" s="16">
        <v>25</v>
      </c>
      <c r="B29" s="43" t="s">
        <v>163</v>
      </c>
      <c r="C29" s="43" t="s">
        <v>164</v>
      </c>
      <c r="D29" s="15">
        <f>(200*$P$6)+(1*$S$11)+(1*$S$31)</f>
        <v>1.5840000000000001</v>
      </c>
      <c r="E29" s="15">
        <f>(1000*$P$6)+(2*$S$16)+(1*$S$11)+(1*$S$21)</f>
        <v>2.6399999999999997</v>
      </c>
      <c r="F29" s="15">
        <f t="shared" si="0"/>
        <v>4.2240000000000002</v>
      </c>
      <c r="G29" s="12"/>
      <c r="H29" s="16">
        <v>25</v>
      </c>
      <c r="I29" s="43" t="s">
        <v>163</v>
      </c>
      <c r="J29" s="43" t="s">
        <v>103</v>
      </c>
      <c r="K29" s="15">
        <f>(200*$P$6)+(1*$S$11)+(1*$S$31)</f>
        <v>1.5840000000000001</v>
      </c>
      <c r="L29" s="15">
        <f>E29</f>
        <v>2.6399999999999997</v>
      </c>
      <c r="M29" s="15">
        <f t="shared" si="1"/>
        <v>4.2240000000000002</v>
      </c>
      <c r="N29" s="12"/>
      <c r="O29" s="12"/>
      <c r="P29" s="12"/>
      <c r="Q29" s="12"/>
      <c r="R29" s="52" t="s">
        <v>92</v>
      </c>
      <c r="S29" s="53">
        <v>3</v>
      </c>
      <c r="T29" s="12"/>
      <c r="U29" s="16"/>
      <c r="V29" s="16"/>
      <c r="W29" s="12"/>
      <c r="X29" s="16"/>
      <c r="Y29" s="41"/>
      <c r="Z29" s="41"/>
    </row>
    <row r="30" spans="1:26" ht="15.75" customHeight="1" x14ac:dyDescent="0.2">
      <c r="A30" s="16">
        <v>26</v>
      </c>
      <c r="B30" s="43" t="s">
        <v>123</v>
      </c>
      <c r="C30" s="43" t="s">
        <v>126</v>
      </c>
      <c r="D30" s="15">
        <f>1*$S$16</f>
        <v>0.29699999999999999</v>
      </c>
      <c r="E30" s="15">
        <f>2*$S$21</f>
        <v>1.254</v>
      </c>
      <c r="F30" s="15">
        <f t="shared" si="0"/>
        <v>1.5509999999999999</v>
      </c>
      <c r="G30" s="12"/>
      <c r="H30" s="16">
        <v>26</v>
      </c>
      <c r="I30" s="43" t="s">
        <v>123</v>
      </c>
      <c r="J30" s="43" t="s">
        <v>126</v>
      </c>
      <c r="K30" s="15">
        <f>1*$S$16</f>
        <v>0.29699999999999999</v>
      </c>
      <c r="L30" s="15">
        <f>2*$S$21</f>
        <v>1.254</v>
      </c>
      <c r="M30" s="15">
        <f t="shared" si="1"/>
        <v>1.5509999999999999</v>
      </c>
      <c r="N30" s="12"/>
      <c r="O30" s="12"/>
      <c r="P30" s="12"/>
      <c r="Q30" s="12"/>
      <c r="R30" s="55" t="s">
        <v>98</v>
      </c>
      <c r="S30" s="56">
        <v>2900</v>
      </c>
      <c r="T30" s="12"/>
      <c r="U30" s="16"/>
      <c r="V30" s="16"/>
      <c r="W30" s="12"/>
      <c r="X30" s="16"/>
      <c r="Y30" s="41"/>
      <c r="Z30" s="41"/>
    </row>
    <row r="31" spans="1:26" ht="15.75" customHeight="1" x14ac:dyDescent="0.2">
      <c r="A31" s="16">
        <v>27</v>
      </c>
      <c r="B31" s="43" t="s">
        <v>95</v>
      </c>
      <c r="C31" s="43" t="s">
        <v>119</v>
      </c>
      <c r="D31" s="15">
        <f>1*$S$11</f>
        <v>0.42899999999999999</v>
      </c>
      <c r="E31" s="15">
        <f>2*$S$16</f>
        <v>0.59399999999999997</v>
      </c>
      <c r="F31" s="15">
        <f t="shared" si="0"/>
        <v>1.0229999999999999</v>
      </c>
      <c r="G31" s="12"/>
      <c r="H31" s="16">
        <v>27</v>
      </c>
      <c r="I31" s="43" t="s">
        <v>95</v>
      </c>
      <c r="J31" s="43" t="s">
        <v>119</v>
      </c>
      <c r="K31" s="15">
        <f>1*$S$11</f>
        <v>0.42899999999999999</v>
      </c>
      <c r="L31" s="15">
        <f>2*$S$16</f>
        <v>0.59399999999999997</v>
      </c>
      <c r="M31" s="15">
        <f t="shared" si="1"/>
        <v>1.0229999999999999</v>
      </c>
      <c r="N31" s="12"/>
      <c r="O31" s="12"/>
      <c r="P31" s="12"/>
      <c r="Q31" s="12"/>
      <c r="R31" s="58" t="s">
        <v>104</v>
      </c>
      <c r="S31" s="60">
        <f>IFERROR(S30/S29*$P$6,"")</f>
        <v>0.95699999999999996</v>
      </c>
      <c r="T31" s="12"/>
      <c r="U31" s="16"/>
      <c r="V31" s="16"/>
      <c r="W31" s="12"/>
      <c r="X31" s="16"/>
      <c r="Y31" s="41"/>
      <c r="Z31" s="41"/>
    </row>
    <row r="32" spans="1:26" ht="15.75" customHeight="1" x14ac:dyDescent="0.2">
      <c r="A32" s="16">
        <v>28</v>
      </c>
      <c r="B32" s="43" t="s">
        <v>96</v>
      </c>
      <c r="C32" s="43" t="s">
        <v>138</v>
      </c>
      <c r="D32" s="15">
        <f>1*$S$21</f>
        <v>0.627</v>
      </c>
      <c r="E32" s="15">
        <f>2*$S$11</f>
        <v>0.85799999999999998</v>
      </c>
      <c r="F32" s="15">
        <f t="shared" si="0"/>
        <v>1.4849999999999999</v>
      </c>
      <c r="G32" s="12"/>
      <c r="H32" s="16">
        <v>28</v>
      </c>
      <c r="I32" s="43" t="s">
        <v>96</v>
      </c>
      <c r="J32" s="43" t="s">
        <v>138</v>
      </c>
      <c r="K32" s="15">
        <f>1*$S$21</f>
        <v>0.627</v>
      </c>
      <c r="L32" s="15">
        <f>2*$S$11</f>
        <v>0.85799999999999998</v>
      </c>
      <c r="M32" s="15">
        <f t="shared" si="1"/>
        <v>1.4849999999999999</v>
      </c>
      <c r="N32" s="12"/>
      <c r="O32" s="12"/>
      <c r="P32" s="12"/>
      <c r="Q32" s="12"/>
      <c r="R32" s="12"/>
      <c r="S32" s="12"/>
      <c r="T32" s="12"/>
      <c r="U32" s="16"/>
      <c r="V32" s="16"/>
      <c r="W32" s="12"/>
      <c r="X32" s="16"/>
      <c r="Y32" s="41"/>
      <c r="Z32" s="41"/>
    </row>
    <row r="33" spans="1:26" ht="51" customHeight="1" x14ac:dyDescent="0.2">
      <c r="A33" s="16">
        <v>29</v>
      </c>
      <c r="B33" s="43" t="s">
        <v>165</v>
      </c>
      <c r="C33" s="43" t="s">
        <v>166</v>
      </c>
      <c r="D33" s="15">
        <f>($P$17*P23)+(500*$P$6)+(1*$S$21)+(1*$S$11)+(1*$S$16)</f>
        <v>3.6692655621599997</v>
      </c>
      <c r="E33" s="15">
        <f>(P23*S11)+(P23*S16)+(1*S31)+(1*S6)+(1000*P6)</f>
        <v>9.9939708088000003</v>
      </c>
      <c r="F33" s="15">
        <f t="shared" si="0"/>
        <v>13.66323637096</v>
      </c>
      <c r="G33" s="12"/>
      <c r="H33" s="16">
        <v>29</v>
      </c>
      <c r="I33" s="43" t="s">
        <v>167</v>
      </c>
      <c r="J33" s="43" t="s">
        <v>103</v>
      </c>
      <c r="K33" s="15">
        <f>($P$17*P23)+(500*$P$6)+(1*$S$21)+(1*$S$11)+(1*$S$16)</f>
        <v>3.6692655621599997</v>
      </c>
      <c r="L33" s="15">
        <f>E33</f>
        <v>9.9939708088000003</v>
      </c>
      <c r="M33" s="15">
        <f t="shared" si="1"/>
        <v>13.66323637096</v>
      </c>
      <c r="N33" s="12"/>
      <c r="O33" s="12"/>
      <c r="P33" s="12"/>
      <c r="Q33" s="12"/>
      <c r="R33" s="58" t="s">
        <v>168</v>
      </c>
      <c r="S33" s="60">
        <f>AVERAGE(S6,S11,S16,S21,S26,S31)</f>
        <v>0.57199999999999995</v>
      </c>
      <c r="T33" s="12"/>
      <c r="U33" s="16"/>
      <c r="V33" s="16"/>
      <c r="W33" s="12"/>
      <c r="X33" s="16"/>
      <c r="Y33" s="41"/>
      <c r="Z33" s="41"/>
    </row>
    <row r="34" spans="1:26" ht="15.75" customHeight="1" x14ac:dyDescent="0.2">
      <c r="A34" s="16">
        <v>30</v>
      </c>
      <c r="B34" s="43" t="s">
        <v>169</v>
      </c>
      <c r="C34" s="43" t="s">
        <v>170</v>
      </c>
      <c r="D34" s="15">
        <v>0</v>
      </c>
      <c r="E34" s="15">
        <v>0</v>
      </c>
      <c r="F34" s="15">
        <f t="shared" si="0"/>
        <v>0</v>
      </c>
      <c r="G34" s="12"/>
      <c r="H34" s="16">
        <v>30</v>
      </c>
      <c r="I34" s="43" t="s">
        <v>169</v>
      </c>
      <c r="J34" s="43" t="s">
        <v>116</v>
      </c>
      <c r="K34" s="15">
        <v>0</v>
      </c>
      <c r="L34" s="15">
        <v>0</v>
      </c>
      <c r="M34" s="15">
        <f t="shared" si="1"/>
        <v>0</v>
      </c>
      <c r="N34" s="12"/>
      <c r="O34" s="12"/>
      <c r="P34" s="12"/>
      <c r="Q34" s="12"/>
      <c r="R34" s="12"/>
      <c r="S34" s="12"/>
      <c r="T34" s="12"/>
      <c r="U34" s="16"/>
      <c r="V34" s="16"/>
      <c r="W34" s="12"/>
      <c r="X34" s="16"/>
      <c r="Y34" s="41"/>
      <c r="Z34" s="41"/>
    </row>
    <row r="35" spans="1:26" ht="15.75" customHeight="1" x14ac:dyDescent="0.2">
      <c r="A35" s="28" t="s">
        <v>81</v>
      </c>
      <c r="B35" s="32"/>
      <c r="C35" s="32"/>
      <c r="D35" s="72">
        <f t="shared" ref="D35:E35" si="2">SUM(D4:D34)</f>
        <v>20.762290118459998</v>
      </c>
      <c r="E35" s="72">
        <f t="shared" si="2"/>
        <v>42.771612337520004</v>
      </c>
      <c r="F35" s="72">
        <f t="shared" si="0"/>
        <v>63.533902455979998</v>
      </c>
      <c r="G35" s="12"/>
      <c r="H35" s="28" t="s">
        <v>171</v>
      </c>
      <c r="I35" s="43" t="s">
        <v>172</v>
      </c>
      <c r="J35" s="43" t="s">
        <v>173</v>
      </c>
      <c r="K35" s="15">
        <v>0</v>
      </c>
      <c r="L35" s="16"/>
      <c r="M35" s="15">
        <f t="shared" si="1"/>
        <v>0</v>
      </c>
      <c r="N35" s="12"/>
      <c r="O35" s="12"/>
      <c r="P35" s="12"/>
      <c r="Q35" s="12"/>
      <c r="R35" s="12"/>
      <c r="S35" s="12"/>
      <c r="T35" s="12"/>
      <c r="U35" s="16"/>
      <c r="V35" s="16"/>
      <c r="W35" s="12"/>
      <c r="X35" s="16"/>
      <c r="Y35" s="41"/>
      <c r="Z35" s="41"/>
    </row>
    <row r="36" spans="1:26" ht="15.75" customHeight="1" x14ac:dyDescent="0.2">
      <c r="A36" s="28" t="s">
        <v>174</v>
      </c>
      <c r="B36" s="32"/>
      <c r="C36" s="32"/>
      <c r="D36" s="34">
        <f t="shared" ref="D36:F36" si="3">AVERAGE(D2:D34)</f>
        <v>0.66975129414387091</v>
      </c>
      <c r="E36" s="34">
        <f t="shared" si="3"/>
        <v>1.3797294302425809</v>
      </c>
      <c r="F36" s="34">
        <f t="shared" si="3"/>
        <v>2.0494807243864521</v>
      </c>
      <c r="G36" s="12"/>
      <c r="H36" s="28" t="s">
        <v>81</v>
      </c>
      <c r="I36" s="32"/>
      <c r="J36" s="32"/>
      <c r="K36" s="72">
        <f t="shared" ref="K36:M36" si="4">SUM(K4:K35)</f>
        <v>20.762290118459998</v>
      </c>
      <c r="L36" s="72">
        <f t="shared" si="4"/>
        <v>45.061600473560006</v>
      </c>
      <c r="M36" s="72">
        <f t="shared" si="4"/>
        <v>65.823890592020007</v>
      </c>
      <c r="N36" s="12"/>
      <c r="O36" s="12"/>
      <c r="P36" s="12"/>
      <c r="Q36" s="12"/>
      <c r="R36" s="12"/>
      <c r="S36" s="12"/>
      <c r="T36" s="12"/>
      <c r="U36" s="16"/>
      <c r="V36" s="16"/>
      <c r="W36" s="12"/>
      <c r="X36" s="16"/>
      <c r="Y36" s="41"/>
      <c r="Z36" s="41"/>
    </row>
    <row r="37" spans="1:26" ht="15.75" customHeight="1" x14ac:dyDescent="0.2">
      <c r="A37" s="16"/>
      <c r="B37" s="43"/>
      <c r="C37" s="43"/>
      <c r="D37" s="16"/>
      <c r="E37" s="16"/>
      <c r="F37" s="16"/>
      <c r="G37" s="12"/>
      <c r="H37" s="12"/>
      <c r="I37" s="43"/>
      <c r="J37" s="43"/>
      <c r="K37" s="16"/>
      <c r="L37" s="16"/>
      <c r="M37" s="12"/>
      <c r="N37" s="12"/>
      <c r="O37" s="12"/>
      <c r="P37" s="12"/>
      <c r="Q37" s="12"/>
      <c r="R37" s="12"/>
      <c r="S37" s="12"/>
      <c r="T37" s="12"/>
      <c r="U37" s="16"/>
      <c r="V37" s="16"/>
      <c r="W37" s="12"/>
      <c r="X37" s="16"/>
      <c r="Y37" s="41"/>
      <c r="Z37" s="41"/>
    </row>
    <row r="38" spans="1:26" ht="15.75" customHeight="1" x14ac:dyDescent="0.2">
      <c r="A38" s="16"/>
      <c r="B38" s="43"/>
      <c r="C38" s="43"/>
      <c r="D38" s="16"/>
      <c r="E38" s="16"/>
      <c r="F38" s="16"/>
      <c r="G38" s="12"/>
      <c r="H38" s="12"/>
      <c r="I38" s="43"/>
      <c r="J38" s="43"/>
      <c r="K38" s="16"/>
      <c r="L38" s="16"/>
      <c r="M38" s="12"/>
      <c r="N38" s="12"/>
      <c r="O38" s="12"/>
      <c r="P38" s="12"/>
      <c r="Q38" s="12"/>
      <c r="R38" s="12"/>
      <c r="S38" s="12"/>
      <c r="T38" s="12"/>
      <c r="U38" s="16"/>
      <c r="V38" s="16"/>
      <c r="W38" s="12"/>
      <c r="X38" s="16"/>
      <c r="Y38" s="41"/>
      <c r="Z38" s="41"/>
    </row>
    <row r="39" spans="1:26" ht="15.75" customHeight="1" x14ac:dyDescent="0.2">
      <c r="A39" s="16"/>
      <c r="B39" s="43"/>
      <c r="C39" s="43"/>
      <c r="D39" s="16"/>
      <c r="E39" s="16"/>
      <c r="F39" s="16"/>
      <c r="G39" s="12"/>
      <c r="H39" s="12"/>
      <c r="I39" s="43"/>
      <c r="J39" s="43"/>
      <c r="K39" s="16"/>
      <c r="L39" s="16"/>
      <c r="M39" s="12"/>
      <c r="N39" s="12"/>
      <c r="O39" s="12"/>
      <c r="P39" s="12"/>
      <c r="Q39" s="12"/>
      <c r="R39" s="12"/>
      <c r="S39" s="12"/>
      <c r="T39" s="12"/>
      <c r="U39" s="16"/>
      <c r="V39" s="16"/>
      <c r="W39" s="12"/>
      <c r="X39" s="16"/>
      <c r="Y39" s="41"/>
      <c r="Z39" s="41"/>
    </row>
    <row r="40" spans="1:26" ht="15.75" customHeight="1" x14ac:dyDescent="0.2">
      <c r="A40" s="16"/>
      <c r="B40" s="43"/>
      <c r="C40" s="43"/>
      <c r="D40" s="16"/>
      <c r="E40" s="16"/>
      <c r="F40" s="16"/>
      <c r="G40" s="12"/>
      <c r="H40" s="12"/>
      <c r="I40" s="43"/>
      <c r="J40" s="43"/>
      <c r="K40" s="16"/>
      <c r="L40" s="16"/>
      <c r="M40" s="12"/>
      <c r="N40" s="12"/>
      <c r="O40" s="12"/>
      <c r="P40" s="12"/>
      <c r="Q40" s="12"/>
      <c r="R40" s="12"/>
      <c r="S40" s="12"/>
      <c r="T40" s="12"/>
      <c r="U40" s="16"/>
      <c r="V40" s="16"/>
      <c r="W40" s="12"/>
      <c r="X40" s="16"/>
      <c r="Y40" s="41"/>
      <c r="Z40" s="41"/>
    </row>
    <row r="41" spans="1:26" ht="15.75" customHeight="1" x14ac:dyDescent="0.2">
      <c r="A41" s="16"/>
      <c r="B41" s="43"/>
      <c r="C41" s="43"/>
      <c r="D41" s="16"/>
      <c r="E41" s="16"/>
      <c r="F41" s="16"/>
      <c r="G41" s="12"/>
      <c r="H41" s="12"/>
      <c r="I41" s="43"/>
      <c r="J41" s="43"/>
      <c r="K41" s="16"/>
      <c r="L41" s="16"/>
      <c r="M41" s="12"/>
      <c r="N41" s="12"/>
      <c r="O41" s="12"/>
      <c r="P41" s="12"/>
      <c r="Q41" s="12"/>
      <c r="R41" s="12"/>
      <c r="S41" s="12"/>
      <c r="T41" s="12"/>
      <c r="U41" s="16"/>
      <c r="V41" s="16"/>
      <c r="W41" s="12"/>
      <c r="X41" s="16"/>
      <c r="Y41" s="41"/>
      <c r="Z41" s="41"/>
    </row>
    <row r="42" spans="1:26" ht="15.75" customHeight="1" x14ac:dyDescent="0.2">
      <c r="A42" s="16"/>
      <c r="B42" s="43"/>
      <c r="C42" s="43"/>
      <c r="D42" s="16"/>
      <c r="E42" s="16"/>
      <c r="F42" s="16"/>
      <c r="G42" s="12"/>
      <c r="H42" s="12"/>
      <c r="I42" s="43"/>
      <c r="J42" s="43"/>
      <c r="K42" s="16"/>
      <c r="L42" s="16"/>
      <c r="M42" s="12"/>
      <c r="N42" s="12"/>
      <c r="O42" s="12"/>
      <c r="P42" s="12"/>
      <c r="Q42" s="12"/>
      <c r="R42" s="12"/>
      <c r="S42" s="12"/>
      <c r="T42" s="12"/>
      <c r="U42" s="16"/>
      <c r="V42" s="16"/>
      <c r="W42" s="12"/>
      <c r="X42" s="16"/>
      <c r="Y42" s="41"/>
      <c r="Z42" s="41"/>
    </row>
    <row r="43" spans="1:26" ht="15.75" customHeight="1" x14ac:dyDescent="0.2">
      <c r="A43" s="16"/>
      <c r="B43" s="43"/>
      <c r="C43" s="43"/>
      <c r="D43" s="16"/>
      <c r="E43" s="16"/>
      <c r="F43" s="16"/>
      <c r="G43" s="12"/>
      <c r="H43" s="12"/>
      <c r="I43" s="43"/>
      <c r="J43" s="43"/>
      <c r="K43" s="16"/>
      <c r="L43" s="16"/>
      <c r="M43" s="12"/>
      <c r="N43" s="12"/>
      <c r="O43" s="12"/>
      <c r="P43" s="12"/>
      <c r="Q43" s="12"/>
      <c r="R43" s="12"/>
      <c r="S43" s="12"/>
      <c r="T43" s="12"/>
      <c r="U43" s="16"/>
      <c r="V43" s="16"/>
      <c r="W43" s="12"/>
      <c r="X43" s="16"/>
      <c r="Y43" s="41"/>
      <c r="Z43" s="41"/>
    </row>
    <row r="44" spans="1:26" ht="15.75" customHeight="1" x14ac:dyDescent="0.2">
      <c r="A44" s="16"/>
      <c r="B44" s="43"/>
      <c r="C44" s="43"/>
      <c r="D44" s="16"/>
      <c r="E44" s="16"/>
      <c r="F44" s="16"/>
      <c r="G44" s="12"/>
      <c r="H44" s="12"/>
      <c r="I44" s="43"/>
      <c r="J44" s="43"/>
      <c r="K44" s="16"/>
      <c r="L44" s="16"/>
      <c r="M44" s="12"/>
      <c r="N44" s="12"/>
      <c r="O44" s="12"/>
      <c r="P44" s="12"/>
      <c r="Q44" s="12"/>
      <c r="R44" s="12"/>
      <c r="S44" s="12"/>
      <c r="T44" s="12"/>
      <c r="U44" s="16"/>
      <c r="V44" s="16"/>
      <c r="W44" s="12"/>
      <c r="X44" s="16"/>
      <c r="Y44" s="41"/>
      <c r="Z44" s="41"/>
    </row>
    <row r="45" spans="1:26" ht="15.75" customHeight="1" x14ac:dyDescent="0.2">
      <c r="A45" s="16"/>
      <c r="B45" s="43"/>
      <c r="C45" s="43"/>
      <c r="D45" s="16"/>
      <c r="E45" s="16"/>
      <c r="F45" s="16"/>
      <c r="G45" s="12"/>
      <c r="H45" s="12"/>
      <c r="I45" s="43"/>
      <c r="J45" s="43"/>
      <c r="K45" s="16"/>
      <c r="L45" s="16"/>
      <c r="M45" s="12"/>
      <c r="N45" s="12"/>
      <c r="O45" s="12"/>
      <c r="P45" s="12"/>
      <c r="Q45" s="12"/>
      <c r="R45" s="12"/>
      <c r="S45" s="12"/>
      <c r="T45" s="12"/>
      <c r="U45" s="16"/>
      <c r="V45" s="16"/>
      <c r="W45" s="12"/>
      <c r="X45" s="16"/>
      <c r="Y45" s="41"/>
      <c r="Z45" s="41"/>
    </row>
    <row r="46" spans="1:26" ht="15.75" customHeight="1" x14ac:dyDescent="0.2">
      <c r="A46" s="16"/>
      <c r="B46" s="43"/>
      <c r="C46" s="43"/>
      <c r="D46" s="16"/>
      <c r="E46" s="16"/>
      <c r="F46" s="16"/>
      <c r="G46" s="12"/>
      <c r="H46" s="12"/>
      <c r="I46" s="43"/>
      <c r="J46" s="43"/>
      <c r="K46" s="16"/>
      <c r="L46" s="16"/>
      <c r="M46" s="12"/>
      <c r="N46" s="12"/>
      <c r="O46" s="12"/>
      <c r="P46" s="12"/>
      <c r="Q46" s="12"/>
      <c r="R46" s="12"/>
      <c r="S46" s="12"/>
      <c r="T46" s="12"/>
      <c r="U46" s="16"/>
      <c r="V46" s="16"/>
      <c r="W46" s="12"/>
      <c r="X46" s="16"/>
      <c r="Y46" s="41"/>
      <c r="Z46" s="41"/>
    </row>
    <row r="47" spans="1:26" ht="15.75" customHeight="1" x14ac:dyDescent="0.2">
      <c r="A47" s="16"/>
      <c r="B47" s="43"/>
      <c r="C47" s="43"/>
      <c r="D47" s="16"/>
      <c r="E47" s="16"/>
      <c r="F47" s="16"/>
      <c r="G47" s="12"/>
      <c r="H47" s="12"/>
      <c r="I47" s="43"/>
      <c r="J47" s="43"/>
      <c r="K47" s="16"/>
      <c r="L47" s="16"/>
      <c r="M47" s="12"/>
      <c r="N47" s="12"/>
      <c r="O47" s="12"/>
      <c r="P47" s="12"/>
      <c r="Q47" s="12"/>
      <c r="R47" s="12"/>
      <c r="S47" s="12"/>
      <c r="T47" s="12"/>
      <c r="U47" s="16"/>
      <c r="V47" s="16"/>
      <c r="W47" s="12"/>
      <c r="X47" s="16"/>
      <c r="Y47" s="41"/>
      <c r="Z47" s="41"/>
    </row>
    <row r="48" spans="1:26" ht="15.75" customHeight="1" x14ac:dyDescent="0.2">
      <c r="A48" s="16"/>
      <c r="B48" s="43"/>
      <c r="C48" s="43"/>
      <c r="D48" s="16"/>
      <c r="E48" s="16"/>
      <c r="F48" s="16"/>
      <c r="G48" s="12"/>
      <c r="H48" s="12"/>
      <c r="I48" s="43"/>
      <c r="J48" s="43"/>
      <c r="K48" s="16"/>
      <c r="L48" s="16"/>
      <c r="M48" s="12"/>
      <c r="N48" s="12"/>
      <c r="O48" s="12"/>
      <c r="P48" s="12"/>
      <c r="Q48" s="12"/>
      <c r="R48" s="12"/>
      <c r="S48" s="12"/>
      <c r="T48" s="12"/>
      <c r="U48" s="16"/>
      <c r="V48" s="16"/>
      <c r="W48" s="12"/>
      <c r="X48" s="16"/>
      <c r="Y48" s="41"/>
      <c r="Z48" s="41"/>
    </row>
    <row r="49" spans="1:26" ht="15.75" customHeight="1" x14ac:dyDescent="0.2">
      <c r="A49" s="16"/>
      <c r="B49" s="43"/>
      <c r="C49" s="43"/>
      <c r="D49" s="16"/>
      <c r="E49" s="16"/>
      <c r="F49" s="16"/>
      <c r="G49" s="12"/>
      <c r="H49" s="12"/>
      <c r="I49" s="43"/>
      <c r="J49" s="43"/>
      <c r="K49" s="16"/>
      <c r="L49" s="16"/>
      <c r="M49" s="12"/>
      <c r="N49" s="12"/>
      <c r="O49" s="12"/>
      <c r="P49" s="12"/>
      <c r="Q49" s="12"/>
      <c r="R49" s="12"/>
      <c r="S49" s="12"/>
      <c r="T49" s="12"/>
      <c r="U49" s="16"/>
      <c r="V49" s="16"/>
      <c r="W49" s="12"/>
      <c r="X49" s="16"/>
      <c r="Y49" s="41"/>
      <c r="Z49" s="41"/>
    </row>
    <row r="50" spans="1:26" ht="15.75" customHeight="1" x14ac:dyDescent="0.2">
      <c r="A50" s="16"/>
      <c r="B50" s="43"/>
      <c r="C50" s="43"/>
      <c r="D50" s="16"/>
      <c r="E50" s="16"/>
      <c r="F50" s="16"/>
      <c r="G50" s="12"/>
      <c r="H50" s="12"/>
      <c r="I50" s="43"/>
      <c r="J50" s="43"/>
      <c r="K50" s="16"/>
      <c r="L50" s="16"/>
      <c r="M50" s="12"/>
      <c r="N50" s="12"/>
      <c r="O50" s="12"/>
      <c r="P50" s="12"/>
      <c r="Q50" s="12"/>
      <c r="R50" s="12"/>
      <c r="S50" s="12"/>
      <c r="T50" s="12"/>
      <c r="U50" s="16"/>
      <c r="V50" s="16"/>
      <c r="W50" s="12"/>
      <c r="X50" s="16"/>
      <c r="Y50" s="41"/>
      <c r="Z50" s="41"/>
    </row>
    <row r="51" spans="1:26" ht="15.75" customHeight="1" x14ac:dyDescent="0.2">
      <c r="A51" s="16"/>
      <c r="B51" s="43"/>
      <c r="C51" s="43"/>
      <c r="D51" s="16"/>
      <c r="E51" s="16"/>
      <c r="F51" s="16"/>
      <c r="G51" s="12"/>
      <c r="H51" s="12"/>
      <c r="I51" s="43"/>
      <c r="J51" s="43"/>
      <c r="K51" s="16"/>
      <c r="L51" s="16"/>
      <c r="M51" s="12"/>
      <c r="N51" s="12"/>
      <c r="O51" s="12"/>
      <c r="P51" s="12"/>
      <c r="Q51" s="12"/>
      <c r="R51" s="12"/>
      <c r="S51" s="12"/>
      <c r="T51" s="12"/>
      <c r="U51" s="16"/>
      <c r="V51" s="16"/>
      <c r="W51" s="12"/>
      <c r="X51" s="16"/>
      <c r="Y51" s="41"/>
      <c r="Z51" s="41"/>
    </row>
    <row r="52" spans="1:26" ht="15.75" customHeight="1" x14ac:dyDescent="0.2">
      <c r="A52" s="16"/>
      <c r="B52" s="43"/>
      <c r="C52" s="43"/>
      <c r="D52" s="16"/>
      <c r="E52" s="16"/>
      <c r="F52" s="16"/>
      <c r="G52" s="12"/>
      <c r="H52" s="12"/>
      <c r="I52" s="43"/>
      <c r="J52" s="43"/>
      <c r="K52" s="16"/>
      <c r="L52" s="16"/>
      <c r="M52" s="12"/>
      <c r="N52" s="12"/>
      <c r="O52" s="12"/>
      <c r="P52" s="12"/>
      <c r="Q52" s="12"/>
      <c r="R52" s="12"/>
      <c r="S52" s="12"/>
      <c r="T52" s="12"/>
      <c r="U52" s="16"/>
      <c r="V52" s="16"/>
      <c r="W52" s="12"/>
      <c r="X52" s="16"/>
      <c r="Y52" s="41"/>
      <c r="Z52" s="41"/>
    </row>
    <row r="53" spans="1:26" ht="15.75" customHeight="1" x14ac:dyDescent="0.2">
      <c r="A53" s="16"/>
      <c r="B53" s="43"/>
      <c r="C53" s="43"/>
      <c r="D53" s="16"/>
      <c r="E53" s="16"/>
      <c r="F53" s="16"/>
      <c r="G53" s="12"/>
      <c r="H53" s="12"/>
      <c r="I53" s="43"/>
      <c r="J53" s="43"/>
      <c r="K53" s="16"/>
      <c r="L53" s="16"/>
      <c r="M53" s="12"/>
      <c r="N53" s="12"/>
      <c r="O53" s="12"/>
      <c r="P53" s="12"/>
      <c r="Q53" s="12"/>
      <c r="R53" s="12"/>
      <c r="S53" s="12"/>
      <c r="T53" s="12"/>
      <c r="U53" s="16"/>
      <c r="V53" s="16"/>
      <c r="W53" s="12"/>
      <c r="X53" s="16"/>
      <c r="Y53" s="41"/>
      <c r="Z53" s="41"/>
    </row>
    <row r="54" spans="1:26" ht="15.75" customHeight="1" x14ac:dyDescent="0.2">
      <c r="A54" s="16"/>
      <c r="B54" s="43"/>
      <c r="C54" s="43"/>
      <c r="D54" s="16"/>
      <c r="E54" s="16"/>
      <c r="F54" s="16"/>
      <c r="G54" s="12"/>
      <c r="H54" s="12"/>
      <c r="I54" s="43"/>
      <c r="J54" s="43"/>
      <c r="K54" s="16"/>
      <c r="L54" s="16"/>
      <c r="M54" s="12"/>
      <c r="N54" s="12"/>
      <c r="O54" s="12"/>
      <c r="P54" s="12"/>
      <c r="Q54" s="12"/>
      <c r="R54" s="12"/>
      <c r="S54" s="12"/>
      <c r="T54" s="12"/>
      <c r="U54" s="16"/>
      <c r="V54" s="16"/>
      <c r="W54" s="12"/>
      <c r="X54" s="16"/>
      <c r="Y54" s="41"/>
      <c r="Z54" s="41"/>
    </row>
    <row r="55" spans="1:26" ht="15.75" customHeight="1" x14ac:dyDescent="0.2">
      <c r="A55" s="16"/>
      <c r="B55" s="43"/>
      <c r="C55" s="43"/>
      <c r="D55" s="16"/>
      <c r="E55" s="16"/>
      <c r="F55" s="16"/>
      <c r="G55" s="12"/>
      <c r="H55" s="12"/>
      <c r="I55" s="43"/>
      <c r="J55" s="43"/>
      <c r="K55" s="16"/>
      <c r="L55" s="16"/>
      <c r="M55" s="12"/>
      <c r="N55" s="12"/>
      <c r="O55" s="12"/>
      <c r="P55" s="12"/>
      <c r="Q55" s="12"/>
      <c r="R55" s="12"/>
      <c r="S55" s="12"/>
      <c r="T55" s="12"/>
      <c r="U55" s="16"/>
      <c r="V55" s="16"/>
      <c r="W55" s="12"/>
      <c r="X55" s="16"/>
      <c r="Y55" s="41"/>
      <c r="Z55" s="41"/>
    </row>
    <row r="56" spans="1:26" ht="15.75" customHeight="1" x14ac:dyDescent="0.2">
      <c r="A56" s="16"/>
      <c r="B56" s="43"/>
      <c r="C56" s="43"/>
      <c r="D56" s="16"/>
      <c r="E56" s="16"/>
      <c r="F56" s="16"/>
      <c r="G56" s="12"/>
      <c r="H56" s="12"/>
      <c r="I56" s="43"/>
      <c r="J56" s="43"/>
      <c r="K56" s="16"/>
      <c r="L56" s="16"/>
      <c r="M56" s="12"/>
      <c r="N56" s="12"/>
      <c r="O56" s="12"/>
      <c r="P56" s="12"/>
      <c r="Q56" s="12"/>
      <c r="R56" s="12"/>
      <c r="S56" s="12"/>
      <c r="T56" s="12"/>
      <c r="U56" s="16"/>
      <c r="V56" s="16"/>
      <c r="W56" s="12"/>
      <c r="X56" s="16"/>
      <c r="Y56" s="41"/>
      <c r="Z56" s="41"/>
    </row>
    <row r="57" spans="1:26" ht="15.75" customHeight="1" x14ac:dyDescent="0.2">
      <c r="A57" s="16"/>
      <c r="B57" s="43"/>
      <c r="C57" s="43"/>
      <c r="D57" s="16"/>
      <c r="E57" s="16"/>
      <c r="F57" s="16"/>
      <c r="G57" s="12"/>
      <c r="H57" s="12"/>
      <c r="I57" s="43"/>
      <c r="J57" s="43"/>
      <c r="K57" s="16"/>
      <c r="L57" s="16"/>
      <c r="M57" s="12"/>
      <c r="N57" s="12"/>
      <c r="O57" s="12"/>
      <c r="P57" s="12"/>
      <c r="Q57" s="12"/>
      <c r="R57" s="12"/>
      <c r="S57" s="12"/>
      <c r="T57" s="12"/>
      <c r="U57" s="16"/>
      <c r="V57" s="16"/>
      <c r="W57" s="12"/>
      <c r="X57" s="16"/>
      <c r="Y57" s="41"/>
      <c r="Z57" s="41"/>
    </row>
    <row r="58" spans="1:26" ht="15.75" customHeight="1" x14ac:dyDescent="0.2">
      <c r="A58" s="16"/>
      <c r="B58" s="43"/>
      <c r="C58" s="43"/>
      <c r="D58" s="16"/>
      <c r="E58" s="16"/>
      <c r="F58" s="16"/>
      <c r="G58" s="12"/>
      <c r="H58" s="12"/>
      <c r="I58" s="43"/>
      <c r="J58" s="43"/>
      <c r="K58" s="16"/>
      <c r="L58" s="16"/>
      <c r="M58" s="12"/>
      <c r="N58" s="12"/>
      <c r="O58" s="12"/>
      <c r="P58" s="12"/>
      <c r="Q58" s="12"/>
      <c r="R58" s="12"/>
      <c r="S58" s="12"/>
      <c r="T58" s="12"/>
      <c r="U58" s="16"/>
      <c r="V58" s="16"/>
      <c r="W58" s="12"/>
      <c r="X58" s="16"/>
      <c r="Y58" s="41"/>
      <c r="Z58" s="41"/>
    </row>
    <row r="59" spans="1:26" ht="15.75" customHeight="1" x14ac:dyDescent="0.2">
      <c r="A59" s="16"/>
      <c r="B59" s="43"/>
      <c r="C59" s="43"/>
      <c r="D59" s="16"/>
      <c r="E59" s="16"/>
      <c r="F59" s="16"/>
      <c r="G59" s="12"/>
      <c r="H59" s="12"/>
      <c r="I59" s="43"/>
      <c r="J59" s="43"/>
      <c r="K59" s="16"/>
      <c r="L59" s="16"/>
      <c r="M59" s="12"/>
      <c r="N59" s="12"/>
      <c r="O59" s="12"/>
      <c r="P59" s="12"/>
      <c r="Q59" s="12"/>
      <c r="R59" s="12"/>
      <c r="S59" s="12"/>
      <c r="T59" s="12"/>
      <c r="U59" s="16"/>
      <c r="V59" s="16"/>
      <c r="W59" s="12"/>
      <c r="X59" s="16"/>
      <c r="Y59" s="41"/>
      <c r="Z59" s="41"/>
    </row>
    <row r="60" spans="1:26" ht="15.75" customHeight="1" x14ac:dyDescent="0.2">
      <c r="A60" s="16"/>
      <c r="B60" s="43"/>
      <c r="C60" s="43"/>
      <c r="D60" s="16"/>
      <c r="E60" s="16"/>
      <c r="F60" s="16"/>
      <c r="G60" s="12"/>
      <c r="H60" s="12"/>
      <c r="I60" s="43"/>
      <c r="J60" s="43"/>
      <c r="K60" s="16"/>
      <c r="L60" s="16"/>
      <c r="M60" s="12"/>
      <c r="N60" s="12"/>
      <c r="O60" s="12"/>
      <c r="P60" s="12"/>
      <c r="Q60" s="12"/>
      <c r="R60" s="12"/>
      <c r="S60" s="12"/>
      <c r="T60" s="12"/>
      <c r="U60" s="16"/>
      <c r="V60" s="16"/>
      <c r="W60" s="12"/>
      <c r="X60" s="16"/>
      <c r="Y60" s="41"/>
      <c r="Z60" s="41"/>
    </row>
    <row r="61" spans="1:26" ht="15.75" customHeight="1" x14ac:dyDescent="0.2">
      <c r="A61" s="16"/>
      <c r="B61" s="43"/>
      <c r="C61" s="43"/>
      <c r="D61" s="16"/>
      <c r="E61" s="16"/>
      <c r="F61" s="16"/>
      <c r="G61" s="12"/>
      <c r="H61" s="12"/>
      <c r="I61" s="43"/>
      <c r="J61" s="43"/>
      <c r="K61" s="16"/>
      <c r="L61" s="16"/>
      <c r="M61" s="12"/>
      <c r="N61" s="12"/>
      <c r="O61" s="12"/>
      <c r="P61" s="12"/>
      <c r="Q61" s="12"/>
      <c r="R61" s="12"/>
      <c r="S61" s="12"/>
      <c r="T61" s="12"/>
      <c r="U61" s="16"/>
      <c r="V61" s="16"/>
      <c r="W61" s="12"/>
      <c r="X61" s="16"/>
      <c r="Y61" s="41"/>
      <c r="Z61" s="41"/>
    </row>
    <row r="62" spans="1:26" ht="15.75" customHeight="1" x14ac:dyDescent="0.2">
      <c r="A62" s="16"/>
      <c r="B62" s="43"/>
      <c r="C62" s="43"/>
      <c r="D62" s="16"/>
      <c r="E62" s="16"/>
      <c r="F62" s="16"/>
      <c r="G62" s="12"/>
      <c r="H62" s="12"/>
      <c r="I62" s="43"/>
      <c r="J62" s="43"/>
      <c r="K62" s="16"/>
      <c r="L62" s="16"/>
      <c r="M62" s="12"/>
      <c r="N62" s="12"/>
      <c r="O62" s="12"/>
      <c r="P62" s="12"/>
      <c r="Q62" s="12"/>
      <c r="R62" s="12"/>
      <c r="S62" s="12"/>
      <c r="T62" s="12"/>
      <c r="U62" s="16"/>
      <c r="V62" s="16"/>
      <c r="W62" s="12"/>
      <c r="X62" s="16"/>
      <c r="Y62" s="41"/>
      <c r="Z62" s="41"/>
    </row>
    <row r="63" spans="1:26" ht="15.75" customHeight="1" x14ac:dyDescent="0.2">
      <c r="A63" s="16"/>
      <c r="B63" s="43"/>
      <c r="C63" s="43"/>
      <c r="D63" s="16"/>
      <c r="E63" s="16"/>
      <c r="F63" s="16"/>
      <c r="G63" s="12"/>
      <c r="H63" s="12"/>
      <c r="I63" s="43"/>
      <c r="J63" s="43"/>
      <c r="K63" s="16"/>
      <c r="L63" s="16"/>
      <c r="M63" s="12"/>
      <c r="N63" s="12"/>
      <c r="O63" s="12"/>
      <c r="P63" s="12"/>
      <c r="Q63" s="12"/>
      <c r="R63" s="12"/>
      <c r="S63" s="12"/>
      <c r="T63" s="12"/>
      <c r="U63" s="16"/>
      <c r="V63" s="16"/>
      <c r="W63" s="12"/>
      <c r="X63" s="16"/>
      <c r="Y63" s="41"/>
      <c r="Z63" s="41"/>
    </row>
    <row r="64" spans="1:26" ht="15.75" customHeight="1" x14ac:dyDescent="0.2">
      <c r="A64" s="16"/>
      <c r="B64" s="43"/>
      <c r="C64" s="43"/>
      <c r="D64" s="16"/>
      <c r="E64" s="16"/>
      <c r="F64" s="16"/>
      <c r="G64" s="12"/>
      <c r="H64" s="12"/>
      <c r="I64" s="43"/>
      <c r="J64" s="43"/>
      <c r="K64" s="16"/>
      <c r="L64" s="16"/>
      <c r="M64" s="12"/>
      <c r="N64" s="12"/>
      <c r="O64" s="12"/>
      <c r="P64" s="12"/>
      <c r="Q64" s="12"/>
      <c r="R64" s="12"/>
      <c r="S64" s="12"/>
      <c r="T64" s="12"/>
      <c r="U64" s="16"/>
      <c r="V64" s="16"/>
      <c r="W64" s="12"/>
      <c r="X64" s="16"/>
      <c r="Y64" s="41"/>
      <c r="Z64" s="41"/>
    </row>
    <row r="65" spans="1:26" ht="15.75" customHeight="1" x14ac:dyDescent="0.2">
      <c r="A65" s="16"/>
      <c r="B65" s="43"/>
      <c r="C65" s="43"/>
      <c r="D65" s="16"/>
      <c r="E65" s="16"/>
      <c r="F65" s="16"/>
      <c r="G65" s="12"/>
      <c r="H65" s="12"/>
      <c r="I65" s="43"/>
      <c r="J65" s="43"/>
      <c r="K65" s="16"/>
      <c r="L65" s="16"/>
      <c r="M65" s="12"/>
      <c r="N65" s="12"/>
      <c r="O65" s="12"/>
      <c r="P65" s="12"/>
      <c r="Q65" s="12"/>
      <c r="R65" s="12"/>
      <c r="S65" s="12"/>
      <c r="T65" s="12"/>
      <c r="U65" s="16"/>
      <c r="V65" s="16"/>
      <c r="W65" s="12"/>
      <c r="X65" s="16"/>
      <c r="Y65" s="41"/>
      <c r="Z65" s="41"/>
    </row>
    <row r="66" spans="1:26" ht="15.75" customHeight="1" x14ac:dyDescent="0.2">
      <c r="A66" s="16"/>
      <c r="B66" s="43"/>
      <c r="C66" s="43"/>
      <c r="D66" s="16"/>
      <c r="E66" s="16"/>
      <c r="F66" s="16"/>
      <c r="G66" s="12"/>
      <c r="H66" s="12"/>
      <c r="I66" s="43"/>
      <c r="J66" s="43"/>
      <c r="K66" s="16"/>
      <c r="L66" s="16"/>
      <c r="M66" s="12"/>
      <c r="N66" s="12"/>
      <c r="O66" s="12"/>
      <c r="P66" s="12"/>
      <c r="Q66" s="12"/>
      <c r="R66" s="12"/>
      <c r="S66" s="12"/>
      <c r="T66" s="12"/>
      <c r="U66" s="16"/>
      <c r="V66" s="16"/>
      <c r="W66" s="12"/>
      <c r="X66" s="16"/>
      <c r="Y66" s="41"/>
      <c r="Z66" s="41"/>
    </row>
    <row r="67" spans="1:26" ht="15.75" customHeight="1" x14ac:dyDescent="0.2">
      <c r="A67" s="16"/>
      <c r="B67" s="43"/>
      <c r="C67" s="43"/>
      <c r="D67" s="16"/>
      <c r="E67" s="16"/>
      <c r="F67" s="16"/>
      <c r="G67" s="12"/>
      <c r="H67" s="12"/>
      <c r="I67" s="43"/>
      <c r="J67" s="43"/>
      <c r="K67" s="16"/>
      <c r="L67" s="16"/>
      <c r="M67" s="12"/>
      <c r="N67" s="12"/>
      <c r="O67" s="12"/>
      <c r="P67" s="12"/>
      <c r="Q67" s="12"/>
      <c r="R67" s="12"/>
      <c r="S67" s="12"/>
      <c r="T67" s="12"/>
      <c r="U67" s="16"/>
      <c r="V67" s="16"/>
      <c r="W67" s="12"/>
      <c r="X67" s="16"/>
      <c r="Y67" s="41"/>
      <c r="Z67" s="41"/>
    </row>
    <row r="68" spans="1:26" ht="15.75" customHeight="1" x14ac:dyDescent="0.2">
      <c r="A68" s="16"/>
      <c r="B68" s="43"/>
      <c r="C68" s="43"/>
      <c r="D68" s="16"/>
      <c r="E68" s="16"/>
      <c r="F68" s="16"/>
      <c r="G68" s="12"/>
      <c r="H68" s="12"/>
      <c r="I68" s="43"/>
      <c r="J68" s="43"/>
      <c r="K68" s="16"/>
      <c r="L68" s="16"/>
      <c r="M68" s="12"/>
      <c r="N68" s="12"/>
      <c r="O68" s="12"/>
      <c r="P68" s="12"/>
      <c r="Q68" s="12"/>
      <c r="R68" s="12"/>
      <c r="S68" s="12"/>
      <c r="T68" s="12"/>
      <c r="U68" s="16"/>
      <c r="V68" s="16"/>
      <c r="W68" s="12"/>
      <c r="X68" s="16"/>
      <c r="Y68" s="41"/>
      <c r="Z68" s="41"/>
    </row>
    <row r="69" spans="1:26" ht="15.75" customHeight="1" x14ac:dyDescent="0.2">
      <c r="A69" s="16"/>
      <c r="B69" s="43"/>
      <c r="C69" s="43"/>
      <c r="D69" s="16"/>
      <c r="E69" s="16"/>
      <c r="F69" s="16"/>
      <c r="G69" s="12"/>
      <c r="H69" s="12"/>
      <c r="I69" s="43"/>
      <c r="J69" s="43"/>
      <c r="K69" s="16"/>
      <c r="L69" s="16"/>
      <c r="M69" s="12"/>
      <c r="N69" s="12"/>
      <c r="O69" s="12"/>
      <c r="P69" s="12"/>
      <c r="Q69" s="12"/>
      <c r="R69" s="12"/>
      <c r="S69" s="12"/>
      <c r="T69" s="12"/>
      <c r="U69" s="16"/>
      <c r="V69" s="16"/>
      <c r="W69" s="12"/>
      <c r="X69" s="16"/>
      <c r="Y69" s="41"/>
      <c r="Z69" s="41"/>
    </row>
    <row r="70" spans="1:26" ht="15.75" customHeight="1" x14ac:dyDescent="0.2">
      <c r="A70" s="16"/>
      <c r="B70" s="43"/>
      <c r="C70" s="43"/>
      <c r="D70" s="16"/>
      <c r="E70" s="16"/>
      <c r="F70" s="16"/>
      <c r="G70" s="12"/>
      <c r="H70" s="12"/>
      <c r="I70" s="43"/>
      <c r="J70" s="43"/>
      <c r="K70" s="16"/>
      <c r="L70" s="16"/>
      <c r="M70" s="12"/>
      <c r="N70" s="12"/>
      <c r="O70" s="12"/>
      <c r="P70" s="12"/>
      <c r="Q70" s="12"/>
      <c r="R70" s="12"/>
      <c r="S70" s="12"/>
      <c r="T70" s="12"/>
      <c r="U70" s="16"/>
      <c r="V70" s="16"/>
      <c r="W70" s="12"/>
      <c r="X70" s="16"/>
      <c r="Y70" s="41"/>
      <c r="Z70" s="41"/>
    </row>
    <row r="71" spans="1:26" ht="15.75" customHeight="1" x14ac:dyDescent="0.2">
      <c r="A71" s="16"/>
      <c r="B71" s="43"/>
      <c r="C71" s="43"/>
      <c r="D71" s="16"/>
      <c r="E71" s="16"/>
      <c r="F71" s="16"/>
      <c r="G71" s="12"/>
      <c r="H71" s="12"/>
      <c r="I71" s="43"/>
      <c r="J71" s="43"/>
      <c r="K71" s="16"/>
      <c r="L71" s="16"/>
      <c r="M71" s="12"/>
      <c r="N71" s="12"/>
      <c r="O71" s="12"/>
      <c r="P71" s="12"/>
      <c r="Q71" s="12"/>
      <c r="R71" s="12"/>
      <c r="S71" s="12"/>
      <c r="T71" s="12"/>
      <c r="U71" s="16"/>
      <c r="V71" s="16"/>
      <c r="W71" s="12"/>
      <c r="X71" s="16"/>
      <c r="Y71" s="41"/>
      <c r="Z71" s="41"/>
    </row>
    <row r="72" spans="1:26" ht="15.75" customHeight="1" x14ac:dyDescent="0.2">
      <c r="A72" s="16"/>
      <c r="B72" s="43"/>
      <c r="C72" s="43"/>
      <c r="D72" s="16"/>
      <c r="E72" s="16"/>
      <c r="F72" s="16"/>
      <c r="G72" s="12"/>
      <c r="H72" s="12"/>
      <c r="I72" s="43"/>
      <c r="J72" s="43"/>
      <c r="K72" s="16"/>
      <c r="L72" s="16"/>
      <c r="M72" s="12"/>
      <c r="N72" s="12"/>
      <c r="O72" s="12"/>
      <c r="P72" s="12"/>
      <c r="Q72" s="12"/>
      <c r="R72" s="12"/>
      <c r="S72" s="12"/>
      <c r="T72" s="12"/>
      <c r="U72" s="16"/>
      <c r="V72" s="16"/>
      <c r="W72" s="12"/>
      <c r="X72" s="16"/>
      <c r="Y72" s="41"/>
      <c r="Z72" s="41"/>
    </row>
    <row r="73" spans="1:26" ht="15.75" customHeight="1" x14ac:dyDescent="0.2">
      <c r="A73" s="16"/>
      <c r="B73" s="43"/>
      <c r="C73" s="43"/>
      <c r="D73" s="16"/>
      <c r="E73" s="16"/>
      <c r="F73" s="16"/>
      <c r="G73" s="12"/>
      <c r="H73" s="12"/>
      <c r="I73" s="43"/>
      <c r="J73" s="43"/>
      <c r="K73" s="16"/>
      <c r="L73" s="16"/>
      <c r="M73" s="12"/>
      <c r="N73" s="12"/>
      <c r="O73" s="12"/>
      <c r="P73" s="12"/>
      <c r="Q73" s="12"/>
      <c r="R73" s="12"/>
      <c r="S73" s="12"/>
      <c r="T73" s="12"/>
      <c r="U73" s="16"/>
      <c r="V73" s="16"/>
      <c r="W73" s="12"/>
      <c r="X73" s="16"/>
      <c r="Y73" s="41"/>
      <c r="Z73" s="41"/>
    </row>
    <row r="74" spans="1:26" ht="15.75" customHeight="1" x14ac:dyDescent="0.2">
      <c r="A74" s="16"/>
      <c r="B74" s="43"/>
      <c r="C74" s="43"/>
      <c r="D74" s="16"/>
      <c r="E74" s="16"/>
      <c r="F74" s="16"/>
      <c r="G74" s="12"/>
      <c r="H74" s="12"/>
      <c r="I74" s="43"/>
      <c r="J74" s="43"/>
      <c r="K74" s="16"/>
      <c r="L74" s="16"/>
      <c r="M74" s="12"/>
      <c r="N74" s="12"/>
      <c r="O74" s="12"/>
      <c r="P74" s="12"/>
      <c r="Q74" s="12"/>
      <c r="R74" s="12"/>
      <c r="S74" s="12"/>
      <c r="T74" s="12"/>
      <c r="U74" s="16"/>
      <c r="V74" s="16"/>
      <c r="W74" s="12"/>
      <c r="X74" s="16"/>
      <c r="Y74" s="41"/>
      <c r="Z74" s="41"/>
    </row>
    <row r="75" spans="1:26" ht="15.75" customHeight="1" x14ac:dyDescent="0.2">
      <c r="A75" s="16"/>
      <c r="B75" s="43"/>
      <c r="C75" s="43"/>
      <c r="D75" s="16"/>
      <c r="E75" s="16"/>
      <c r="F75" s="16"/>
      <c r="G75" s="12"/>
      <c r="H75" s="12"/>
      <c r="I75" s="43"/>
      <c r="J75" s="43"/>
      <c r="K75" s="16"/>
      <c r="L75" s="16"/>
      <c r="M75" s="12"/>
      <c r="N75" s="12"/>
      <c r="O75" s="12"/>
      <c r="P75" s="12"/>
      <c r="Q75" s="12"/>
      <c r="R75" s="12"/>
      <c r="S75" s="12"/>
      <c r="T75" s="12"/>
      <c r="U75" s="16"/>
      <c r="V75" s="16"/>
      <c r="W75" s="12"/>
      <c r="X75" s="16"/>
      <c r="Y75" s="41"/>
      <c r="Z75" s="41"/>
    </row>
    <row r="76" spans="1:26" ht="15.75" customHeight="1" x14ac:dyDescent="0.2">
      <c r="A76" s="16"/>
      <c r="B76" s="43"/>
      <c r="C76" s="43"/>
      <c r="D76" s="16"/>
      <c r="E76" s="16"/>
      <c r="F76" s="16"/>
      <c r="G76" s="12"/>
      <c r="H76" s="12"/>
      <c r="I76" s="43"/>
      <c r="J76" s="43"/>
      <c r="K76" s="16"/>
      <c r="L76" s="16"/>
      <c r="M76" s="12"/>
      <c r="N76" s="12"/>
      <c r="O76" s="12"/>
      <c r="P76" s="12"/>
      <c r="Q76" s="12"/>
      <c r="R76" s="12"/>
      <c r="S76" s="12"/>
      <c r="T76" s="12"/>
      <c r="U76" s="16"/>
      <c r="V76" s="16"/>
      <c r="W76" s="12"/>
      <c r="X76" s="16"/>
      <c r="Y76" s="41"/>
      <c r="Z76" s="41"/>
    </row>
    <row r="77" spans="1:26" ht="15.75" customHeight="1" x14ac:dyDescent="0.2">
      <c r="A77" s="16"/>
      <c r="B77" s="43"/>
      <c r="C77" s="43"/>
      <c r="D77" s="16"/>
      <c r="E77" s="16"/>
      <c r="F77" s="16"/>
      <c r="G77" s="12"/>
      <c r="H77" s="12"/>
      <c r="I77" s="43"/>
      <c r="J77" s="43"/>
      <c r="K77" s="16"/>
      <c r="L77" s="16"/>
      <c r="M77" s="12"/>
      <c r="N77" s="12"/>
      <c r="O77" s="12"/>
      <c r="P77" s="12"/>
      <c r="Q77" s="12"/>
      <c r="R77" s="12"/>
      <c r="S77" s="12"/>
      <c r="T77" s="12"/>
      <c r="U77" s="16"/>
      <c r="V77" s="16"/>
      <c r="W77" s="12"/>
      <c r="X77" s="16"/>
      <c r="Y77" s="41"/>
      <c r="Z77" s="41"/>
    </row>
    <row r="78" spans="1:26" ht="15.75" customHeight="1" x14ac:dyDescent="0.2">
      <c r="A78" s="16"/>
      <c r="B78" s="43"/>
      <c r="C78" s="43"/>
      <c r="D78" s="16"/>
      <c r="E78" s="16"/>
      <c r="F78" s="16"/>
      <c r="G78" s="12"/>
      <c r="H78" s="12"/>
      <c r="I78" s="43"/>
      <c r="J78" s="43"/>
      <c r="K78" s="16"/>
      <c r="L78" s="16"/>
      <c r="M78" s="12"/>
      <c r="N78" s="12"/>
      <c r="O78" s="12"/>
      <c r="P78" s="12"/>
      <c r="Q78" s="12"/>
      <c r="R78" s="12"/>
      <c r="S78" s="12"/>
      <c r="T78" s="12"/>
      <c r="U78" s="16"/>
      <c r="V78" s="16"/>
      <c r="W78" s="12"/>
      <c r="X78" s="16"/>
      <c r="Y78" s="41"/>
      <c r="Z78" s="41"/>
    </row>
    <row r="79" spans="1:26" ht="15.75" customHeight="1" x14ac:dyDescent="0.2">
      <c r="A79" s="16"/>
      <c r="B79" s="43"/>
      <c r="C79" s="43"/>
      <c r="D79" s="16"/>
      <c r="E79" s="16"/>
      <c r="F79" s="16"/>
      <c r="G79" s="12"/>
      <c r="H79" s="12"/>
      <c r="I79" s="43"/>
      <c r="J79" s="43"/>
      <c r="K79" s="16"/>
      <c r="L79" s="16"/>
      <c r="M79" s="12"/>
      <c r="N79" s="12"/>
      <c r="O79" s="12"/>
      <c r="P79" s="12"/>
      <c r="Q79" s="12"/>
      <c r="R79" s="12"/>
      <c r="S79" s="12"/>
      <c r="T79" s="12"/>
      <c r="U79" s="16"/>
      <c r="V79" s="16"/>
      <c r="W79" s="12"/>
      <c r="X79" s="16"/>
      <c r="Y79" s="41"/>
      <c r="Z79" s="41"/>
    </row>
    <row r="80" spans="1:26" ht="15.75" customHeight="1" x14ac:dyDescent="0.2">
      <c r="A80" s="16"/>
      <c r="B80" s="43"/>
      <c r="C80" s="43"/>
      <c r="D80" s="16"/>
      <c r="E80" s="16"/>
      <c r="F80" s="16"/>
      <c r="G80" s="12"/>
      <c r="H80" s="12"/>
      <c r="I80" s="43"/>
      <c r="J80" s="43"/>
      <c r="K80" s="16"/>
      <c r="L80" s="16"/>
      <c r="M80" s="12"/>
      <c r="N80" s="12"/>
      <c r="O80" s="12"/>
      <c r="P80" s="12"/>
      <c r="Q80" s="12"/>
      <c r="R80" s="12"/>
      <c r="S80" s="12"/>
      <c r="T80" s="12"/>
      <c r="U80" s="16"/>
      <c r="V80" s="16"/>
      <c r="W80" s="12"/>
      <c r="X80" s="16"/>
      <c r="Y80" s="41"/>
      <c r="Z80" s="41"/>
    </row>
    <row r="81" spans="1:26" ht="15.75" customHeight="1" x14ac:dyDescent="0.2">
      <c r="A81" s="16"/>
      <c r="B81" s="43"/>
      <c r="C81" s="43"/>
      <c r="D81" s="16"/>
      <c r="E81" s="16"/>
      <c r="F81" s="16"/>
      <c r="G81" s="12"/>
      <c r="H81" s="12"/>
      <c r="I81" s="43"/>
      <c r="J81" s="43"/>
      <c r="K81" s="16"/>
      <c r="L81" s="16"/>
      <c r="M81" s="12"/>
      <c r="N81" s="12"/>
      <c r="O81" s="12"/>
      <c r="P81" s="12"/>
      <c r="Q81" s="12"/>
      <c r="R81" s="12"/>
      <c r="S81" s="12"/>
      <c r="T81" s="12"/>
      <c r="U81" s="16"/>
      <c r="V81" s="16"/>
      <c r="W81" s="12"/>
      <c r="X81" s="16"/>
      <c r="Y81" s="41"/>
      <c r="Z81" s="41"/>
    </row>
    <row r="82" spans="1:26" ht="15.75" customHeight="1" x14ac:dyDescent="0.2">
      <c r="A82" s="16"/>
      <c r="B82" s="43"/>
      <c r="C82" s="43"/>
      <c r="D82" s="16"/>
      <c r="E82" s="16"/>
      <c r="F82" s="16"/>
      <c r="G82" s="12"/>
      <c r="H82" s="12"/>
      <c r="I82" s="43"/>
      <c r="J82" s="43"/>
      <c r="K82" s="16"/>
      <c r="L82" s="16"/>
      <c r="M82" s="12"/>
      <c r="N82" s="12"/>
      <c r="O82" s="12"/>
      <c r="P82" s="12"/>
      <c r="Q82" s="12"/>
      <c r="R82" s="12"/>
      <c r="S82" s="12"/>
      <c r="T82" s="12"/>
      <c r="U82" s="16"/>
      <c r="V82" s="16"/>
      <c r="W82" s="12"/>
      <c r="X82" s="16"/>
      <c r="Y82" s="41"/>
      <c r="Z82" s="41"/>
    </row>
    <row r="83" spans="1:26" ht="15.75" customHeight="1" x14ac:dyDescent="0.2">
      <c r="A83" s="16"/>
      <c r="B83" s="43"/>
      <c r="C83" s="43"/>
      <c r="D83" s="16"/>
      <c r="E83" s="16"/>
      <c r="F83" s="16"/>
      <c r="G83" s="12"/>
      <c r="H83" s="12"/>
      <c r="I83" s="43"/>
      <c r="J83" s="43"/>
      <c r="K83" s="16"/>
      <c r="L83" s="16"/>
      <c r="M83" s="12"/>
      <c r="N83" s="12"/>
      <c r="O83" s="12"/>
      <c r="P83" s="12"/>
      <c r="Q83" s="12"/>
      <c r="R83" s="12"/>
      <c r="S83" s="12"/>
      <c r="T83" s="12"/>
      <c r="U83" s="16"/>
      <c r="V83" s="16"/>
      <c r="W83" s="12"/>
      <c r="X83" s="16"/>
      <c r="Y83" s="41"/>
      <c r="Z83" s="41"/>
    </row>
    <row r="84" spans="1:26" ht="15.75" customHeight="1" x14ac:dyDescent="0.2">
      <c r="A84" s="16"/>
      <c r="B84" s="43"/>
      <c r="C84" s="43"/>
      <c r="D84" s="16"/>
      <c r="E84" s="16"/>
      <c r="F84" s="16"/>
      <c r="G84" s="12"/>
      <c r="H84" s="12"/>
      <c r="I84" s="43"/>
      <c r="J84" s="43"/>
      <c r="K84" s="16"/>
      <c r="L84" s="16"/>
      <c r="M84" s="12"/>
      <c r="N84" s="12"/>
      <c r="O84" s="12"/>
      <c r="P84" s="12"/>
      <c r="Q84" s="12"/>
      <c r="R84" s="12"/>
      <c r="S84" s="12"/>
      <c r="T84" s="12"/>
      <c r="U84" s="16"/>
      <c r="V84" s="16"/>
      <c r="W84" s="12"/>
      <c r="X84" s="16"/>
      <c r="Y84" s="41"/>
      <c r="Z84" s="41"/>
    </row>
    <row r="85" spans="1:26" ht="15.75" customHeight="1" x14ac:dyDescent="0.2">
      <c r="A85" s="16"/>
      <c r="B85" s="43"/>
      <c r="C85" s="43"/>
      <c r="D85" s="16"/>
      <c r="E85" s="16"/>
      <c r="F85" s="16"/>
      <c r="G85" s="12"/>
      <c r="H85" s="12"/>
      <c r="I85" s="43"/>
      <c r="J85" s="43"/>
      <c r="K85" s="16"/>
      <c r="L85" s="16"/>
      <c r="M85" s="12"/>
      <c r="N85" s="12"/>
      <c r="O85" s="12"/>
      <c r="P85" s="12"/>
      <c r="Q85" s="12"/>
      <c r="R85" s="12"/>
      <c r="S85" s="12"/>
      <c r="T85" s="12"/>
      <c r="U85" s="16"/>
      <c r="V85" s="16"/>
      <c r="W85" s="12"/>
      <c r="X85" s="16"/>
      <c r="Y85" s="41"/>
      <c r="Z85" s="41"/>
    </row>
    <row r="86" spans="1:26" ht="15.75" customHeight="1" x14ac:dyDescent="0.2">
      <c r="A86" s="16"/>
      <c r="B86" s="43"/>
      <c r="C86" s="43"/>
      <c r="D86" s="16"/>
      <c r="E86" s="16"/>
      <c r="F86" s="16"/>
      <c r="G86" s="12"/>
      <c r="H86" s="12"/>
      <c r="I86" s="43"/>
      <c r="J86" s="43"/>
      <c r="K86" s="16"/>
      <c r="L86" s="16"/>
      <c r="M86" s="12"/>
      <c r="N86" s="12"/>
      <c r="O86" s="12"/>
      <c r="P86" s="12"/>
      <c r="Q86" s="12"/>
      <c r="R86" s="12"/>
      <c r="S86" s="12"/>
      <c r="T86" s="12"/>
      <c r="U86" s="16"/>
      <c r="V86" s="16"/>
      <c r="W86" s="12"/>
      <c r="X86" s="16"/>
      <c r="Y86" s="41"/>
      <c r="Z86" s="41"/>
    </row>
    <row r="87" spans="1:26" ht="15.75" customHeight="1" x14ac:dyDescent="0.2">
      <c r="A87" s="16"/>
      <c r="B87" s="43"/>
      <c r="C87" s="43"/>
      <c r="D87" s="16"/>
      <c r="E87" s="16"/>
      <c r="F87" s="16"/>
      <c r="G87" s="12"/>
      <c r="H87" s="12"/>
      <c r="I87" s="43"/>
      <c r="J87" s="43"/>
      <c r="K87" s="16"/>
      <c r="L87" s="16"/>
      <c r="M87" s="12"/>
      <c r="N87" s="12"/>
      <c r="O87" s="12"/>
      <c r="P87" s="12"/>
      <c r="Q87" s="12"/>
      <c r="R87" s="12"/>
      <c r="S87" s="12"/>
      <c r="T87" s="12"/>
      <c r="U87" s="16"/>
      <c r="V87" s="16"/>
      <c r="W87" s="12"/>
      <c r="X87" s="16"/>
      <c r="Y87" s="41"/>
      <c r="Z87" s="41"/>
    </row>
    <row r="88" spans="1:26" ht="15.75" customHeight="1" x14ac:dyDescent="0.2">
      <c r="A88" s="16"/>
      <c r="B88" s="43"/>
      <c r="C88" s="43"/>
      <c r="D88" s="16"/>
      <c r="E88" s="16"/>
      <c r="F88" s="16"/>
      <c r="G88" s="12"/>
      <c r="H88" s="12"/>
      <c r="I88" s="43"/>
      <c r="J88" s="43"/>
      <c r="K88" s="16"/>
      <c r="L88" s="16"/>
      <c r="M88" s="12"/>
      <c r="N88" s="12"/>
      <c r="O88" s="12"/>
      <c r="P88" s="12"/>
      <c r="Q88" s="12"/>
      <c r="R88" s="12"/>
      <c r="S88" s="12"/>
      <c r="T88" s="12"/>
      <c r="U88" s="16"/>
      <c r="V88" s="16"/>
      <c r="W88" s="12"/>
      <c r="X88" s="16"/>
      <c r="Y88" s="41"/>
      <c r="Z88" s="41"/>
    </row>
    <row r="89" spans="1:26" ht="15.75" customHeight="1" x14ac:dyDescent="0.2">
      <c r="A89" s="16"/>
      <c r="B89" s="43"/>
      <c r="C89" s="43"/>
      <c r="D89" s="16"/>
      <c r="E89" s="16"/>
      <c r="F89" s="16"/>
      <c r="G89" s="12"/>
      <c r="H89" s="12"/>
      <c r="I89" s="43"/>
      <c r="J89" s="43"/>
      <c r="K89" s="16"/>
      <c r="L89" s="16"/>
      <c r="M89" s="12"/>
      <c r="N89" s="12"/>
      <c r="O89" s="12"/>
      <c r="P89" s="12"/>
      <c r="Q89" s="12"/>
      <c r="R89" s="12"/>
      <c r="S89" s="12"/>
      <c r="T89" s="12"/>
      <c r="U89" s="16"/>
      <c r="V89" s="16"/>
      <c r="W89" s="12"/>
      <c r="X89" s="16"/>
      <c r="Y89" s="41"/>
      <c r="Z89" s="41"/>
    </row>
    <row r="90" spans="1:26" ht="15.75" customHeight="1" x14ac:dyDescent="0.2">
      <c r="A90" s="16"/>
      <c r="B90" s="43"/>
      <c r="C90" s="43"/>
      <c r="D90" s="16"/>
      <c r="E90" s="16"/>
      <c r="F90" s="16"/>
      <c r="G90" s="12"/>
      <c r="H90" s="12"/>
      <c r="I90" s="43"/>
      <c r="J90" s="43"/>
      <c r="K90" s="16"/>
      <c r="L90" s="16"/>
      <c r="M90" s="12"/>
      <c r="N90" s="12"/>
      <c r="O90" s="12"/>
      <c r="P90" s="12"/>
      <c r="Q90" s="12"/>
      <c r="R90" s="12"/>
      <c r="S90" s="12"/>
      <c r="T90" s="12"/>
      <c r="U90" s="16"/>
      <c r="V90" s="16"/>
      <c r="W90" s="12"/>
      <c r="X90" s="16"/>
      <c r="Y90" s="41"/>
      <c r="Z90" s="41"/>
    </row>
    <row r="91" spans="1:26" ht="15.75" customHeight="1" x14ac:dyDescent="0.2">
      <c r="A91" s="16"/>
      <c r="B91" s="43"/>
      <c r="C91" s="43"/>
      <c r="D91" s="16"/>
      <c r="E91" s="16"/>
      <c r="F91" s="16"/>
      <c r="G91" s="12"/>
      <c r="H91" s="12"/>
      <c r="I91" s="43"/>
      <c r="J91" s="43"/>
      <c r="K91" s="16"/>
      <c r="L91" s="16"/>
      <c r="M91" s="12"/>
      <c r="N91" s="12"/>
      <c r="O91" s="12"/>
      <c r="P91" s="12"/>
      <c r="Q91" s="12"/>
      <c r="R91" s="12"/>
      <c r="S91" s="12"/>
      <c r="T91" s="12"/>
      <c r="U91" s="16"/>
      <c r="V91" s="16"/>
      <c r="W91" s="12"/>
      <c r="X91" s="16"/>
      <c r="Y91" s="41"/>
      <c r="Z91" s="41"/>
    </row>
    <row r="92" spans="1:26" ht="15.75" customHeight="1" x14ac:dyDescent="0.2">
      <c r="A92" s="16"/>
      <c r="B92" s="43"/>
      <c r="C92" s="43"/>
      <c r="D92" s="16"/>
      <c r="E92" s="16"/>
      <c r="F92" s="16"/>
      <c r="G92" s="12"/>
      <c r="H92" s="12"/>
      <c r="I92" s="43"/>
      <c r="J92" s="43"/>
      <c r="K92" s="16"/>
      <c r="L92" s="16"/>
      <c r="M92" s="12"/>
      <c r="N92" s="12"/>
      <c r="O92" s="12"/>
      <c r="P92" s="12"/>
      <c r="Q92" s="12"/>
      <c r="R92" s="12"/>
      <c r="S92" s="12"/>
      <c r="T92" s="12"/>
      <c r="U92" s="16"/>
      <c r="V92" s="16"/>
      <c r="W92" s="12"/>
      <c r="X92" s="16"/>
      <c r="Y92" s="41"/>
      <c r="Z92" s="41"/>
    </row>
    <row r="93" spans="1:26" ht="15.75" customHeight="1" x14ac:dyDescent="0.2">
      <c r="A93" s="16"/>
      <c r="B93" s="43"/>
      <c r="C93" s="43"/>
      <c r="D93" s="16"/>
      <c r="E93" s="16"/>
      <c r="F93" s="16"/>
      <c r="G93" s="12"/>
      <c r="H93" s="12"/>
      <c r="I93" s="43"/>
      <c r="J93" s="43"/>
      <c r="K93" s="16"/>
      <c r="L93" s="16"/>
      <c r="M93" s="12"/>
      <c r="N93" s="12"/>
      <c r="O93" s="12"/>
      <c r="P93" s="12"/>
      <c r="Q93" s="12"/>
      <c r="R93" s="12"/>
      <c r="S93" s="12"/>
      <c r="T93" s="12"/>
      <c r="U93" s="16"/>
      <c r="V93" s="16"/>
      <c r="W93" s="12"/>
      <c r="X93" s="16"/>
      <c r="Y93" s="41"/>
      <c r="Z93" s="41"/>
    </row>
    <row r="94" spans="1:26" ht="15.75" customHeight="1" x14ac:dyDescent="0.2">
      <c r="A94" s="16"/>
      <c r="B94" s="43"/>
      <c r="C94" s="43"/>
      <c r="D94" s="16"/>
      <c r="E94" s="16"/>
      <c r="F94" s="16"/>
      <c r="G94" s="12"/>
      <c r="H94" s="12"/>
      <c r="I94" s="43"/>
      <c r="J94" s="43"/>
      <c r="K94" s="16"/>
      <c r="L94" s="16"/>
      <c r="M94" s="12"/>
      <c r="N94" s="12"/>
      <c r="O94" s="12"/>
      <c r="P94" s="12"/>
      <c r="Q94" s="12"/>
      <c r="R94" s="12"/>
      <c r="S94" s="12"/>
      <c r="T94" s="12"/>
      <c r="U94" s="16"/>
      <c r="V94" s="16"/>
      <c r="W94" s="12"/>
      <c r="X94" s="16"/>
      <c r="Y94" s="41"/>
      <c r="Z94" s="41"/>
    </row>
    <row r="95" spans="1:26" ht="15.75" customHeight="1" x14ac:dyDescent="0.2">
      <c r="A95" s="16"/>
      <c r="B95" s="43"/>
      <c r="C95" s="43"/>
      <c r="D95" s="16"/>
      <c r="E95" s="16"/>
      <c r="F95" s="16"/>
      <c r="G95" s="12"/>
      <c r="H95" s="12"/>
      <c r="I95" s="43"/>
      <c r="J95" s="43"/>
      <c r="K95" s="16"/>
      <c r="L95" s="16"/>
      <c r="M95" s="12"/>
      <c r="N95" s="12"/>
      <c r="O95" s="12"/>
      <c r="P95" s="12"/>
      <c r="Q95" s="12"/>
      <c r="R95" s="12"/>
      <c r="S95" s="12"/>
      <c r="T95" s="12"/>
      <c r="U95" s="16"/>
      <c r="V95" s="16"/>
      <c r="W95" s="12"/>
      <c r="X95" s="16"/>
      <c r="Y95" s="41"/>
      <c r="Z95" s="41"/>
    </row>
    <row r="96" spans="1:26" ht="15.75" customHeight="1" x14ac:dyDescent="0.2">
      <c r="A96" s="16"/>
      <c r="B96" s="43"/>
      <c r="C96" s="43"/>
      <c r="D96" s="16"/>
      <c r="E96" s="16"/>
      <c r="F96" s="16"/>
      <c r="G96" s="12"/>
      <c r="H96" s="12"/>
      <c r="I96" s="43"/>
      <c r="J96" s="43"/>
      <c r="K96" s="16"/>
      <c r="L96" s="16"/>
      <c r="M96" s="12"/>
      <c r="N96" s="12"/>
      <c r="O96" s="12"/>
      <c r="P96" s="12"/>
      <c r="Q96" s="12"/>
      <c r="R96" s="12"/>
      <c r="S96" s="12"/>
      <c r="T96" s="12"/>
      <c r="U96" s="16"/>
      <c r="V96" s="16"/>
      <c r="W96" s="12"/>
      <c r="X96" s="16"/>
      <c r="Y96" s="41"/>
      <c r="Z96" s="41"/>
    </row>
    <row r="97" spans="1:26" ht="15.75" customHeight="1" x14ac:dyDescent="0.2">
      <c r="A97" s="16"/>
      <c r="B97" s="43"/>
      <c r="C97" s="43"/>
      <c r="D97" s="16"/>
      <c r="E97" s="16"/>
      <c r="F97" s="16"/>
      <c r="G97" s="12"/>
      <c r="H97" s="12"/>
      <c r="I97" s="43"/>
      <c r="J97" s="43"/>
      <c r="K97" s="16"/>
      <c r="L97" s="16"/>
      <c r="M97" s="12"/>
      <c r="N97" s="12"/>
      <c r="O97" s="12"/>
      <c r="P97" s="12"/>
      <c r="Q97" s="12"/>
      <c r="R97" s="12"/>
      <c r="S97" s="12"/>
      <c r="T97" s="12"/>
      <c r="U97" s="16"/>
      <c r="V97" s="16"/>
      <c r="W97" s="12"/>
      <c r="X97" s="16"/>
      <c r="Y97" s="41"/>
      <c r="Z97" s="41"/>
    </row>
    <row r="98" spans="1:26" ht="15.75" customHeight="1" x14ac:dyDescent="0.2">
      <c r="A98" s="16"/>
      <c r="B98" s="43"/>
      <c r="C98" s="43"/>
      <c r="D98" s="16"/>
      <c r="E98" s="16"/>
      <c r="F98" s="16"/>
      <c r="G98" s="12"/>
      <c r="H98" s="12"/>
      <c r="I98" s="43"/>
      <c r="J98" s="43"/>
      <c r="K98" s="16"/>
      <c r="L98" s="16"/>
      <c r="M98" s="12"/>
      <c r="N98" s="12"/>
      <c r="O98" s="12"/>
      <c r="P98" s="12"/>
      <c r="Q98" s="12"/>
      <c r="R98" s="12"/>
      <c r="S98" s="12"/>
      <c r="T98" s="12"/>
      <c r="U98" s="16"/>
      <c r="V98" s="16"/>
      <c r="W98" s="12"/>
      <c r="X98" s="16"/>
      <c r="Y98" s="41"/>
      <c r="Z98" s="41"/>
    </row>
    <row r="99" spans="1:26" ht="15.75" customHeight="1" x14ac:dyDescent="0.2">
      <c r="A99" s="16"/>
      <c r="B99" s="43"/>
      <c r="C99" s="43"/>
      <c r="D99" s="16"/>
      <c r="E99" s="16"/>
      <c r="F99" s="16"/>
      <c r="G99" s="12"/>
      <c r="H99" s="12"/>
      <c r="I99" s="43"/>
      <c r="J99" s="43"/>
      <c r="K99" s="16"/>
      <c r="L99" s="16"/>
      <c r="M99" s="12"/>
      <c r="N99" s="12"/>
      <c r="O99" s="12"/>
      <c r="P99" s="12"/>
      <c r="Q99" s="12"/>
      <c r="R99" s="12"/>
      <c r="S99" s="12"/>
      <c r="T99" s="12"/>
      <c r="U99" s="16"/>
      <c r="V99" s="16"/>
      <c r="W99" s="12"/>
      <c r="X99" s="16"/>
      <c r="Y99" s="41"/>
      <c r="Z99" s="41"/>
    </row>
    <row r="100" spans="1:26" ht="15.75" customHeight="1" x14ac:dyDescent="0.2">
      <c r="A100" s="16"/>
      <c r="B100" s="43"/>
      <c r="C100" s="43"/>
      <c r="D100" s="16"/>
      <c r="E100" s="16"/>
      <c r="F100" s="16"/>
      <c r="G100" s="12"/>
      <c r="H100" s="12"/>
      <c r="I100" s="43"/>
      <c r="J100" s="43"/>
      <c r="K100" s="16"/>
      <c r="L100" s="16"/>
      <c r="M100" s="12"/>
      <c r="N100" s="12"/>
      <c r="O100" s="12"/>
      <c r="P100" s="12"/>
      <c r="Q100" s="12"/>
      <c r="R100" s="12"/>
      <c r="S100" s="12"/>
      <c r="T100" s="12"/>
      <c r="U100" s="16"/>
      <c r="V100" s="16"/>
      <c r="W100" s="12"/>
      <c r="X100" s="16"/>
      <c r="Y100" s="41"/>
      <c r="Z100" s="41"/>
    </row>
    <row r="101" spans="1:26" ht="15.75" customHeight="1" x14ac:dyDescent="0.2">
      <c r="A101" s="16"/>
      <c r="B101" s="43"/>
      <c r="C101" s="43"/>
      <c r="D101" s="16"/>
      <c r="E101" s="16"/>
      <c r="F101" s="16"/>
      <c r="G101" s="12"/>
      <c r="H101" s="12"/>
      <c r="I101" s="43"/>
      <c r="J101" s="43"/>
      <c r="K101" s="16"/>
      <c r="L101" s="16"/>
      <c r="M101" s="12"/>
      <c r="N101" s="12"/>
      <c r="O101" s="12"/>
      <c r="P101" s="12"/>
      <c r="Q101" s="12"/>
      <c r="R101" s="12"/>
      <c r="S101" s="12"/>
      <c r="T101" s="12"/>
      <c r="U101" s="16"/>
      <c r="V101" s="16"/>
      <c r="W101" s="12"/>
      <c r="X101" s="16"/>
      <c r="Y101" s="41"/>
      <c r="Z101" s="41"/>
    </row>
    <row r="102" spans="1:26" ht="15.75" customHeight="1" x14ac:dyDescent="0.2">
      <c r="A102" s="16"/>
      <c r="B102" s="43"/>
      <c r="C102" s="43"/>
      <c r="D102" s="16"/>
      <c r="E102" s="16"/>
      <c r="F102" s="16"/>
      <c r="G102" s="12"/>
      <c r="H102" s="12"/>
      <c r="I102" s="43"/>
      <c r="J102" s="43"/>
      <c r="K102" s="16"/>
      <c r="L102" s="16"/>
      <c r="M102" s="12"/>
      <c r="N102" s="12"/>
      <c r="O102" s="12"/>
      <c r="P102" s="12"/>
      <c r="Q102" s="12"/>
      <c r="R102" s="12"/>
      <c r="S102" s="12"/>
      <c r="T102" s="12"/>
      <c r="U102" s="16"/>
      <c r="V102" s="16"/>
      <c r="W102" s="12"/>
      <c r="X102" s="16"/>
      <c r="Y102" s="41"/>
      <c r="Z102" s="41"/>
    </row>
    <row r="103" spans="1:26" ht="15.75" customHeight="1" x14ac:dyDescent="0.2">
      <c r="A103" s="16"/>
      <c r="B103" s="43"/>
      <c r="C103" s="43"/>
      <c r="D103" s="16"/>
      <c r="E103" s="16"/>
      <c r="F103" s="16"/>
      <c r="G103" s="12"/>
      <c r="H103" s="12"/>
      <c r="I103" s="43"/>
      <c r="J103" s="43"/>
      <c r="K103" s="16"/>
      <c r="L103" s="16"/>
      <c r="M103" s="12"/>
      <c r="N103" s="12"/>
      <c r="O103" s="12"/>
      <c r="P103" s="12"/>
      <c r="Q103" s="12"/>
      <c r="R103" s="12"/>
      <c r="S103" s="12"/>
      <c r="T103" s="12"/>
      <c r="U103" s="16"/>
      <c r="V103" s="16"/>
      <c r="W103" s="12"/>
      <c r="X103" s="16"/>
      <c r="Y103" s="41"/>
      <c r="Z103" s="41"/>
    </row>
    <row r="104" spans="1:26" ht="15.75" customHeight="1" x14ac:dyDescent="0.2">
      <c r="A104" s="16"/>
      <c r="B104" s="43"/>
      <c r="C104" s="43"/>
      <c r="D104" s="16"/>
      <c r="E104" s="16"/>
      <c r="F104" s="16"/>
      <c r="G104" s="12"/>
      <c r="H104" s="12"/>
      <c r="I104" s="43"/>
      <c r="J104" s="43"/>
      <c r="K104" s="16"/>
      <c r="L104" s="16"/>
      <c r="M104" s="12"/>
      <c r="N104" s="12"/>
      <c r="O104" s="12"/>
      <c r="P104" s="12"/>
      <c r="Q104" s="12"/>
      <c r="R104" s="12"/>
      <c r="S104" s="12"/>
      <c r="T104" s="12"/>
      <c r="U104" s="16"/>
      <c r="V104" s="16"/>
      <c r="W104" s="12"/>
      <c r="X104" s="16"/>
      <c r="Y104" s="41"/>
      <c r="Z104" s="41"/>
    </row>
    <row r="105" spans="1:26" ht="15.75" customHeight="1" x14ac:dyDescent="0.2">
      <c r="A105" s="16"/>
      <c r="B105" s="43"/>
      <c r="C105" s="43"/>
      <c r="D105" s="16"/>
      <c r="E105" s="16"/>
      <c r="F105" s="16"/>
      <c r="G105" s="12"/>
      <c r="H105" s="12"/>
      <c r="I105" s="43"/>
      <c r="J105" s="43"/>
      <c r="K105" s="16"/>
      <c r="L105" s="16"/>
      <c r="M105" s="12"/>
      <c r="N105" s="12"/>
      <c r="O105" s="12"/>
      <c r="P105" s="12"/>
      <c r="Q105" s="12"/>
      <c r="R105" s="12"/>
      <c r="S105" s="12"/>
      <c r="T105" s="12"/>
      <c r="U105" s="16"/>
      <c r="V105" s="16"/>
      <c r="W105" s="12"/>
      <c r="X105" s="16"/>
      <c r="Y105" s="41"/>
      <c r="Z105" s="41"/>
    </row>
    <row r="106" spans="1:26" ht="15.75" customHeight="1" x14ac:dyDescent="0.2">
      <c r="A106" s="16"/>
      <c r="B106" s="43"/>
      <c r="C106" s="43"/>
      <c r="D106" s="16"/>
      <c r="E106" s="16"/>
      <c r="F106" s="16"/>
      <c r="G106" s="12"/>
      <c r="H106" s="12"/>
      <c r="I106" s="43"/>
      <c r="J106" s="43"/>
      <c r="K106" s="16"/>
      <c r="L106" s="16"/>
      <c r="M106" s="12"/>
      <c r="N106" s="12"/>
      <c r="O106" s="12"/>
      <c r="P106" s="12"/>
      <c r="Q106" s="12"/>
      <c r="R106" s="12"/>
      <c r="S106" s="12"/>
      <c r="T106" s="12"/>
      <c r="U106" s="16"/>
      <c r="V106" s="16"/>
      <c r="W106" s="12"/>
      <c r="X106" s="16"/>
      <c r="Y106" s="41"/>
      <c r="Z106" s="41"/>
    </row>
    <row r="107" spans="1:26" ht="15.75" customHeight="1" x14ac:dyDescent="0.2">
      <c r="A107" s="16"/>
      <c r="B107" s="43"/>
      <c r="C107" s="43"/>
      <c r="D107" s="16"/>
      <c r="E107" s="16"/>
      <c r="F107" s="16"/>
      <c r="G107" s="12"/>
      <c r="H107" s="12"/>
      <c r="I107" s="43"/>
      <c r="J107" s="43"/>
      <c r="K107" s="16"/>
      <c r="L107" s="16"/>
      <c r="M107" s="12"/>
      <c r="N107" s="12"/>
      <c r="O107" s="12"/>
      <c r="P107" s="12"/>
      <c r="Q107" s="12"/>
      <c r="R107" s="12"/>
      <c r="S107" s="12"/>
      <c r="T107" s="12"/>
      <c r="U107" s="16"/>
      <c r="V107" s="16"/>
      <c r="W107" s="12"/>
      <c r="X107" s="16"/>
      <c r="Y107" s="41"/>
      <c r="Z107" s="41"/>
    </row>
    <row r="108" spans="1:26" ht="15.75" customHeight="1" x14ac:dyDescent="0.2">
      <c r="A108" s="16"/>
      <c r="B108" s="43"/>
      <c r="C108" s="43"/>
      <c r="D108" s="16"/>
      <c r="E108" s="16"/>
      <c r="F108" s="16"/>
      <c r="G108" s="12"/>
      <c r="H108" s="12"/>
      <c r="I108" s="43"/>
      <c r="J108" s="43"/>
      <c r="K108" s="16"/>
      <c r="L108" s="16"/>
      <c r="M108" s="12"/>
      <c r="N108" s="12"/>
      <c r="O108" s="12"/>
      <c r="P108" s="12"/>
      <c r="Q108" s="12"/>
      <c r="R108" s="12"/>
      <c r="S108" s="12"/>
      <c r="T108" s="12"/>
      <c r="U108" s="16"/>
      <c r="V108" s="16"/>
      <c r="W108" s="12"/>
      <c r="X108" s="16"/>
      <c r="Y108" s="41"/>
      <c r="Z108" s="41"/>
    </row>
    <row r="109" spans="1:26" ht="15.75" customHeight="1" x14ac:dyDescent="0.2">
      <c r="A109" s="16"/>
      <c r="B109" s="43"/>
      <c r="C109" s="43"/>
      <c r="D109" s="16"/>
      <c r="E109" s="16"/>
      <c r="F109" s="16"/>
      <c r="G109" s="12"/>
      <c r="H109" s="12"/>
      <c r="I109" s="43"/>
      <c r="J109" s="43"/>
      <c r="K109" s="16"/>
      <c r="L109" s="16"/>
      <c r="M109" s="12"/>
      <c r="N109" s="12"/>
      <c r="O109" s="12"/>
      <c r="P109" s="12"/>
      <c r="Q109" s="12"/>
      <c r="R109" s="12"/>
      <c r="S109" s="12"/>
      <c r="T109" s="12"/>
      <c r="U109" s="16"/>
      <c r="V109" s="16"/>
      <c r="W109" s="12"/>
      <c r="X109" s="16"/>
      <c r="Y109" s="41"/>
      <c r="Z109" s="41"/>
    </row>
    <row r="110" spans="1:26" ht="15.75" customHeight="1" x14ac:dyDescent="0.2">
      <c r="A110" s="16"/>
      <c r="B110" s="43"/>
      <c r="C110" s="43"/>
      <c r="D110" s="16"/>
      <c r="E110" s="16"/>
      <c r="F110" s="16"/>
      <c r="G110" s="12"/>
      <c r="H110" s="12"/>
      <c r="I110" s="43"/>
      <c r="J110" s="43"/>
      <c r="K110" s="16"/>
      <c r="L110" s="16"/>
      <c r="M110" s="12"/>
      <c r="N110" s="12"/>
      <c r="O110" s="12"/>
      <c r="P110" s="12"/>
      <c r="Q110" s="12"/>
      <c r="R110" s="12"/>
      <c r="S110" s="12"/>
      <c r="T110" s="12"/>
      <c r="U110" s="16"/>
      <c r="V110" s="16"/>
      <c r="W110" s="12"/>
      <c r="X110" s="16"/>
      <c r="Y110" s="41"/>
      <c r="Z110" s="41"/>
    </row>
    <row r="111" spans="1:26" ht="15.75" customHeight="1" x14ac:dyDescent="0.2">
      <c r="A111" s="16"/>
      <c r="B111" s="43"/>
      <c r="C111" s="43"/>
      <c r="D111" s="16"/>
      <c r="E111" s="16"/>
      <c r="F111" s="16"/>
      <c r="G111" s="12"/>
      <c r="H111" s="12"/>
      <c r="I111" s="43"/>
      <c r="J111" s="43"/>
      <c r="K111" s="16"/>
      <c r="L111" s="16"/>
      <c r="M111" s="12"/>
      <c r="N111" s="12"/>
      <c r="O111" s="12"/>
      <c r="P111" s="12"/>
      <c r="Q111" s="12"/>
      <c r="R111" s="12"/>
      <c r="S111" s="12"/>
      <c r="T111" s="12"/>
      <c r="U111" s="16"/>
      <c r="V111" s="16"/>
      <c r="W111" s="12"/>
      <c r="X111" s="16"/>
      <c r="Y111" s="41"/>
      <c r="Z111" s="41"/>
    </row>
    <row r="112" spans="1:26" ht="15.75" customHeight="1" x14ac:dyDescent="0.2">
      <c r="A112" s="16"/>
      <c r="B112" s="43"/>
      <c r="C112" s="43"/>
      <c r="D112" s="16"/>
      <c r="E112" s="16"/>
      <c r="F112" s="16"/>
      <c r="G112" s="12"/>
      <c r="H112" s="12"/>
      <c r="I112" s="43"/>
      <c r="J112" s="43"/>
      <c r="K112" s="16"/>
      <c r="L112" s="16"/>
      <c r="M112" s="12"/>
      <c r="N112" s="12"/>
      <c r="O112" s="12"/>
      <c r="P112" s="12"/>
      <c r="Q112" s="12"/>
      <c r="R112" s="12"/>
      <c r="S112" s="12"/>
      <c r="T112" s="12"/>
      <c r="U112" s="16"/>
      <c r="V112" s="16"/>
      <c r="W112" s="12"/>
      <c r="X112" s="16"/>
      <c r="Y112" s="41"/>
      <c r="Z112" s="41"/>
    </row>
    <row r="113" spans="1:26" ht="15.75" customHeight="1" x14ac:dyDescent="0.2">
      <c r="A113" s="16"/>
      <c r="B113" s="43"/>
      <c r="C113" s="43"/>
      <c r="D113" s="16"/>
      <c r="E113" s="16"/>
      <c r="F113" s="16"/>
      <c r="G113" s="12"/>
      <c r="H113" s="12"/>
      <c r="I113" s="43"/>
      <c r="J113" s="43"/>
      <c r="K113" s="16"/>
      <c r="L113" s="16"/>
      <c r="M113" s="12"/>
      <c r="N113" s="12"/>
      <c r="O113" s="12"/>
      <c r="P113" s="12"/>
      <c r="Q113" s="12"/>
      <c r="R113" s="12"/>
      <c r="S113" s="12"/>
      <c r="T113" s="12"/>
      <c r="U113" s="16"/>
      <c r="V113" s="16"/>
      <c r="W113" s="12"/>
      <c r="X113" s="16"/>
      <c r="Y113" s="41"/>
      <c r="Z113" s="41"/>
    </row>
    <row r="114" spans="1:26" ht="15.75" customHeight="1" x14ac:dyDescent="0.2">
      <c r="A114" s="16"/>
      <c r="B114" s="43"/>
      <c r="C114" s="43"/>
      <c r="D114" s="16"/>
      <c r="E114" s="16"/>
      <c r="F114" s="16"/>
      <c r="G114" s="12"/>
      <c r="H114" s="12"/>
      <c r="I114" s="43"/>
      <c r="J114" s="43"/>
      <c r="K114" s="16"/>
      <c r="L114" s="16"/>
      <c r="M114" s="12"/>
      <c r="N114" s="12"/>
      <c r="O114" s="12"/>
      <c r="P114" s="12"/>
      <c r="Q114" s="12"/>
      <c r="R114" s="12"/>
      <c r="S114" s="12"/>
      <c r="T114" s="12"/>
      <c r="U114" s="16"/>
      <c r="V114" s="16"/>
      <c r="W114" s="12"/>
      <c r="X114" s="16"/>
      <c r="Y114" s="41"/>
      <c r="Z114" s="41"/>
    </row>
    <row r="115" spans="1:26" ht="15.75" customHeight="1" x14ac:dyDescent="0.2">
      <c r="A115" s="16"/>
      <c r="B115" s="43"/>
      <c r="C115" s="43"/>
      <c r="D115" s="16"/>
      <c r="E115" s="16"/>
      <c r="F115" s="16"/>
      <c r="G115" s="12"/>
      <c r="H115" s="12"/>
      <c r="I115" s="43"/>
      <c r="J115" s="43"/>
      <c r="K115" s="16"/>
      <c r="L115" s="16"/>
      <c r="M115" s="12"/>
      <c r="N115" s="12"/>
      <c r="O115" s="12"/>
      <c r="P115" s="12"/>
      <c r="Q115" s="12"/>
      <c r="R115" s="12"/>
      <c r="S115" s="12"/>
      <c r="T115" s="12"/>
      <c r="U115" s="16"/>
      <c r="V115" s="16"/>
      <c r="W115" s="12"/>
      <c r="X115" s="16"/>
      <c r="Y115" s="41"/>
      <c r="Z115" s="41"/>
    </row>
    <row r="116" spans="1:26" ht="15.75" customHeight="1" x14ac:dyDescent="0.2">
      <c r="A116" s="16"/>
      <c r="B116" s="43"/>
      <c r="C116" s="43"/>
      <c r="D116" s="16"/>
      <c r="E116" s="16"/>
      <c r="F116" s="16"/>
      <c r="G116" s="12"/>
      <c r="H116" s="12"/>
      <c r="I116" s="43"/>
      <c r="J116" s="43"/>
      <c r="K116" s="16"/>
      <c r="L116" s="16"/>
      <c r="M116" s="12"/>
      <c r="N116" s="12"/>
      <c r="O116" s="12"/>
      <c r="P116" s="12"/>
      <c r="Q116" s="12"/>
      <c r="R116" s="12"/>
      <c r="S116" s="12"/>
      <c r="T116" s="12"/>
      <c r="U116" s="16"/>
      <c r="V116" s="16"/>
      <c r="W116" s="12"/>
      <c r="X116" s="16"/>
      <c r="Y116" s="41"/>
      <c r="Z116" s="41"/>
    </row>
    <row r="117" spans="1:26" ht="15.75" customHeight="1" x14ac:dyDescent="0.2">
      <c r="A117" s="16"/>
      <c r="B117" s="43"/>
      <c r="C117" s="43"/>
      <c r="D117" s="16"/>
      <c r="E117" s="16"/>
      <c r="F117" s="16"/>
      <c r="G117" s="12"/>
      <c r="H117" s="12"/>
      <c r="I117" s="43"/>
      <c r="J117" s="43"/>
      <c r="K117" s="16"/>
      <c r="L117" s="16"/>
      <c r="M117" s="12"/>
      <c r="N117" s="12"/>
      <c r="O117" s="12"/>
      <c r="P117" s="12"/>
      <c r="Q117" s="12"/>
      <c r="R117" s="12"/>
      <c r="S117" s="12"/>
      <c r="T117" s="12"/>
      <c r="U117" s="16"/>
      <c r="V117" s="16"/>
      <c r="W117" s="12"/>
      <c r="X117" s="16"/>
      <c r="Y117" s="41"/>
      <c r="Z117" s="41"/>
    </row>
    <row r="118" spans="1:26" ht="15.75" customHeight="1" x14ac:dyDescent="0.2">
      <c r="A118" s="16"/>
      <c r="B118" s="43"/>
      <c r="C118" s="43"/>
      <c r="D118" s="16"/>
      <c r="E118" s="16"/>
      <c r="F118" s="16"/>
      <c r="G118" s="12"/>
      <c r="H118" s="12"/>
      <c r="I118" s="43"/>
      <c r="J118" s="43"/>
      <c r="K118" s="16"/>
      <c r="L118" s="16"/>
      <c r="M118" s="12"/>
      <c r="N118" s="12"/>
      <c r="O118" s="12"/>
      <c r="P118" s="12"/>
      <c r="Q118" s="12"/>
      <c r="R118" s="12"/>
      <c r="S118" s="12"/>
      <c r="T118" s="12"/>
      <c r="U118" s="16"/>
      <c r="V118" s="16"/>
      <c r="W118" s="12"/>
      <c r="X118" s="16"/>
      <c r="Y118" s="41"/>
      <c r="Z118" s="41"/>
    </row>
    <row r="119" spans="1:26" ht="15.75" customHeight="1" x14ac:dyDescent="0.2">
      <c r="A119" s="16"/>
      <c r="B119" s="43"/>
      <c r="C119" s="43"/>
      <c r="D119" s="16"/>
      <c r="E119" s="16"/>
      <c r="F119" s="16"/>
      <c r="G119" s="12"/>
      <c r="H119" s="12"/>
      <c r="I119" s="43"/>
      <c r="J119" s="43"/>
      <c r="K119" s="16"/>
      <c r="L119" s="16"/>
      <c r="M119" s="12"/>
      <c r="N119" s="12"/>
      <c r="O119" s="12"/>
      <c r="P119" s="12"/>
      <c r="Q119" s="12"/>
      <c r="R119" s="12"/>
      <c r="S119" s="12"/>
      <c r="T119" s="12"/>
      <c r="U119" s="16"/>
      <c r="V119" s="16"/>
      <c r="W119" s="12"/>
      <c r="X119" s="16"/>
      <c r="Y119" s="41"/>
      <c r="Z119" s="41"/>
    </row>
    <row r="120" spans="1:26" ht="15.75" customHeight="1" x14ac:dyDescent="0.2">
      <c r="A120" s="16"/>
      <c r="B120" s="43"/>
      <c r="C120" s="43"/>
      <c r="D120" s="16"/>
      <c r="E120" s="16"/>
      <c r="F120" s="16"/>
      <c r="G120" s="12"/>
      <c r="H120" s="12"/>
      <c r="I120" s="43"/>
      <c r="J120" s="43"/>
      <c r="K120" s="16"/>
      <c r="L120" s="16"/>
      <c r="M120" s="12"/>
      <c r="N120" s="12"/>
      <c r="O120" s="12"/>
      <c r="P120" s="12"/>
      <c r="Q120" s="12"/>
      <c r="R120" s="12"/>
      <c r="S120" s="12"/>
      <c r="T120" s="12"/>
      <c r="U120" s="16"/>
      <c r="V120" s="16"/>
      <c r="W120" s="12"/>
      <c r="X120" s="16"/>
      <c r="Y120" s="41"/>
      <c r="Z120" s="41"/>
    </row>
    <row r="121" spans="1:26" ht="15.75" customHeight="1" x14ac:dyDescent="0.2">
      <c r="A121" s="16"/>
      <c r="B121" s="43"/>
      <c r="C121" s="43"/>
      <c r="D121" s="16"/>
      <c r="E121" s="16"/>
      <c r="F121" s="16"/>
      <c r="G121" s="12"/>
      <c r="H121" s="12"/>
      <c r="I121" s="43"/>
      <c r="J121" s="43"/>
      <c r="K121" s="16"/>
      <c r="L121" s="16"/>
      <c r="M121" s="12"/>
      <c r="N121" s="12"/>
      <c r="O121" s="12"/>
      <c r="P121" s="12"/>
      <c r="Q121" s="12"/>
      <c r="R121" s="12"/>
      <c r="S121" s="12"/>
      <c r="T121" s="12"/>
      <c r="U121" s="16"/>
      <c r="V121" s="16"/>
      <c r="W121" s="12"/>
      <c r="X121" s="16"/>
      <c r="Y121" s="41"/>
      <c r="Z121" s="41"/>
    </row>
    <row r="122" spans="1:26" ht="15.75" customHeight="1" x14ac:dyDescent="0.2">
      <c r="A122" s="16"/>
      <c r="B122" s="43"/>
      <c r="C122" s="43"/>
      <c r="D122" s="16"/>
      <c r="E122" s="16"/>
      <c r="F122" s="16"/>
      <c r="G122" s="12"/>
      <c r="H122" s="12"/>
      <c r="I122" s="43"/>
      <c r="J122" s="43"/>
      <c r="K122" s="16"/>
      <c r="L122" s="16"/>
      <c r="M122" s="12"/>
      <c r="N122" s="12"/>
      <c r="O122" s="12"/>
      <c r="P122" s="12"/>
      <c r="Q122" s="12"/>
      <c r="R122" s="12"/>
      <c r="S122" s="12"/>
      <c r="T122" s="12"/>
      <c r="U122" s="16"/>
      <c r="V122" s="16"/>
      <c r="W122" s="12"/>
      <c r="X122" s="16"/>
      <c r="Y122" s="41"/>
      <c r="Z122" s="41"/>
    </row>
    <row r="123" spans="1:26" ht="15.75" customHeight="1" x14ac:dyDescent="0.2">
      <c r="A123" s="16"/>
      <c r="B123" s="43"/>
      <c r="C123" s="43"/>
      <c r="D123" s="16"/>
      <c r="E123" s="16"/>
      <c r="F123" s="16"/>
      <c r="G123" s="12"/>
      <c r="H123" s="12"/>
      <c r="I123" s="43"/>
      <c r="J123" s="43"/>
      <c r="K123" s="16"/>
      <c r="L123" s="16"/>
      <c r="M123" s="12"/>
      <c r="N123" s="12"/>
      <c r="O123" s="12"/>
      <c r="P123" s="12"/>
      <c r="Q123" s="12"/>
      <c r="R123" s="12"/>
      <c r="S123" s="12"/>
      <c r="T123" s="12"/>
      <c r="U123" s="16"/>
      <c r="V123" s="16"/>
      <c r="W123" s="12"/>
      <c r="X123" s="16"/>
      <c r="Y123" s="41"/>
      <c r="Z123" s="41"/>
    </row>
    <row r="124" spans="1:26" ht="15.75" customHeight="1" x14ac:dyDescent="0.2">
      <c r="A124" s="16"/>
      <c r="B124" s="43"/>
      <c r="C124" s="43"/>
      <c r="D124" s="16"/>
      <c r="E124" s="16"/>
      <c r="F124" s="16"/>
      <c r="G124" s="12"/>
      <c r="H124" s="12"/>
      <c r="I124" s="43"/>
      <c r="J124" s="43"/>
      <c r="K124" s="16"/>
      <c r="L124" s="16"/>
      <c r="M124" s="12"/>
      <c r="N124" s="12"/>
      <c r="O124" s="12"/>
      <c r="P124" s="12"/>
      <c r="Q124" s="12"/>
      <c r="R124" s="12"/>
      <c r="S124" s="12"/>
      <c r="T124" s="12"/>
      <c r="U124" s="16"/>
      <c r="V124" s="16"/>
      <c r="W124" s="12"/>
      <c r="X124" s="16"/>
      <c r="Y124" s="41"/>
      <c r="Z124" s="41"/>
    </row>
    <row r="125" spans="1:26" ht="15.75" customHeight="1" x14ac:dyDescent="0.2">
      <c r="A125" s="16"/>
      <c r="B125" s="43"/>
      <c r="C125" s="43"/>
      <c r="D125" s="16"/>
      <c r="E125" s="16"/>
      <c r="F125" s="16"/>
      <c r="G125" s="12"/>
      <c r="H125" s="12"/>
      <c r="I125" s="43"/>
      <c r="J125" s="43"/>
      <c r="K125" s="16"/>
      <c r="L125" s="16"/>
      <c r="M125" s="12"/>
      <c r="N125" s="12"/>
      <c r="O125" s="12"/>
      <c r="P125" s="12"/>
      <c r="Q125" s="12"/>
      <c r="R125" s="12"/>
      <c r="S125" s="12"/>
      <c r="T125" s="12"/>
      <c r="U125" s="16"/>
      <c r="V125" s="16"/>
      <c r="W125" s="12"/>
      <c r="X125" s="16"/>
      <c r="Y125" s="41"/>
      <c r="Z125" s="41"/>
    </row>
    <row r="126" spans="1:26" ht="15.75" customHeight="1" x14ac:dyDescent="0.2">
      <c r="A126" s="16"/>
      <c r="B126" s="43"/>
      <c r="C126" s="43"/>
      <c r="D126" s="16"/>
      <c r="E126" s="16"/>
      <c r="F126" s="16"/>
      <c r="G126" s="12"/>
      <c r="H126" s="12"/>
      <c r="I126" s="43"/>
      <c r="J126" s="43"/>
      <c r="K126" s="16"/>
      <c r="L126" s="16"/>
      <c r="M126" s="12"/>
      <c r="N126" s="12"/>
      <c r="O126" s="12"/>
      <c r="P126" s="12"/>
      <c r="Q126" s="12"/>
      <c r="R126" s="12"/>
      <c r="S126" s="12"/>
      <c r="T126" s="12"/>
      <c r="U126" s="16"/>
      <c r="V126" s="16"/>
      <c r="W126" s="12"/>
      <c r="X126" s="16"/>
      <c r="Y126" s="41"/>
      <c r="Z126" s="41"/>
    </row>
    <row r="127" spans="1:26" ht="15.75" customHeight="1" x14ac:dyDescent="0.2">
      <c r="A127" s="16"/>
      <c r="B127" s="43"/>
      <c r="C127" s="43"/>
      <c r="D127" s="16"/>
      <c r="E127" s="16"/>
      <c r="F127" s="16"/>
      <c r="G127" s="12"/>
      <c r="H127" s="12"/>
      <c r="I127" s="43"/>
      <c r="J127" s="43"/>
      <c r="K127" s="16"/>
      <c r="L127" s="16"/>
      <c r="M127" s="12"/>
      <c r="N127" s="12"/>
      <c r="O127" s="12"/>
      <c r="P127" s="12"/>
      <c r="Q127" s="12"/>
      <c r="R127" s="12"/>
      <c r="S127" s="12"/>
      <c r="T127" s="12"/>
      <c r="U127" s="16"/>
      <c r="V127" s="16"/>
      <c r="W127" s="12"/>
      <c r="X127" s="16"/>
      <c r="Y127" s="41"/>
      <c r="Z127" s="41"/>
    </row>
    <row r="128" spans="1:26" ht="15.75" customHeight="1" x14ac:dyDescent="0.2">
      <c r="A128" s="16"/>
      <c r="B128" s="43"/>
      <c r="C128" s="43"/>
      <c r="D128" s="16"/>
      <c r="E128" s="16"/>
      <c r="F128" s="16"/>
      <c r="G128" s="12"/>
      <c r="H128" s="12"/>
      <c r="I128" s="43"/>
      <c r="J128" s="43"/>
      <c r="K128" s="16"/>
      <c r="L128" s="16"/>
      <c r="M128" s="12"/>
      <c r="N128" s="12"/>
      <c r="O128" s="12"/>
      <c r="P128" s="12"/>
      <c r="Q128" s="12"/>
      <c r="R128" s="12"/>
      <c r="S128" s="12"/>
      <c r="T128" s="12"/>
      <c r="U128" s="16"/>
      <c r="V128" s="16"/>
      <c r="W128" s="12"/>
      <c r="X128" s="16"/>
      <c r="Y128" s="41"/>
      <c r="Z128" s="41"/>
    </row>
    <row r="129" spans="1:26" ht="15.75" customHeight="1" x14ac:dyDescent="0.2">
      <c r="A129" s="16"/>
      <c r="B129" s="43"/>
      <c r="C129" s="43"/>
      <c r="D129" s="16"/>
      <c r="E129" s="16"/>
      <c r="F129" s="16"/>
      <c r="G129" s="12"/>
      <c r="H129" s="12"/>
      <c r="I129" s="43"/>
      <c r="J129" s="43"/>
      <c r="K129" s="16"/>
      <c r="L129" s="16"/>
      <c r="M129" s="12"/>
      <c r="N129" s="12"/>
      <c r="O129" s="12"/>
      <c r="P129" s="12"/>
      <c r="Q129" s="12"/>
      <c r="R129" s="12"/>
      <c r="S129" s="12"/>
      <c r="T129" s="12"/>
      <c r="U129" s="16"/>
      <c r="V129" s="16"/>
      <c r="W129" s="12"/>
      <c r="X129" s="16"/>
      <c r="Y129" s="41"/>
      <c r="Z129" s="41"/>
    </row>
    <row r="130" spans="1:26" ht="15.75" customHeight="1" x14ac:dyDescent="0.2">
      <c r="A130" s="16"/>
      <c r="B130" s="43"/>
      <c r="C130" s="43"/>
      <c r="D130" s="16"/>
      <c r="E130" s="16"/>
      <c r="F130" s="16"/>
      <c r="G130" s="12"/>
      <c r="H130" s="12"/>
      <c r="I130" s="43"/>
      <c r="J130" s="43"/>
      <c r="K130" s="16"/>
      <c r="L130" s="16"/>
      <c r="M130" s="12"/>
      <c r="N130" s="12"/>
      <c r="O130" s="12"/>
      <c r="P130" s="12"/>
      <c r="Q130" s="12"/>
      <c r="R130" s="12"/>
      <c r="S130" s="12"/>
      <c r="T130" s="12"/>
      <c r="U130" s="16"/>
      <c r="V130" s="16"/>
      <c r="W130" s="12"/>
      <c r="X130" s="16"/>
      <c r="Y130" s="41"/>
      <c r="Z130" s="41"/>
    </row>
    <row r="131" spans="1:26" ht="15.75" customHeight="1" x14ac:dyDescent="0.2">
      <c r="A131" s="16"/>
      <c r="B131" s="43"/>
      <c r="C131" s="43"/>
      <c r="D131" s="16"/>
      <c r="E131" s="16"/>
      <c r="F131" s="16"/>
      <c r="G131" s="12"/>
      <c r="H131" s="12"/>
      <c r="I131" s="43"/>
      <c r="J131" s="43"/>
      <c r="K131" s="16"/>
      <c r="L131" s="16"/>
      <c r="M131" s="12"/>
      <c r="N131" s="12"/>
      <c r="O131" s="12"/>
      <c r="P131" s="12"/>
      <c r="Q131" s="12"/>
      <c r="R131" s="12"/>
      <c r="S131" s="12"/>
      <c r="T131" s="12"/>
      <c r="U131" s="16"/>
      <c r="V131" s="16"/>
      <c r="W131" s="12"/>
      <c r="X131" s="16"/>
      <c r="Y131" s="41"/>
      <c r="Z131" s="41"/>
    </row>
    <row r="132" spans="1:26" ht="15.75" customHeight="1" x14ac:dyDescent="0.2">
      <c r="A132" s="16"/>
      <c r="B132" s="43"/>
      <c r="C132" s="43"/>
      <c r="D132" s="16"/>
      <c r="E132" s="16"/>
      <c r="F132" s="16"/>
      <c r="G132" s="12"/>
      <c r="H132" s="12"/>
      <c r="I132" s="43"/>
      <c r="J132" s="43"/>
      <c r="K132" s="16"/>
      <c r="L132" s="16"/>
      <c r="M132" s="12"/>
      <c r="N132" s="12"/>
      <c r="O132" s="12"/>
      <c r="P132" s="12"/>
      <c r="Q132" s="12"/>
      <c r="R132" s="12"/>
      <c r="S132" s="12"/>
      <c r="T132" s="12"/>
      <c r="U132" s="16"/>
      <c r="V132" s="16"/>
      <c r="W132" s="12"/>
      <c r="X132" s="16"/>
      <c r="Y132" s="41"/>
      <c r="Z132" s="41"/>
    </row>
    <row r="133" spans="1:26" ht="15.75" customHeight="1" x14ac:dyDescent="0.2">
      <c r="A133" s="16"/>
      <c r="B133" s="43"/>
      <c r="C133" s="43"/>
      <c r="D133" s="16"/>
      <c r="E133" s="16"/>
      <c r="F133" s="16"/>
      <c r="G133" s="12"/>
      <c r="H133" s="12"/>
      <c r="I133" s="43"/>
      <c r="J133" s="43"/>
      <c r="K133" s="16"/>
      <c r="L133" s="16"/>
      <c r="M133" s="12"/>
      <c r="N133" s="12"/>
      <c r="O133" s="12"/>
      <c r="P133" s="12"/>
      <c r="Q133" s="12"/>
      <c r="R133" s="12"/>
      <c r="S133" s="12"/>
      <c r="T133" s="12"/>
      <c r="U133" s="16"/>
      <c r="V133" s="16"/>
      <c r="W133" s="12"/>
      <c r="X133" s="16"/>
      <c r="Y133" s="41"/>
      <c r="Z133" s="41"/>
    </row>
    <row r="134" spans="1:26" ht="15.75" customHeight="1" x14ac:dyDescent="0.2">
      <c r="A134" s="16"/>
      <c r="B134" s="43"/>
      <c r="C134" s="43"/>
      <c r="D134" s="16"/>
      <c r="E134" s="16"/>
      <c r="F134" s="16"/>
      <c r="G134" s="12"/>
      <c r="H134" s="12"/>
      <c r="I134" s="43"/>
      <c r="J134" s="43"/>
      <c r="K134" s="16"/>
      <c r="L134" s="16"/>
      <c r="M134" s="12"/>
      <c r="N134" s="12"/>
      <c r="O134" s="12"/>
      <c r="P134" s="12"/>
      <c r="Q134" s="12"/>
      <c r="R134" s="12"/>
      <c r="S134" s="12"/>
      <c r="T134" s="12"/>
      <c r="U134" s="16"/>
      <c r="V134" s="16"/>
      <c r="W134" s="12"/>
      <c r="X134" s="16"/>
      <c r="Y134" s="41"/>
      <c r="Z134" s="41"/>
    </row>
    <row r="135" spans="1:26" ht="15.75" customHeight="1" x14ac:dyDescent="0.2">
      <c r="A135" s="16"/>
      <c r="B135" s="43"/>
      <c r="C135" s="43"/>
      <c r="D135" s="16"/>
      <c r="E135" s="16"/>
      <c r="F135" s="16"/>
      <c r="G135" s="12"/>
      <c r="H135" s="12"/>
      <c r="I135" s="43"/>
      <c r="J135" s="43"/>
      <c r="K135" s="16"/>
      <c r="L135" s="16"/>
      <c r="M135" s="12"/>
      <c r="N135" s="12"/>
      <c r="O135" s="12"/>
      <c r="P135" s="12"/>
      <c r="Q135" s="12"/>
      <c r="R135" s="12"/>
      <c r="S135" s="12"/>
      <c r="T135" s="12"/>
      <c r="U135" s="16"/>
      <c r="V135" s="16"/>
      <c r="W135" s="12"/>
      <c r="X135" s="16"/>
      <c r="Y135" s="41"/>
      <c r="Z135" s="41"/>
    </row>
    <row r="136" spans="1:26" ht="15.75" customHeight="1" x14ac:dyDescent="0.2">
      <c r="A136" s="16"/>
      <c r="B136" s="43"/>
      <c r="C136" s="43"/>
      <c r="D136" s="16"/>
      <c r="E136" s="16"/>
      <c r="F136" s="16"/>
      <c r="G136" s="12"/>
      <c r="H136" s="12"/>
      <c r="I136" s="43"/>
      <c r="J136" s="43"/>
      <c r="K136" s="16"/>
      <c r="L136" s="16"/>
      <c r="M136" s="12"/>
      <c r="N136" s="12"/>
      <c r="O136" s="12"/>
      <c r="P136" s="12"/>
      <c r="Q136" s="12"/>
      <c r="R136" s="12"/>
      <c r="S136" s="12"/>
      <c r="T136" s="12"/>
      <c r="U136" s="16"/>
      <c r="V136" s="16"/>
      <c r="W136" s="12"/>
      <c r="X136" s="16"/>
      <c r="Y136" s="41"/>
      <c r="Z136" s="41"/>
    </row>
    <row r="137" spans="1:26" ht="15.75" customHeight="1" x14ac:dyDescent="0.2">
      <c r="A137" s="16"/>
      <c r="B137" s="43"/>
      <c r="C137" s="43"/>
      <c r="D137" s="16"/>
      <c r="E137" s="16"/>
      <c r="F137" s="16"/>
      <c r="G137" s="12"/>
      <c r="H137" s="12"/>
      <c r="I137" s="43"/>
      <c r="J137" s="43"/>
      <c r="K137" s="16"/>
      <c r="L137" s="16"/>
      <c r="M137" s="12"/>
      <c r="N137" s="12"/>
      <c r="O137" s="12"/>
      <c r="P137" s="12"/>
      <c r="Q137" s="12"/>
      <c r="R137" s="12"/>
      <c r="S137" s="12"/>
      <c r="T137" s="12"/>
      <c r="U137" s="16"/>
      <c r="V137" s="16"/>
      <c r="W137" s="12"/>
      <c r="X137" s="16"/>
      <c r="Y137" s="41"/>
      <c r="Z137" s="41"/>
    </row>
    <row r="138" spans="1:26" ht="15.75" customHeight="1" x14ac:dyDescent="0.2">
      <c r="A138" s="16"/>
      <c r="B138" s="43"/>
      <c r="C138" s="43"/>
      <c r="D138" s="16"/>
      <c r="E138" s="16"/>
      <c r="F138" s="16"/>
      <c r="G138" s="12"/>
      <c r="H138" s="12"/>
      <c r="I138" s="43"/>
      <c r="J138" s="43"/>
      <c r="K138" s="16"/>
      <c r="L138" s="16"/>
      <c r="M138" s="12"/>
      <c r="N138" s="12"/>
      <c r="O138" s="12"/>
      <c r="P138" s="12"/>
      <c r="Q138" s="12"/>
      <c r="R138" s="12"/>
      <c r="S138" s="12"/>
      <c r="T138" s="12"/>
      <c r="U138" s="16"/>
      <c r="V138" s="16"/>
      <c r="W138" s="12"/>
      <c r="X138" s="16"/>
      <c r="Y138" s="41"/>
      <c r="Z138" s="41"/>
    </row>
    <row r="139" spans="1:26" ht="15.75" customHeight="1" x14ac:dyDescent="0.2">
      <c r="A139" s="16"/>
      <c r="B139" s="43"/>
      <c r="C139" s="43"/>
      <c r="D139" s="16"/>
      <c r="E139" s="16"/>
      <c r="F139" s="16"/>
      <c r="G139" s="12"/>
      <c r="H139" s="12"/>
      <c r="I139" s="43"/>
      <c r="J139" s="43"/>
      <c r="K139" s="16"/>
      <c r="L139" s="16"/>
      <c r="M139" s="12"/>
      <c r="N139" s="12"/>
      <c r="O139" s="12"/>
      <c r="P139" s="12"/>
      <c r="Q139" s="12"/>
      <c r="R139" s="12"/>
      <c r="S139" s="12"/>
      <c r="T139" s="12"/>
      <c r="U139" s="16"/>
      <c r="V139" s="16"/>
      <c r="W139" s="12"/>
      <c r="X139" s="16"/>
      <c r="Y139" s="41"/>
      <c r="Z139" s="41"/>
    </row>
    <row r="140" spans="1:26" ht="15.75" customHeight="1" x14ac:dyDescent="0.2">
      <c r="A140" s="16"/>
      <c r="B140" s="43"/>
      <c r="C140" s="43"/>
      <c r="D140" s="16"/>
      <c r="E140" s="16"/>
      <c r="F140" s="16"/>
      <c r="G140" s="12"/>
      <c r="H140" s="12"/>
      <c r="I140" s="43"/>
      <c r="J140" s="43"/>
      <c r="K140" s="16"/>
      <c r="L140" s="16"/>
      <c r="M140" s="12"/>
      <c r="N140" s="12"/>
      <c r="O140" s="12"/>
      <c r="P140" s="12"/>
      <c r="Q140" s="12"/>
      <c r="R140" s="12"/>
      <c r="S140" s="12"/>
      <c r="T140" s="12"/>
      <c r="U140" s="16"/>
      <c r="V140" s="16"/>
      <c r="W140" s="12"/>
      <c r="X140" s="16"/>
      <c r="Y140" s="41"/>
      <c r="Z140" s="41"/>
    </row>
    <row r="141" spans="1:26" ht="15.75" customHeight="1" x14ac:dyDescent="0.2">
      <c r="A141" s="16"/>
      <c r="B141" s="43"/>
      <c r="C141" s="43"/>
      <c r="D141" s="16"/>
      <c r="E141" s="16"/>
      <c r="F141" s="16"/>
      <c r="G141" s="12"/>
      <c r="H141" s="12"/>
      <c r="I141" s="43"/>
      <c r="J141" s="43"/>
      <c r="K141" s="16"/>
      <c r="L141" s="16"/>
      <c r="M141" s="12"/>
      <c r="N141" s="12"/>
      <c r="O141" s="12"/>
      <c r="P141" s="12"/>
      <c r="Q141" s="12"/>
      <c r="R141" s="12"/>
      <c r="S141" s="12"/>
      <c r="T141" s="12"/>
      <c r="U141" s="16"/>
      <c r="V141" s="16"/>
      <c r="W141" s="12"/>
      <c r="X141" s="16"/>
      <c r="Y141" s="41"/>
      <c r="Z141" s="41"/>
    </row>
    <row r="142" spans="1:26" ht="15.75" customHeight="1" x14ac:dyDescent="0.2">
      <c r="A142" s="16"/>
      <c r="B142" s="43"/>
      <c r="C142" s="43"/>
      <c r="D142" s="16"/>
      <c r="E142" s="16"/>
      <c r="F142" s="16"/>
      <c r="G142" s="12"/>
      <c r="H142" s="12"/>
      <c r="I142" s="43"/>
      <c r="J142" s="43"/>
      <c r="K142" s="16"/>
      <c r="L142" s="16"/>
      <c r="M142" s="12"/>
      <c r="N142" s="12"/>
      <c r="O142" s="12"/>
      <c r="P142" s="12"/>
      <c r="Q142" s="12"/>
      <c r="R142" s="12"/>
      <c r="S142" s="12"/>
      <c r="T142" s="12"/>
      <c r="U142" s="16"/>
      <c r="V142" s="16"/>
      <c r="W142" s="12"/>
      <c r="X142" s="16"/>
      <c r="Y142" s="41"/>
      <c r="Z142" s="41"/>
    </row>
    <row r="143" spans="1:26" ht="15.75" customHeight="1" x14ac:dyDescent="0.2">
      <c r="A143" s="16"/>
      <c r="B143" s="43"/>
      <c r="C143" s="43"/>
      <c r="D143" s="16"/>
      <c r="E143" s="16"/>
      <c r="F143" s="16"/>
      <c r="G143" s="12"/>
      <c r="H143" s="12"/>
      <c r="I143" s="43"/>
      <c r="J143" s="43"/>
      <c r="K143" s="16"/>
      <c r="L143" s="16"/>
      <c r="M143" s="12"/>
      <c r="N143" s="12"/>
      <c r="O143" s="12"/>
      <c r="P143" s="12"/>
      <c r="Q143" s="12"/>
      <c r="R143" s="12"/>
      <c r="S143" s="12"/>
      <c r="T143" s="12"/>
      <c r="U143" s="16"/>
      <c r="V143" s="16"/>
      <c r="W143" s="12"/>
      <c r="X143" s="16"/>
      <c r="Y143" s="41"/>
      <c r="Z143" s="41"/>
    </row>
    <row r="144" spans="1:26" ht="15.75" customHeight="1" x14ac:dyDescent="0.2">
      <c r="A144" s="16"/>
      <c r="B144" s="43"/>
      <c r="C144" s="43"/>
      <c r="D144" s="16"/>
      <c r="E144" s="16"/>
      <c r="F144" s="16"/>
      <c r="G144" s="12"/>
      <c r="H144" s="12"/>
      <c r="I144" s="43"/>
      <c r="J144" s="43"/>
      <c r="K144" s="16"/>
      <c r="L144" s="16"/>
      <c r="M144" s="12"/>
      <c r="N144" s="12"/>
      <c r="O144" s="12"/>
      <c r="P144" s="12"/>
      <c r="Q144" s="12"/>
      <c r="R144" s="12"/>
      <c r="S144" s="12"/>
      <c r="T144" s="12"/>
      <c r="U144" s="16"/>
      <c r="V144" s="16"/>
      <c r="W144" s="12"/>
      <c r="X144" s="16"/>
      <c r="Y144" s="41"/>
      <c r="Z144" s="41"/>
    </row>
    <row r="145" spans="1:26" ht="15.75" customHeight="1" x14ac:dyDescent="0.2">
      <c r="A145" s="16"/>
      <c r="B145" s="43"/>
      <c r="C145" s="43"/>
      <c r="D145" s="16"/>
      <c r="E145" s="16"/>
      <c r="F145" s="16"/>
      <c r="G145" s="12"/>
      <c r="H145" s="12"/>
      <c r="I145" s="43"/>
      <c r="J145" s="43"/>
      <c r="K145" s="16"/>
      <c r="L145" s="16"/>
      <c r="M145" s="12"/>
      <c r="N145" s="12"/>
      <c r="O145" s="12"/>
      <c r="P145" s="12"/>
      <c r="Q145" s="12"/>
      <c r="R145" s="12"/>
      <c r="S145" s="12"/>
      <c r="T145" s="12"/>
      <c r="U145" s="16"/>
      <c r="V145" s="16"/>
      <c r="W145" s="12"/>
      <c r="X145" s="16"/>
      <c r="Y145" s="41"/>
      <c r="Z145" s="41"/>
    </row>
    <row r="146" spans="1:26" ht="15.75" customHeight="1" x14ac:dyDescent="0.2">
      <c r="A146" s="16"/>
      <c r="B146" s="43"/>
      <c r="C146" s="43"/>
      <c r="D146" s="16"/>
      <c r="E146" s="16"/>
      <c r="F146" s="16"/>
      <c r="G146" s="12"/>
      <c r="H146" s="12"/>
      <c r="I146" s="43"/>
      <c r="J146" s="43"/>
      <c r="K146" s="16"/>
      <c r="L146" s="16"/>
      <c r="M146" s="12"/>
      <c r="N146" s="12"/>
      <c r="O146" s="12"/>
      <c r="P146" s="12"/>
      <c r="Q146" s="12"/>
      <c r="R146" s="12"/>
      <c r="S146" s="12"/>
      <c r="T146" s="12"/>
      <c r="U146" s="16"/>
      <c r="V146" s="16"/>
      <c r="W146" s="12"/>
      <c r="X146" s="16"/>
      <c r="Y146" s="41"/>
      <c r="Z146" s="41"/>
    </row>
    <row r="147" spans="1:26" ht="15.75" customHeight="1" x14ac:dyDescent="0.2">
      <c r="A147" s="16"/>
      <c r="B147" s="43"/>
      <c r="C147" s="43"/>
      <c r="D147" s="16"/>
      <c r="E147" s="16"/>
      <c r="F147" s="16"/>
      <c r="G147" s="12"/>
      <c r="H147" s="12"/>
      <c r="I147" s="43"/>
      <c r="J147" s="43"/>
      <c r="K147" s="16"/>
      <c r="L147" s="16"/>
      <c r="M147" s="12"/>
      <c r="N147" s="12"/>
      <c r="O147" s="12"/>
      <c r="P147" s="12"/>
      <c r="Q147" s="12"/>
      <c r="R147" s="12"/>
      <c r="S147" s="12"/>
      <c r="T147" s="12"/>
      <c r="U147" s="16"/>
      <c r="V147" s="16"/>
      <c r="W147" s="12"/>
      <c r="X147" s="16"/>
      <c r="Y147" s="41"/>
      <c r="Z147" s="41"/>
    </row>
    <row r="148" spans="1:26" ht="15.75" customHeight="1" x14ac:dyDescent="0.2">
      <c r="A148" s="16"/>
      <c r="B148" s="43"/>
      <c r="C148" s="43"/>
      <c r="D148" s="16"/>
      <c r="E148" s="16"/>
      <c r="F148" s="16"/>
      <c r="G148" s="12"/>
      <c r="H148" s="12"/>
      <c r="I148" s="43"/>
      <c r="J148" s="43"/>
      <c r="K148" s="16"/>
      <c r="L148" s="16"/>
      <c r="M148" s="12"/>
      <c r="N148" s="12"/>
      <c r="O148" s="12"/>
      <c r="P148" s="12"/>
      <c r="Q148" s="12"/>
      <c r="R148" s="12"/>
      <c r="S148" s="12"/>
      <c r="T148" s="12"/>
      <c r="U148" s="16"/>
      <c r="V148" s="16"/>
      <c r="W148" s="12"/>
      <c r="X148" s="16"/>
      <c r="Y148" s="41"/>
      <c r="Z148" s="41"/>
    </row>
    <row r="149" spans="1:26" ht="15.75" customHeight="1" x14ac:dyDescent="0.2">
      <c r="A149" s="16"/>
      <c r="B149" s="43"/>
      <c r="C149" s="43"/>
      <c r="D149" s="16"/>
      <c r="E149" s="16"/>
      <c r="F149" s="16"/>
      <c r="G149" s="12"/>
      <c r="H149" s="12"/>
      <c r="I149" s="43"/>
      <c r="J149" s="43"/>
      <c r="K149" s="16"/>
      <c r="L149" s="16"/>
      <c r="M149" s="12"/>
      <c r="N149" s="12"/>
      <c r="O149" s="12"/>
      <c r="P149" s="12"/>
      <c r="Q149" s="12"/>
      <c r="R149" s="12"/>
      <c r="S149" s="12"/>
      <c r="T149" s="12"/>
      <c r="U149" s="16"/>
      <c r="V149" s="16"/>
      <c r="W149" s="12"/>
      <c r="X149" s="16"/>
      <c r="Y149" s="41"/>
      <c r="Z149" s="41"/>
    </row>
    <row r="150" spans="1:26" ht="15.75" customHeight="1" x14ac:dyDescent="0.2">
      <c r="A150" s="16"/>
      <c r="B150" s="43"/>
      <c r="C150" s="43"/>
      <c r="D150" s="16"/>
      <c r="E150" s="16"/>
      <c r="F150" s="16"/>
      <c r="G150" s="12"/>
      <c r="H150" s="12"/>
      <c r="I150" s="43"/>
      <c r="J150" s="43"/>
      <c r="K150" s="16"/>
      <c r="L150" s="16"/>
      <c r="M150" s="12"/>
      <c r="N150" s="12"/>
      <c r="O150" s="12"/>
      <c r="P150" s="12"/>
      <c r="Q150" s="12"/>
      <c r="R150" s="12"/>
      <c r="S150" s="12"/>
      <c r="T150" s="12"/>
      <c r="U150" s="16"/>
      <c r="V150" s="16"/>
      <c r="W150" s="12"/>
      <c r="X150" s="16"/>
      <c r="Y150" s="41"/>
      <c r="Z150" s="41"/>
    </row>
    <row r="151" spans="1:26" ht="15.75" customHeight="1" x14ac:dyDescent="0.2">
      <c r="A151" s="16"/>
      <c r="B151" s="43"/>
      <c r="C151" s="43"/>
      <c r="D151" s="16"/>
      <c r="E151" s="16"/>
      <c r="F151" s="16"/>
      <c r="G151" s="12"/>
      <c r="H151" s="12"/>
      <c r="I151" s="43"/>
      <c r="J151" s="43"/>
      <c r="K151" s="16"/>
      <c r="L151" s="16"/>
      <c r="M151" s="12"/>
      <c r="N151" s="12"/>
      <c r="O151" s="12"/>
      <c r="P151" s="12"/>
      <c r="Q151" s="12"/>
      <c r="R151" s="12"/>
      <c r="S151" s="12"/>
      <c r="T151" s="12"/>
      <c r="U151" s="16"/>
      <c r="V151" s="16"/>
      <c r="W151" s="12"/>
      <c r="X151" s="16"/>
      <c r="Y151" s="41"/>
      <c r="Z151" s="41"/>
    </row>
    <row r="152" spans="1:26" ht="15.75" customHeight="1" x14ac:dyDescent="0.2">
      <c r="A152" s="16"/>
      <c r="B152" s="43"/>
      <c r="C152" s="43"/>
      <c r="D152" s="16"/>
      <c r="E152" s="16"/>
      <c r="F152" s="16"/>
      <c r="G152" s="12"/>
      <c r="H152" s="12"/>
      <c r="I152" s="43"/>
      <c r="J152" s="43"/>
      <c r="K152" s="16"/>
      <c r="L152" s="16"/>
      <c r="M152" s="12"/>
      <c r="N152" s="12"/>
      <c r="O152" s="12"/>
      <c r="P152" s="12"/>
      <c r="Q152" s="12"/>
      <c r="R152" s="12"/>
      <c r="S152" s="12"/>
      <c r="T152" s="12"/>
      <c r="U152" s="16"/>
      <c r="V152" s="16"/>
      <c r="W152" s="12"/>
      <c r="X152" s="16"/>
      <c r="Y152" s="41"/>
      <c r="Z152" s="41"/>
    </row>
    <row r="153" spans="1:26" ht="15.75" customHeight="1" x14ac:dyDescent="0.2">
      <c r="A153" s="16"/>
      <c r="B153" s="43"/>
      <c r="C153" s="43"/>
      <c r="D153" s="16"/>
      <c r="E153" s="16"/>
      <c r="F153" s="16"/>
      <c r="G153" s="12"/>
      <c r="H153" s="12"/>
      <c r="I153" s="43"/>
      <c r="J153" s="43"/>
      <c r="K153" s="16"/>
      <c r="L153" s="16"/>
      <c r="M153" s="12"/>
      <c r="N153" s="12"/>
      <c r="O153" s="12"/>
      <c r="P153" s="12"/>
      <c r="Q153" s="12"/>
      <c r="R153" s="12"/>
      <c r="S153" s="12"/>
      <c r="T153" s="12"/>
      <c r="U153" s="16"/>
      <c r="V153" s="16"/>
      <c r="W153" s="12"/>
      <c r="X153" s="16"/>
      <c r="Y153" s="41"/>
      <c r="Z153" s="41"/>
    </row>
    <row r="154" spans="1:26" ht="15.75" customHeight="1" x14ac:dyDescent="0.2">
      <c r="A154" s="16"/>
      <c r="B154" s="43"/>
      <c r="C154" s="43"/>
      <c r="D154" s="16"/>
      <c r="E154" s="16"/>
      <c r="F154" s="16"/>
      <c r="G154" s="12"/>
      <c r="H154" s="12"/>
      <c r="I154" s="43"/>
      <c r="J154" s="43"/>
      <c r="K154" s="16"/>
      <c r="L154" s="16"/>
      <c r="M154" s="12"/>
      <c r="N154" s="12"/>
      <c r="O154" s="12"/>
      <c r="P154" s="12"/>
      <c r="Q154" s="12"/>
      <c r="R154" s="12"/>
      <c r="S154" s="12"/>
      <c r="T154" s="12"/>
      <c r="U154" s="16"/>
      <c r="V154" s="16"/>
      <c r="W154" s="12"/>
      <c r="X154" s="16"/>
      <c r="Y154" s="41"/>
      <c r="Z154" s="41"/>
    </row>
    <row r="155" spans="1:26" ht="15.75" customHeight="1" x14ac:dyDescent="0.2">
      <c r="A155" s="16"/>
      <c r="B155" s="43"/>
      <c r="C155" s="43"/>
      <c r="D155" s="16"/>
      <c r="E155" s="16"/>
      <c r="F155" s="16"/>
      <c r="G155" s="12"/>
      <c r="H155" s="12"/>
      <c r="I155" s="43"/>
      <c r="J155" s="43"/>
      <c r="K155" s="16"/>
      <c r="L155" s="16"/>
      <c r="M155" s="12"/>
      <c r="N155" s="12"/>
      <c r="O155" s="12"/>
      <c r="P155" s="12"/>
      <c r="Q155" s="12"/>
      <c r="R155" s="12"/>
      <c r="S155" s="12"/>
      <c r="T155" s="12"/>
      <c r="U155" s="16"/>
      <c r="V155" s="16"/>
      <c r="W155" s="12"/>
      <c r="X155" s="16"/>
      <c r="Y155" s="41"/>
      <c r="Z155" s="41"/>
    </row>
    <row r="156" spans="1:26" ht="15.75" customHeight="1" x14ac:dyDescent="0.2">
      <c r="A156" s="16"/>
      <c r="B156" s="43"/>
      <c r="C156" s="43"/>
      <c r="D156" s="16"/>
      <c r="E156" s="16"/>
      <c r="F156" s="16"/>
      <c r="G156" s="12"/>
      <c r="H156" s="12"/>
      <c r="I156" s="43"/>
      <c r="J156" s="43"/>
      <c r="K156" s="16"/>
      <c r="L156" s="16"/>
      <c r="M156" s="12"/>
      <c r="N156" s="12"/>
      <c r="O156" s="12"/>
      <c r="P156" s="12"/>
      <c r="Q156" s="12"/>
      <c r="R156" s="12"/>
      <c r="S156" s="12"/>
      <c r="T156" s="12"/>
      <c r="U156" s="16"/>
      <c r="V156" s="16"/>
      <c r="W156" s="12"/>
      <c r="X156" s="16"/>
      <c r="Y156" s="41"/>
      <c r="Z156" s="41"/>
    </row>
    <row r="157" spans="1:26" ht="15.75" customHeight="1" x14ac:dyDescent="0.2">
      <c r="A157" s="16"/>
      <c r="B157" s="43"/>
      <c r="C157" s="43"/>
      <c r="D157" s="16"/>
      <c r="E157" s="16"/>
      <c r="F157" s="16"/>
      <c r="G157" s="12"/>
      <c r="H157" s="12"/>
      <c r="I157" s="43"/>
      <c r="J157" s="43"/>
      <c r="K157" s="16"/>
      <c r="L157" s="16"/>
      <c r="M157" s="12"/>
      <c r="N157" s="12"/>
      <c r="O157" s="12"/>
      <c r="P157" s="12"/>
      <c r="Q157" s="12"/>
      <c r="R157" s="12"/>
      <c r="S157" s="12"/>
      <c r="T157" s="12"/>
      <c r="U157" s="16"/>
      <c r="V157" s="16"/>
      <c r="W157" s="12"/>
      <c r="X157" s="16"/>
      <c r="Y157" s="41"/>
      <c r="Z157" s="41"/>
    </row>
    <row r="158" spans="1:26" ht="15.75" customHeight="1" x14ac:dyDescent="0.2">
      <c r="A158" s="16"/>
      <c r="B158" s="43"/>
      <c r="C158" s="43"/>
      <c r="D158" s="16"/>
      <c r="E158" s="16"/>
      <c r="F158" s="16"/>
      <c r="G158" s="12"/>
      <c r="H158" s="12"/>
      <c r="I158" s="43"/>
      <c r="J158" s="43"/>
      <c r="K158" s="16"/>
      <c r="L158" s="16"/>
      <c r="M158" s="12"/>
      <c r="N158" s="12"/>
      <c r="O158" s="12"/>
      <c r="P158" s="12"/>
      <c r="Q158" s="12"/>
      <c r="R158" s="12"/>
      <c r="S158" s="12"/>
      <c r="T158" s="12"/>
      <c r="U158" s="16"/>
      <c r="V158" s="16"/>
      <c r="W158" s="12"/>
      <c r="X158" s="16"/>
      <c r="Y158" s="41"/>
      <c r="Z158" s="41"/>
    </row>
    <row r="159" spans="1:26" ht="15.75" customHeight="1" x14ac:dyDescent="0.2">
      <c r="A159" s="16"/>
      <c r="B159" s="43"/>
      <c r="C159" s="43"/>
      <c r="D159" s="16"/>
      <c r="E159" s="16"/>
      <c r="F159" s="16"/>
      <c r="G159" s="12"/>
      <c r="H159" s="12"/>
      <c r="I159" s="43"/>
      <c r="J159" s="43"/>
      <c r="K159" s="16"/>
      <c r="L159" s="16"/>
      <c r="M159" s="12"/>
      <c r="N159" s="12"/>
      <c r="O159" s="12"/>
      <c r="P159" s="12"/>
      <c r="Q159" s="12"/>
      <c r="R159" s="12"/>
      <c r="S159" s="12"/>
      <c r="T159" s="12"/>
      <c r="U159" s="16"/>
      <c r="V159" s="16"/>
      <c r="W159" s="12"/>
      <c r="X159" s="16"/>
      <c r="Y159" s="41"/>
      <c r="Z159" s="41"/>
    </row>
    <row r="160" spans="1:26" ht="15.75" customHeight="1" x14ac:dyDescent="0.2">
      <c r="A160" s="16"/>
      <c r="B160" s="43"/>
      <c r="C160" s="43"/>
      <c r="D160" s="16"/>
      <c r="E160" s="16"/>
      <c r="F160" s="16"/>
      <c r="G160" s="12"/>
      <c r="H160" s="12"/>
      <c r="I160" s="43"/>
      <c r="J160" s="43"/>
      <c r="K160" s="16"/>
      <c r="L160" s="16"/>
      <c r="M160" s="12"/>
      <c r="N160" s="12"/>
      <c r="O160" s="12"/>
      <c r="P160" s="12"/>
      <c r="Q160" s="12"/>
      <c r="R160" s="12"/>
      <c r="S160" s="12"/>
      <c r="T160" s="12"/>
      <c r="U160" s="16"/>
      <c r="V160" s="16"/>
      <c r="W160" s="12"/>
      <c r="X160" s="16"/>
      <c r="Y160" s="41"/>
      <c r="Z160" s="41"/>
    </row>
    <row r="161" spans="1:26" ht="15.75" customHeight="1" x14ac:dyDescent="0.2">
      <c r="A161" s="16"/>
      <c r="B161" s="43"/>
      <c r="C161" s="43"/>
      <c r="D161" s="16"/>
      <c r="E161" s="16"/>
      <c r="F161" s="16"/>
      <c r="G161" s="12"/>
      <c r="H161" s="12"/>
      <c r="I161" s="43"/>
      <c r="J161" s="43"/>
      <c r="K161" s="16"/>
      <c r="L161" s="16"/>
      <c r="M161" s="12"/>
      <c r="N161" s="12"/>
      <c r="O161" s="12"/>
      <c r="P161" s="12"/>
      <c r="Q161" s="12"/>
      <c r="R161" s="12"/>
      <c r="S161" s="12"/>
      <c r="T161" s="12"/>
      <c r="U161" s="16"/>
      <c r="V161" s="16"/>
      <c r="W161" s="12"/>
      <c r="X161" s="16"/>
      <c r="Y161" s="41"/>
      <c r="Z161" s="41"/>
    </row>
    <row r="162" spans="1:26" ht="15.75" customHeight="1" x14ac:dyDescent="0.2">
      <c r="A162" s="16"/>
      <c r="B162" s="43"/>
      <c r="C162" s="43"/>
      <c r="D162" s="16"/>
      <c r="E162" s="16"/>
      <c r="F162" s="16"/>
      <c r="G162" s="12"/>
      <c r="H162" s="12"/>
      <c r="I162" s="43"/>
      <c r="J162" s="43"/>
      <c r="K162" s="16"/>
      <c r="L162" s="16"/>
      <c r="M162" s="12"/>
      <c r="N162" s="12"/>
      <c r="O162" s="12"/>
      <c r="P162" s="12"/>
      <c r="Q162" s="12"/>
      <c r="R162" s="12"/>
      <c r="S162" s="12"/>
      <c r="T162" s="12"/>
      <c r="U162" s="16"/>
      <c r="V162" s="16"/>
      <c r="W162" s="12"/>
      <c r="X162" s="16"/>
      <c r="Y162" s="41"/>
      <c r="Z162" s="41"/>
    </row>
    <row r="163" spans="1:26" ht="15.75" customHeight="1" x14ac:dyDescent="0.2">
      <c r="A163" s="16"/>
      <c r="B163" s="43"/>
      <c r="C163" s="43"/>
      <c r="D163" s="16"/>
      <c r="E163" s="16"/>
      <c r="F163" s="16"/>
      <c r="G163" s="12"/>
      <c r="H163" s="12"/>
      <c r="I163" s="43"/>
      <c r="J163" s="43"/>
      <c r="K163" s="16"/>
      <c r="L163" s="16"/>
      <c r="M163" s="12"/>
      <c r="N163" s="12"/>
      <c r="O163" s="12"/>
      <c r="P163" s="12"/>
      <c r="Q163" s="12"/>
      <c r="R163" s="12"/>
      <c r="S163" s="12"/>
      <c r="T163" s="12"/>
      <c r="U163" s="16"/>
      <c r="V163" s="16"/>
      <c r="W163" s="12"/>
      <c r="X163" s="16"/>
      <c r="Y163" s="41"/>
      <c r="Z163" s="41"/>
    </row>
    <row r="164" spans="1:26" ht="15.75" customHeight="1" x14ac:dyDescent="0.2">
      <c r="A164" s="16"/>
      <c r="B164" s="43"/>
      <c r="C164" s="43"/>
      <c r="D164" s="16"/>
      <c r="E164" s="16"/>
      <c r="F164" s="16"/>
      <c r="G164" s="12"/>
      <c r="H164" s="12"/>
      <c r="I164" s="43"/>
      <c r="J164" s="43"/>
      <c r="K164" s="16"/>
      <c r="L164" s="16"/>
      <c r="M164" s="12"/>
      <c r="N164" s="12"/>
      <c r="O164" s="12"/>
      <c r="P164" s="12"/>
      <c r="Q164" s="12"/>
      <c r="R164" s="12"/>
      <c r="S164" s="12"/>
      <c r="T164" s="12"/>
      <c r="U164" s="16"/>
      <c r="V164" s="16"/>
      <c r="W164" s="12"/>
      <c r="X164" s="16"/>
      <c r="Y164" s="41"/>
      <c r="Z164" s="41"/>
    </row>
    <row r="165" spans="1:26" ht="15.75" customHeight="1" x14ac:dyDescent="0.2">
      <c r="A165" s="16"/>
      <c r="B165" s="43"/>
      <c r="C165" s="43"/>
      <c r="D165" s="16"/>
      <c r="E165" s="16"/>
      <c r="F165" s="16"/>
      <c r="G165" s="12"/>
      <c r="H165" s="12"/>
      <c r="I165" s="43"/>
      <c r="J165" s="43"/>
      <c r="K165" s="16"/>
      <c r="L165" s="16"/>
      <c r="M165" s="12"/>
      <c r="N165" s="12"/>
      <c r="O165" s="12"/>
      <c r="P165" s="12"/>
      <c r="Q165" s="12"/>
      <c r="R165" s="12"/>
      <c r="S165" s="12"/>
      <c r="T165" s="12"/>
      <c r="U165" s="16"/>
      <c r="V165" s="16"/>
      <c r="W165" s="12"/>
      <c r="X165" s="16"/>
      <c r="Y165" s="41"/>
      <c r="Z165" s="41"/>
    </row>
    <row r="166" spans="1:26" ht="15.75" customHeight="1" x14ac:dyDescent="0.2">
      <c r="A166" s="16"/>
      <c r="B166" s="43"/>
      <c r="C166" s="43"/>
      <c r="D166" s="16"/>
      <c r="E166" s="16"/>
      <c r="F166" s="16"/>
      <c r="G166" s="12"/>
      <c r="H166" s="12"/>
      <c r="I166" s="43"/>
      <c r="J166" s="43"/>
      <c r="K166" s="16"/>
      <c r="L166" s="16"/>
      <c r="M166" s="12"/>
      <c r="N166" s="12"/>
      <c r="O166" s="12"/>
      <c r="P166" s="12"/>
      <c r="Q166" s="12"/>
      <c r="R166" s="12"/>
      <c r="S166" s="12"/>
      <c r="T166" s="12"/>
      <c r="U166" s="16"/>
      <c r="V166" s="16"/>
      <c r="W166" s="12"/>
      <c r="X166" s="16"/>
      <c r="Y166" s="41"/>
      <c r="Z166" s="41"/>
    </row>
    <row r="167" spans="1:26" ht="15.75" customHeight="1" x14ac:dyDescent="0.2">
      <c r="A167" s="16"/>
      <c r="B167" s="43"/>
      <c r="C167" s="43"/>
      <c r="D167" s="16"/>
      <c r="E167" s="16"/>
      <c r="F167" s="16"/>
      <c r="G167" s="12"/>
      <c r="H167" s="12"/>
      <c r="I167" s="43"/>
      <c r="J167" s="43"/>
      <c r="K167" s="16"/>
      <c r="L167" s="16"/>
      <c r="M167" s="12"/>
      <c r="N167" s="12"/>
      <c r="O167" s="12"/>
      <c r="P167" s="12"/>
      <c r="Q167" s="12"/>
      <c r="R167" s="12"/>
      <c r="S167" s="12"/>
      <c r="T167" s="12"/>
      <c r="U167" s="16"/>
      <c r="V167" s="16"/>
      <c r="W167" s="12"/>
      <c r="X167" s="16"/>
      <c r="Y167" s="41"/>
      <c r="Z167" s="41"/>
    </row>
    <row r="168" spans="1:26" ht="15.75" customHeight="1" x14ac:dyDescent="0.2">
      <c r="A168" s="16"/>
      <c r="B168" s="43"/>
      <c r="C168" s="43"/>
      <c r="D168" s="16"/>
      <c r="E168" s="16"/>
      <c r="F168" s="16"/>
      <c r="G168" s="12"/>
      <c r="H168" s="12"/>
      <c r="I168" s="43"/>
      <c r="J168" s="43"/>
      <c r="K168" s="16"/>
      <c r="L168" s="16"/>
      <c r="M168" s="12"/>
      <c r="N168" s="12"/>
      <c r="O168" s="12"/>
      <c r="P168" s="12"/>
      <c r="Q168" s="12"/>
      <c r="R168" s="12"/>
      <c r="S168" s="12"/>
      <c r="T168" s="12"/>
      <c r="U168" s="16"/>
      <c r="V168" s="16"/>
      <c r="W168" s="12"/>
      <c r="X168" s="16"/>
      <c r="Y168" s="41"/>
      <c r="Z168" s="41"/>
    </row>
    <row r="169" spans="1:26" ht="15.75" customHeight="1" x14ac:dyDescent="0.2">
      <c r="A169" s="16"/>
      <c r="B169" s="43"/>
      <c r="C169" s="43"/>
      <c r="D169" s="16"/>
      <c r="E169" s="16"/>
      <c r="F169" s="16"/>
      <c r="G169" s="12"/>
      <c r="H169" s="12"/>
      <c r="I169" s="43"/>
      <c r="J169" s="43"/>
      <c r="K169" s="16"/>
      <c r="L169" s="16"/>
      <c r="M169" s="12"/>
      <c r="N169" s="12"/>
      <c r="O169" s="12"/>
      <c r="P169" s="12"/>
      <c r="Q169" s="12"/>
      <c r="R169" s="12"/>
      <c r="S169" s="12"/>
      <c r="T169" s="12"/>
      <c r="U169" s="16"/>
      <c r="V169" s="16"/>
      <c r="W169" s="12"/>
      <c r="X169" s="16"/>
      <c r="Y169" s="41"/>
      <c r="Z169" s="41"/>
    </row>
    <row r="170" spans="1:26" ht="15.75" customHeight="1" x14ac:dyDescent="0.2">
      <c r="A170" s="16"/>
      <c r="B170" s="43"/>
      <c r="C170" s="43"/>
      <c r="D170" s="16"/>
      <c r="E170" s="16"/>
      <c r="F170" s="16"/>
      <c r="G170" s="12"/>
      <c r="H170" s="12"/>
      <c r="I170" s="43"/>
      <c r="J170" s="43"/>
      <c r="K170" s="16"/>
      <c r="L170" s="16"/>
      <c r="M170" s="12"/>
      <c r="N170" s="12"/>
      <c r="O170" s="12"/>
      <c r="P170" s="12"/>
      <c r="Q170" s="12"/>
      <c r="R170" s="12"/>
      <c r="S170" s="12"/>
      <c r="T170" s="12"/>
      <c r="U170" s="16"/>
      <c r="V170" s="16"/>
      <c r="W170" s="12"/>
      <c r="X170" s="16"/>
      <c r="Y170" s="41"/>
      <c r="Z170" s="41"/>
    </row>
    <row r="171" spans="1:26" ht="15.75" customHeight="1" x14ac:dyDescent="0.2">
      <c r="A171" s="16"/>
      <c r="B171" s="43"/>
      <c r="C171" s="43"/>
      <c r="D171" s="16"/>
      <c r="E171" s="16"/>
      <c r="F171" s="16"/>
      <c r="G171" s="12"/>
      <c r="H171" s="12"/>
      <c r="I171" s="43"/>
      <c r="J171" s="43"/>
      <c r="K171" s="16"/>
      <c r="L171" s="16"/>
      <c r="M171" s="12"/>
      <c r="N171" s="12"/>
      <c r="O171" s="12"/>
      <c r="P171" s="12"/>
      <c r="Q171" s="12"/>
      <c r="R171" s="12"/>
      <c r="S171" s="12"/>
      <c r="T171" s="12"/>
      <c r="U171" s="16"/>
      <c r="V171" s="16"/>
      <c r="W171" s="12"/>
      <c r="X171" s="16"/>
      <c r="Y171" s="41"/>
      <c r="Z171" s="41"/>
    </row>
    <row r="172" spans="1:26" ht="15.75" customHeight="1" x14ac:dyDescent="0.2">
      <c r="A172" s="16"/>
      <c r="B172" s="43"/>
      <c r="C172" s="43"/>
      <c r="D172" s="16"/>
      <c r="E172" s="16"/>
      <c r="F172" s="16"/>
      <c r="G172" s="12"/>
      <c r="H172" s="12"/>
      <c r="I172" s="43"/>
      <c r="J172" s="43"/>
      <c r="K172" s="16"/>
      <c r="L172" s="16"/>
      <c r="M172" s="12"/>
      <c r="N172" s="12"/>
      <c r="O172" s="12"/>
      <c r="P172" s="12"/>
      <c r="Q172" s="12"/>
      <c r="R172" s="12"/>
      <c r="S172" s="12"/>
      <c r="T172" s="12"/>
      <c r="U172" s="16"/>
      <c r="V172" s="16"/>
      <c r="W172" s="12"/>
      <c r="X172" s="16"/>
      <c r="Y172" s="41"/>
      <c r="Z172" s="41"/>
    </row>
    <row r="173" spans="1:26" ht="15.75" customHeight="1" x14ac:dyDescent="0.2">
      <c r="A173" s="16"/>
      <c r="B173" s="43"/>
      <c r="C173" s="43"/>
      <c r="D173" s="16"/>
      <c r="E173" s="16"/>
      <c r="F173" s="16"/>
      <c r="G173" s="12"/>
      <c r="H173" s="12"/>
      <c r="I173" s="43"/>
      <c r="J173" s="43"/>
      <c r="K173" s="16"/>
      <c r="L173" s="16"/>
      <c r="M173" s="12"/>
      <c r="N173" s="12"/>
      <c r="O173" s="12"/>
      <c r="P173" s="12"/>
      <c r="Q173" s="12"/>
      <c r="R173" s="12"/>
      <c r="S173" s="12"/>
      <c r="T173" s="12"/>
      <c r="U173" s="16"/>
      <c r="V173" s="16"/>
      <c r="W173" s="12"/>
      <c r="X173" s="16"/>
      <c r="Y173" s="41"/>
      <c r="Z173" s="41"/>
    </row>
    <row r="174" spans="1:26" ht="15.75" customHeight="1" x14ac:dyDescent="0.2">
      <c r="A174" s="16"/>
      <c r="B174" s="43"/>
      <c r="C174" s="43"/>
      <c r="D174" s="16"/>
      <c r="E174" s="16"/>
      <c r="F174" s="16"/>
      <c r="G174" s="12"/>
      <c r="H174" s="12"/>
      <c r="I174" s="43"/>
      <c r="J174" s="43"/>
      <c r="K174" s="16"/>
      <c r="L174" s="16"/>
      <c r="M174" s="12"/>
      <c r="N174" s="12"/>
      <c r="O174" s="12"/>
      <c r="P174" s="12"/>
      <c r="Q174" s="12"/>
      <c r="R174" s="12"/>
      <c r="S174" s="12"/>
      <c r="T174" s="12"/>
      <c r="U174" s="16"/>
      <c r="V174" s="16"/>
      <c r="W174" s="12"/>
      <c r="X174" s="16"/>
      <c r="Y174" s="41"/>
      <c r="Z174" s="41"/>
    </row>
    <row r="175" spans="1:26" ht="15.75" customHeight="1" x14ac:dyDescent="0.2">
      <c r="A175" s="16"/>
      <c r="B175" s="43"/>
      <c r="C175" s="43"/>
      <c r="D175" s="16"/>
      <c r="E175" s="16"/>
      <c r="F175" s="16"/>
      <c r="G175" s="12"/>
      <c r="H175" s="12"/>
      <c r="I175" s="43"/>
      <c r="J175" s="43"/>
      <c r="K175" s="16"/>
      <c r="L175" s="16"/>
      <c r="M175" s="12"/>
      <c r="N175" s="12"/>
      <c r="O175" s="12"/>
      <c r="P175" s="12"/>
      <c r="Q175" s="12"/>
      <c r="R175" s="12"/>
      <c r="S175" s="12"/>
      <c r="T175" s="12"/>
      <c r="U175" s="16"/>
      <c r="V175" s="16"/>
      <c r="W175" s="12"/>
      <c r="X175" s="16"/>
      <c r="Y175" s="41"/>
      <c r="Z175" s="41"/>
    </row>
    <row r="176" spans="1:26" ht="15.75" customHeight="1" x14ac:dyDescent="0.2">
      <c r="A176" s="16"/>
      <c r="B176" s="43"/>
      <c r="C176" s="43"/>
      <c r="D176" s="16"/>
      <c r="E176" s="16"/>
      <c r="F176" s="16"/>
      <c r="G176" s="12"/>
      <c r="H176" s="12"/>
      <c r="I176" s="43"/>
      <c r="J176" s="43"/>
      <c r="K176" s="16"/>
      <c r="L176" s="16"/>
      <c r="M176" s="12"/>
      <c r="N176" s="12"/>
      <c r="O176" s="12"/>
      <c r="P176" s="12"/>
      <c r="Q176" s="12"/>
      <c r="R176" s="12"/>
      <c r="S176" s="12"/>
      <c r="T176" s="12"/>
      <c r="U176" s="16"/>
      <c r="V176" s="16"/>
      <c r="W176" s="12"/>
      <c r="X176" s="16"/>
      <c r="Y176" s="41"/>
      <c r="Z176" s="41"/>
    </row>
    <row r="177" spans="1:26" ht="15.75" customHeight="1" x14ac:dyDescent="0.2">
      <c r="A177" s="16"/>
      <c r="B177" s="43"/>
      <c r="C177" s="43"/>
      <c r="D177" s="16"/>
      <c r="E177" s="16"/>
      <c r="F177" s="16"/>
      <c r="G177" s="12"/>
      <c r="H177" s="12"/>
      <c r="I177" s="43"/>
      <c r="J177" s="43"/>
      <c r="K177" s="16"/>
      <c r="L177" s="16"/>
      <c r="M177" s="12"/>
      <c r="N177" s="12"/>
      <c r="O177" s="12"/>
      <c r="P177" s="12"/>
      <c r="Q177" s="12"/>
      <c r="R177" s="12"/>
      <c r="S177" s="12"/>
      <c r="T177" s="12"/>
      <c r="U177" s="16"/>
      <c r="V177" s="16"/>
      <c r="W177" s="12"/>
      <c r="X177" s="16"/>
      <c r="Y177" s="41"/>
      <c r="Z177" s="41"/>
    </row>
    <row r="178" spans="1:26" ht="15.75" customHeight="1" x14ac:dyDescent="0.2">
      <c r="A178" s="16"/>
      <c r="B178" s="43"/>
      <c r="C178" s="43"/>
      <c r="D178" s="16"/>
      <c r="E178" s="16"/>
      <c r="F178" s="16"/>
      <c r="G178" s="12"/>
      <c r="H178" s="12"/>
      <c r="I178" s="43"/>
      <c r="J178" s="43"/>
      <c r="K178" s="16"/>
      <c r="L178" s="16"/>
      <c r="M178" s="12"/>
      <c r="N178" s="12"/>
      <c r="O178" s="12"/>
      <c r="P178" s="12"/>
      <c r="Q178" s="12"/>
      <c r="R178" s="12"/>
      <c r="S178" s="12"/>
      <c r="T178" s="12"/>
      <c r="U178" s="16"/>
      <c r="V178" s="16"/>
      <c r="W178" s="12"/>
      <c r="X178" s="16"/>
      <c r="Y178" s="41"/>
      <c r="Z178" s="41"/>
    </row>
    <row r="179" spans="1:26" ht="15.75" customHeight="1" x14ac:dyDescent="0.2">
      <c r="A179" s="16"/>
      <c r="B179" s="43"/>
      <c r="C179" s="43"/>
      <c r="D179" s="16"/>
      <c r="E179" s="16"/>
      <c r="F179" s="16"/>
      <c r="G179" s="12"/>
      <c r="H179" s="12"/>
      <c r="I179" s="43"/>
      <c r="J179" s="43"/>
      <c r="K179" s="16"/>
      <c r="L179" s="16"/>
      <c r="M179" s="12"/>
      <c r="N179" s="12"/>
      <c r="O179" s="12"/>
      <c r="P179" s="12"/>
      <c r="Q179" s="12"/>
      <c r="R179" s="12"/>
      <c r="S179" s="12"/>
      <c r="T179" s="12"/>
      <c r="U179" s="16"/>
      <c r="V179" s="16"/>
      <c r="W179" s="12"/>
      <c r="X179" s="16"/>
      <c r="Y179" s="41"/>
      <c r="Z179" s="41"/>
    </row>
    <row r="180" spans="1:26" ht="15.75" customHeight="1" x14ac:dyDescent="0.2">
      <c r="A180" s="16"/>
      <c r="B180" s="43"/>
      <c r="C180" s="43"/>
      <c r="D180" s="16"/>
      <c r="E180" s="16"/>
      <c r="F180" s="16"/>
      <c r="G180" s="12"/>
      <c r="H180" s="12"/>
      <c r="I180" s="43"/>
      <c r="J180" s="43"/>
      <c r="K180" s="16"/>
      <c r="L180" s="16"/>
      <c r="M180" s="12"/>
      <c r="N180" s="12"/>
      <c r="O180" s="12"/>
      <c r="P180" s="12"/>
      <c r="Q180" s="12"/>
      <c r="R180" s="12"/>
      <c r="S180" s="12"/>
      <c r="T180" s="12"/>
      <c r="U180" s="16"/>
      <c r="V180" s="16"/>
      <c r="W180" s="12"/>
      <c r="X180" s="16"/>
      <c r="Y180" s="41"/>
      <c r="Z180" s="41"/>
    </row>
    <row r="181" spans="1:26" ht="15.75" customHeight="1" x14ac:dyDescent="0.2">
      <c r="A181" s="16"/>
      <c r="B181" s="43"/>
      <c r="C181" s="43"/>
      <c r="D181" s="16"/>
      <c r="E181" s="16"/>
      <c r="F181" s="16"/>
      <c r="G181" s="12"/>
      <c r="H181" s="12"/>
      <c r="I181" s="43"/>
      <c r="J181" s="43"/>
      <c r="K181" s="16"/>
      <c r="L181" s="16"/>
      <c r="M181" s="12"/>
      <c r="N181" s="12"/>
      <c r="O181" s="12"/>
      <c r="P181" s="12"/>
      <c r="Q181" s="12"/>
      <c r="R181" s="12"/>
      <c r="S181" s="12"/>
      <c r="T181" s="12"/>
      <c r="U181" s="16"/>
      <c r="V181" s="16"/>
      <c r="W181" s="12"/>
      <c r="X181" s="16"/>
      <c r="Y181" s="41"/>
      <c r="Z181" s="41"/>
    </row>
    <row r="182" spans="1:26" ht="15.75" customHeight="1" x14ac:dyDescent="0.2">
      <c r="A182" s="16"/>
      <c r="B182" s="43"/>
      <c r="C182" s="43"/>
      <c r="D182" s="16"/>
      <c r="E182" s="16"/>
      <c r="F182" s="16"/>
      <c r="G182" s="12"/>
      <c r="H182" s="12"/>
      <c r="I182" s="43"/>
      <c r="J182" s="43"/>
      <c r="K182" s="16"/>
      <c r="L182" s="16"/>
      <c r="M182" s="12"/>
      <c r="N182" s="12"/>
      <c r="O182" s="12"/>
      <c r="P182" s="12"/>
      <c r="Q182" s="12"/>
      <c r="R182" s="12"/>
      <c r="S182" s="12"/>
      <c r="T182" s="12"/>
      <c r="U182" s="16"/>
      <c r="V182" s="16"/>
      <c r="W182" s="12"/>
      <c r="X182" s="16"/>
      <c r="Y182" s="41"/>
      <c r="Z182" s="41"/>
    </row>
    <row r="183" spans="1:26" ht="15.75" customHeight="1" x14ac:dyDescent="0.2">
      <c r="A183" s="16"/>
      <c r="B183" s="43"/>
      <c r="C183" s="43"/>
      <c r="D183" s="16"/>
      <c r="E183" s="16"/>
      <c r="F183" s="16"/>
      <c r="G183" s="12"/>
      <c r="H183" s="12"/>
      <c r="I183" s="43"/>
      <c r="J183" s="43"/>
      <c r="K183" s="16"/>
      <c r="L183" s="16"/>
      <c r="M183" s="12"/>
      <c r="N183" s="12"/>
      <c r="O183" s="12"/>
      <c r="P183" s="12"/>
      <c r="Q183" s="12"/>
      <c r="R183" s="12"/>
      <c r="S183" s="12"/>
      <c r="T183" s="12"/>
      <c r="U183" s="16"/>
      <c r="V183" s="16"/>
      <c r="W183" s="12"/>
      <c r="X183" s="16"/>
      <c r="Y183" s="41"/>
      <c r="Z183" s="41"/>
    </row>
    <row r="184" spans="1:26" ht="15.75" customHeight="1" x14ac:dyDescent="0.2">
      <c r="A184" s="16"/>
      <c r="B184" s="43"/>
      <c r="C184" s="43"/>
      <c r="D184" s="16"/>
      <c r="E184" s="16"/>
      <c r="F184" s="16"/>
      <c r="G184" s="12"/>
      <c r="H184" s="12"/>
      <c r="I184" s="43"/>
      <c r="J184" s="43"/>
      <c r="K184" s="16"/>
      <c r="L184" s="16"/>
      <c r="M184" s="12"/>
      <c r="N184" s="12"/>
      <c r="O184" s="12"/>
      <c r="P184" s="12"/>
      <c r="Q184" s="12"/>
      <c r="R184" s="12"/>
      <c r="S184" s="12"/>
      <c r="T184" s="12"/>
      <c r="U184" s="16"/>
      <c r="V184" s="16"/>
      <c r="W184" s="12"/>
      <c r="X184" s="16"/>
      <c r="Y184" s="41"/>
      <c r="Z184" s="41"/>
    </row>
    <row r="185" spans="1:26" ht="15.75" customHeight="1" x14ac:dyDescent="0.2">
      <c r="A185" s="16"/>
      <c r="B185" s="43"/>
      <c r="C185" s="43"/>
      <c r="D185" s="16"/>
      <c r="E185" s="16"/>
      <c r="F185" s="16"/>
      <c r="G185" s="12"/>
      <c r="H185" s="12"/>
      <c r="I185" s="43"/>
      <c r="J185" s="43"/>
      <c r="K185" s="16"/>
      <c r="L185" s="16"/>
      <c r="M185" s="12"/>
      <c r="N185" s="12"/>
      <c r="O185" s="12"/>
      <c r="P185" s="12"/>
      <c r="Q185" s="12"/>
      <c r="R185" s="12"/>
      <c r="S185" s="12"/>
      <c r="T185" s="12"/>
      <c r="U185" s="16"/>
      <c r="V185" s="16"/>
      <c r="W185" s="12"/>
      <c r="X185" s="16"/>
      <c r="Y185" s="41"/>
      <c r="Z185" s="41"/>
    </row>
    <row r="186" spans="1:26" ht="15.75" customHeight="1" x14ac:dyDescent="0.2">
      <c r="A186" s="16"/>
      <c r="B186" s="43"/>
      <c r="C186" s="43"/>
      <c r="D186" s="16"/>
      <c r="E186" s="16"/>
      <c r="F186" s="16"/>
      <c r="G186" s="12"/>
      <c r="H186" s="12"/>
      <c r="I186" s="43"/>
      <c r="J186" s="43"/>
      <c r="K186" s="16"/>
      <c r="L186" s="16"/>
      <c r="M186" s="12"/>
      <c r="N186" s="12"/>
      <c r="O186" s="12"/>
      <c r="P186" s="12"/>
      <c r="Q186" s="12"/>
      <c r="R186" s="12"/>
      <c r="S186" s="12"/>
      <c r="T186" s="12"/>
      <c r="U186" s="16"/>
      <c r="V186" s="16"/>
      <c r="W186" s="12"/>
      <c r="X186" s="16"/>
      <c r="Y186" s="41"/>
      <c r="Z186" s="41"/>
    </row>
    <row r="187" spans="1:26" ht="15.75" customHeight="1" x14ac:dyDescent="0.2">
      <c r="A187" s="16"/>
      <c r="B187" s="43"/>
      <c r="C187" s="43"/>
      <c r="D187" s="16"/>
      <c r="E187" s="16"/>
      <c r="F187" s="16"/>
      <c r="G187" s="12"/>
      <c r="H187" s="12"/>
      <c r="I187" s="43"/>
      <c r="J187" s="43"/>
      <c r="K187" s="16"/>
      <c r="L187" s="16"/>
      <c r="M187" s="12"/>
      <c r="N187" s="12"/>
      <c r="O187" s="12"/>
      <c r="P187" s="12"/>
      <c r="Q187" s="12"/>
      <c r="R187" s="12"/>
      <c r="S187" s="12"/>
      <c r="T187" s="12"/>
      <c r="U187" s="16"/>
      <c r="V187" s="16"/>
      <c r="W187" s="12"/>
      <c r="X187" s="16"/>
      <c r="Y187" s="41"/>
      <c r="Z187" s="41"/>
    </row>
    <row r="188" spans="1:26" ht="15.75" customHeight="1" x14ac:dyDescent="0.2">
      <c r="A188" s="16"/>
      <c r="B188" s="43"/>
      <c r="C188" s="43"/>
      <c r="D188" s="16"/>
      <c r="E188" s="16"/>
      <c r="F188" s="16"/>
      <c r="G188" s="12"/>
      <c r="H188" s="12"/>
      <c r="I188" s="43"/>
      <c r="J188" s="43"/>
      <c r="K188" s="16"/>
      <c r="L188" s="16"/>
      <c r="M188" s="12"/>
      <c r="N188" s="12"/>
      <c r="O188" s="12"/>
      <c r="P188" s="12"/>
      <c r="Q188" s="12"/>
      <c r="R188" s="12"/>
      <c r="S188" s="12"/>
      <c r="T188" s="12"/>
      <c r="U188" s="16"/>
      <c r="V188" s="16"/>
      <c r="W188" s="12"/>
      <c r="X188" s="16"/>
      <c r="Y188" s="41"/>
      <c r="Z188" s="41"/>
    </row>
    <row r="189" spans="1:26" ht="15.75" customHeight="1" x14ac:dyDescent="0.2">
      <c r="A189" s="16"/>
      <c r="B189" s="43"/>
      <c r="C189" s="43"/>
      <c r="D189" s="16"/>
      <c r="E189" s="16"/>
      <c r="F189" s="16"/>
      <c r="G189" s="12"/>
      <c r="H189" s="12"/>
      <c r="I189" s="43"/>
      <c r="J189" s="43"/>
      <c r="K189" s="16"/>
      <c r="L189" s="16"/>
      <c r="M189" s="12"/>
      <c r="N189" s="12"/>
      <c r="O189" s="12"/>
      <c r="P189" s="12"/>
      <c r="Q189" s="12"/>
      <c r="R189" s="12"/>
      <c r="S189" s="12"/>
      <c r="T189" s="12"/>
      <c r="U189" s="16"/>
      <c r="V189" s="16"/>
      <c r="W189" s="12"/>
      <c r="X189" s="16"/>
      <c r="Y189" s="41"/>
      <c r="Z189" s="41"/>
    </row>
    <row r="190" spans="1:26" ht="15.75" customHeight="1" x14ac:dyDescent="0.2">
      <c r="A190" s="16"/>
      <c r="B190" s="43"/>
      <c r="C190" s="43"/>
      <c r="D190" s="16"/>
      <c r="E190" s="16"/>
      <c r="F190" s="16"/>
      <c r="G190" s="12"/>
      <c r="H190" s="12"/>
      <c r="I190" s="43"/>
      <c r="J190" s="43"/>
      <c r="K190" s="16"/>
      <c r="L190" s="16"/>
      <c r="M190" s="12"/>
      <c r="N190" s="12"/>
      <c r="O190" s="12"/>
      <c r="P190" s="12"/>
      <c r="Q190" s="12"/>
      <c r="R190" s="12"/>
      <c r="S190" s="12"/>
      <c r="T190" s="12"/>
      <c r="U190" s="16"/>
      <c r="V190" s="16"/>
      <c r="W190" s="12"/>
      <c r="X190" s="16"/>
      <c r="Y190" s="41"/>
      <c r="Z190" s="41"/>
    </row>
    <row r="191" spans="1:26" ht="15.75" customHeight="1" x14ac:dyDescent="0.2">
      <c r="A191" s="16"/>
      <c r="B191" s="43"/>
      <c r="C191" s="43"/>
      <c r="D191" s="16"/>
      <c r="E191" s="16"/>
      <c r="F191" s="16"/>
      <c r="G191" s="12"/>
      <c r="H191" s="12"/>
      <c r="I191" s="43"/>
      <c r="J191" s="43"/>
      <c r="K191" s="16"/>
      <c r="L191" s="16"/>
      <c r="M191" s="12"/>
      <c r="N191" s="12"/>
      <c r="O191" s="12"/>
      <c r="P191" s="12"/>
      <c r="Q191" s="12"/>
      <c r="R191" s="12"/>
      <c r="S191" s="12"/>
      <c r="T191" s="12"/>
      <c r="U191" s="16"/>
      <c r="V191" s="16"/>
      <c r="W191" s="12"/>
      <c r="X191" s="16"/>
      <c r="Y191" s="41"/>
      <c r="Z191" s="41"/>
    </row>
    <row r="192" spans="1:26" ht="15.75" customHeight="1" x14ac:dyDescent="0.2">
      <c r="A192" s="16"/>
      <c r="B192" s="43"/>
      <c r="C192" s="43"/>
      <c r="D192" s="16"/>
      <c r="E192" s="16"/>
      <c r="F192" s="16"/>
      <c r="G192" s="12"/>
      <c r="H192" s="12"/>
      <c r="I192" s="43"/>
      <c r="J192" s="43"/>
      <c r="K192" s="16"/>
      <c r="L192" s="16"/>
      <c r="M192" s="12"/>
      <c r="N192" s="12"/>
      <c r="O192" s="12"/>
      <c r="P192" s="12"/>
      <c r="Q192" s="12"/>
      <c r="R192" s="12"/>
      <c r="S192" s="12"/>
      <c r="T192" s="12"/>
      <c r="U192" s="16"/>
      <c r="V192" s="16"/>
      <c r="W192" s="12"/>
      <c r="X192" s="16"/>
      <c r="Y192" s="41"/>
      <c r="Z192" s="41"/>
    </row>
    <row r="193" spans="1:26" ht="15.75" customHeight="1" x14ac:dyDescent="0.2">
      <c r="A193" s="16"/>
      <c r="B193" s="43"/>
      <c r="C193" s="43"/>
      <c r="D193" s="16"/>
      <c r="E193" s="16"/>
      <c r="F193" s="16"/>
      <c r="G193" s="12"/>
      <c r="H193" s="12"/>
      <c r="I193" s="43"/>
      <c r="J193" s="43"/>
      <c r="K193" s="16"/>
      <c r="L193" s="16"/>
      <c r="M193" s="12"/>
      <c r="N193" s="12"/>
      <c r="O193" s="12"/>
      <c r="P193" s="12"/>
      <c r="Q193" s="12"/>
      <c r="R193" s="12"/>
      <c r="S193" s="12"/>
      <c r="T193" s="12"/>
      <c r="U193" s="16"/>
      <c r="V193" s="16"/>
      <c r="W193" s="12"/>
      <c r="X193" s="16"/>
      <c r="Y193" s="41"/>
      <c r="Z193" s="41"/>
    </row>
    <row r="194" spans="1:26" ht="15.75" customHeight="1" x14ac:dyDescent="0.2">
      <c r="A194" s="16"/>
      <c r="B194" s="43"/>
      <c r="C194" s="43"/>
      <c r="D194" s="16"/>
      <c r="E194" s="16"/>
      <c r="F194" s="16"/>
      <c r="G194" s="12"/>
      <c r="H194" s="12"/>
      <c r="I194" s="43"/>
      <c r="J194" s="43"/>
      <c r="K194" s="16"/>
      <c r="L194" s="16"/>
      <c r="M194" s="12"/>
      <c r="N194" s="12"/>
      <c r="O194" s="12"/>
      <c r="P194" s="12"/>
      <c r="Q194" s="12"/>
      <c r="R194" s="12"/>
      <c r="S194" s="12"/>
      <c r="T194" s="12"/>
      <c r="U194" s="16"/>
      <c r="V194" s="16"/>
      <c r="W194" s="12"/>
      <c r="X194" s="16"/>
      <c r="Y194" s="41"/>
      <c r="Z194" s="41"/>
    </row>
    <row r="195" spans="1:26" ht="15.75" customHeight="1" x14ac:dyDescent="0.2">
      <c r="A195" s="16"/>
      <c r="B195" s="43"/>
      <c r="C195" s="43"/>
      <c r="D195" s="16"/>
      <c r="E195" s="16"/>
      <c r="F195" s="16"/>
      <c r="G195" s="12"/>
      <c r="H195" s="12"/>
      <c r="I195" s="43"/>
      <c r="J195" s="43"/>
      <c r="K195" s="16"/>
      <c r="L195" s="16"/>
      <c r="M195" s="12"/>
      <c r="N195" s="12"/>
      <c r="O195" s="12"/>
      <c r="P195" s="12"/>
      <c r="Q195" s="12"/>
      <c r="R195" s="12"/>
      <c r="S195" s="12"/>
      <c r="T195" s="12"/>
      <c r="U195" s="16"/>
      <c r="V195" s="16"/>
      <c r="W195" s="12"/>
      <c r="X195" s="16"/>
      <c r="Y195" s="41"/>
      <c r="Z195" s="41"/>
    </row>
    <row r="196" spans="1:26" ht="15.75" customHeight="1" x14ac:dyDescent="0.2">
      <c r="A196" s="16"/>
      <c r="B196" s="43"/>
      <c r="C196" s="43"/>
      <c r="D196" s="16"/>
      <c r="E196" s="16"/>
      <c r="F196" s="16"/>
      <c r="G196" s="12"/>
      <c r="H196" s="12"/>
      <c r="I196" s="43"/>
      <c r="J196" s="43"/>
      <c r="K196" s="16"/>
      <c r="L196" s="16"/>
      <c r="M196" s="12"/>
      <c r="N196" s="12"/>
      <c r="O196" s="12"/>
      <c r="P196" s="12"/>
      <c r="Q196" s="12"/>
      <c r="R196" s="12"/>
      <c r="S196" s="12"/>
      <c r="T196" s="12"/>
      <c r="U196" s="16"/>
      <c r="V196" s="16"/>
      <c r="W196" s="12"/>
      <c r="X196" s="16"/>
      <c r="Y196" s="41"/>
      <c r="Z196" s="41"/>
    </row>
    <row r="197" spans="1:26" ht="15.75" customHeight="1" x14ac:dyDescent="0.2">
      <c r="A197" s="16"/>
      <c r="B197" s="43"/>
      <c r="C197" s="43"/>
      <c r="D197" s="16"/>
      <c r="E197" s="16"/>
      <c r="F197" s="16"/>
      <c r="G197" s="12"/>
      <c r="H197" s="12"/>
      <c r="I197" s="43"/>
      <c r="J197" s="43"/>
      <c r="K197" s="16"/>
      <c r="L197" s="16"/>
      <c r="M197" s="12"/>
      <c r="N197" s="12"/>
      <c r="O197" s="12"/>
      <c r="P197" s="12"/>
      <c r="Q197" s="12"/>
      <c r="R197" s="12"/>
      <c r="S197" s="12"/>
      <c r="T197" s="12"/>
      <c r="U197" s="16"/>
      <c r="V197" s="16"/>
      <c r="W197" s="12"/>
      <c r="X197" s="16"/>
      <c r="Y197" s="41"/>
      <c r="Z197" s="41"/>
    </row>
    <row r="198" spans="1:26" ht="15.75" customHeight="1" x14ac:dyDescent="0.2">
      <c r="A198" s="16"/>
      <c r="B198" s="43"/>
      <c r="C198" s="43"/>
      <c r="D198" s="16"/>
      <c r="E198" s="16"/>
      <c r="F198" s="16"/>
      <c r="G198" s="12"/>
      <c r="H198" s="12"/>
      <c r="I198" s="43"/>
      <c r="J198" s="43"/>
      <c r="K198" s="16"/>
      <c r="L198" s="16"/>
      <c r="M198" s="12"/>
      <c r="N198" s="12"/>
      <c r="O198" s="12"/>
      <c r="P198" s="12"/>
      <c r="Q198" s="12"/>
      <c r="R198" s="12"/>
      <c r="S198" s="12"/>
      <c r="T198" s="12"/>
      <c r="U198" s="16"/>
      <c r="V198" s="16"/>
      <c r="W198" s="12"/>
      <c r="X198" s="16"/>
      <c r="Y198" s="41"/>
      <c r="Z198" s="41"/>
    </row>
    <row r="199" spans="1:26" ht="15.75" customHeight="1" x14ac:dyDescent="0.2">
      <c r="A199" s="16"/>
      <c r="B199" s="43"/>
      <c r="C199" s="43"/>
      <c r="D199" s="16"/>
      <c r="E199" s="16"/>
      <c r="F199" s="16"/>
      <c r="G199" s="12"/>
      <c r="H199" s="12"/>
      <c r="I199" s="43"/>
      <c r="J199" s="43"/>
      <c r="K199" s="16"/>
      <c r="L199" s="16"/>
      <c r="M199" s="12"/>
      <c r="N199" s="12"/>
      <c r="O199" s="12"/>
      <c r="P199" s="12"/>
      <c r="Q199" s="12"/>
      <c r="R199" s="12"/>
      <c r="S199" s="12"/>
      <c r="T199" s="12"/>
      <c r="U199" s="16"/>
      <c r="V199" s="16"/>
      <c r="W199" s="12"/>
      <c r="X199" s="16"/>
      <c r="Y199" s="41"/>
      <c r="Z199" s="41"/>
    </row>
    <row r="200" spans="1:26" ht="15.75" customHeight="1" x14ac:dyDescent="0.2">
      <c r="A200" s="16"/>
      <c r="B200" s="43"/>
      <c r="C200" s="43"/>
      <c r="D200" s="16"/>
      <c r="E200" s="16"/>
      <c r="F200" s="16"/>
      <c r="G200" s="12"/>
      <c r="H200" s="12"/>
      <c r="I200" s="43"/>
      <c r="J200" s="43"/>
      <c r="K200" s="16"/>
      <c r="L200" s="16"/>
      <c r="M200" s="12"/>
      <c r="N200" s="12"/>
      <c r="O200" s="12"/>
      <c r="P200" s="12"/>
      <c r="Q200" s="12"/>
      <c r="R200" s="12"/>
      <c r="S200" s="12"/>
      <c r="T200" s="12"/>
      <c r="U200" s="16"/>
      <c r="V200" s="16"/>
      <c r="W200" s="12"/>
      <c r="X200" s="16"/>
      <c r="Y200" s="41"/>
      <c r="Z200" s="41"/>
    </row>
    <row r="201" spans="1:26" ht="15.75" customHeight="1" x14ac:dyDescent="0.2">
      <c r="A201" s="16"/>
      <c r="B201" s="43"/>
      <c r="C201" s="43"/>
      <c r="D201" s="16"/>
      <c r="E201" s="16"/>
      <c r="F201" s="16"/>
      <c r="G201" s="12"/>
      <c r="H201" s="12"/>
      <c r="I201" s="43"/>
      <c r="J201" s="43"/>
      <c r="K201" s="16"/>
      <c r="L201" s="16"/>
      <c r="M201" s="12"/>
      <c r="N201" s="12"/>
      <c r="O201" s="12"/>
      <c r="P201" s="12"/>
      <c r="Q201" s="12"/>
      <c r="R201" s="12"/>
      <c r="S201" s="12"/>
      <c r="T201" s="12"/>
      <c r="U201" s="16"/>
      <c r="V201" s="16"/>
      <c r="W201" s="12"/>
      <c r="X201" s="16"/>
      <c r="Y201" s="41"/>
      <c r="Z201" s="41"/>
    </row>
    <row r="202" spans="1:26" ht="15.75" customHeight="1" x14ac:dyDescent="0.2">
      <c r="A202" s="16"/>
      <c r="B202" s="43"/>
      <c r="C202" s="43"/>
      <c r="D202" s="16"/>
      <c r="E202" s="16"/>
      <c r="F202" s="16"/>
      <c r="G202" s="12"/>
      <c r="H202" s="12"/>
      <c r="I202" s="43"/>
      <c r="J202" s="43"/>
      <c r="K202" s="16"/>
      <c r="L202" s="16"/>
      <c r="M202" s="12"/>
      <c r="N202" s="12"/>
      <c r="O202" s="12"/>
      <c r="P202" s="12"/>
      <c r="Q202" s="12"/>
      <c r="R202" s="12"/>
      <c r="S202" s="12"/>
      <c r="T202" s="12"/>
      <c r="U202" s="16"/>
      <c r="V202" s="16"/>
      <c r="W202" s="12"/>
      <c r="X202" s="16"/>
      <c r="Y202" s="41"/>
      <c r="Z202" s="41"/>
    </row>
    <row r="203" spans="1:26" ht="15.75" customHeight="1" x14ac:dyDescent="0.2">
      <c r="A203" s="16"/>
      <c r="B203" s="43"/>
      <c r="C203" s="43"/>
      <c r="D203" s="16"/>
      <c r="E203" s="16"/>
      <c r="F203" s="16"/>
      <c r="G203" s="12"/>
      <c r="H203" s="12"/>
      <c r="I203" s="43"/>
      <c r="J203" s="43"/>
      <c r="K203" s="16"/>
      <c r="L203" s="16"/>
      <c r="M203" s="12"/>
      <c r="N203" s="12"/>
      <c r="O203" s="12"/>
      <c r="P203" s="12"/>
      <c r="Q203" s="12"/>
      <c r="R203" s="12"/>
      <c r="S203" s="12"/>
      <c r="T203" s="12"/>
      <c r="U203" s="16"/>
      <c r="V203" s="16"/>
      <c r="W203" s="12"/>
      <c r="X203" s="16"/>
      <c r="Y203" s="41"/>
      <c r="Z203" s="41"/>
    </row>
    <row r="204" spans="1:26" ht="15.75" customHeight="1" x14ac:dyDescent="0.2">
      <c r="A204" s="16"/>
      <c r="B204" s="43"/>
      <c r="C204" s="43"/>
      <c r="D204" s="16"/>
      <c r="E204" s="16"/>
      <c r="F204" s="16"/>
      <c r="G204" s="12"/>
      <c r="H204" s="12"/>
      <c r="I204" s="43"/>
      <c r="J204" s="43"/>
      <c r="K204" s="16"/>
      <c r="L204" s="16"/>
      <c r="M204" s="12"/>
      <c r="N204" s="12"/>
      <c r="O204" s="12"/>
      <c r="P204" s="12"/>
      <c r="Q204" s="12"/>
      <c r="R204" s="12"/>
      <c r="S204" s="12"/>
      <c r="T204" s="12"/>
      <c r="U204" s="16"/>
      <c r="V204" s="16"/>
      <c r="W204" s="12"/>
      <c r="X204" s="16"/>
      <c r="Y204" s="41"/>
      <c r="Z204" s="41"/>
    </row>
    <row r="205" spans="1:26" ht="15.75" customHeight="1" x14ac:dyDescent="0.2">
      <c r="A205" s="16"/>
      <c r="B205" s="43"/>
      <c r="C205" s="43"/>
      <c r="D205" s="16"/>
      <c r="E205" s="16"/>
      <c r="F205" s="16"/>
      <c r="G205" s="12"/>
      <c r="H205" s="12"/>
      <c r="I205" s="43"/>
      <c r="J205" s="43"/>
      <c r="K205" s="16"/>
      <c r="L205" s="16"/>
      <c r="M205" s="12"/>
      <c r="N205" s="12"/>
      <c r="O205" s="12"/>
      <c r="P205" s="12"/>
      <c r="Q205" s="12"/>
      <c r="R205" s="12"/>
      <c r="S205" s="12"/>
      <c r="T205" s="12"/>
      <c r="U205" s="16"/>
      <c r="V205" s="16"/>
      <c r="W205" s="12"/>
      <c r="X205" s="16"/>
      <c r="Y205" s="41"/>
      <c r="Z205" s="41"/>
    </row>
    <row r="206" spans="1:26" ht="15.75" customHeight="1" x14ac:dyDescent="0.2">
      <c r="A206" s="16"/>
      <c r="B206" s="43"/>
      <c r="C206" s="43"/>
      <c r="D206" s="16"/>
      <c r="E206" s="16"/>
      <c r="F206" s="16"/>
      <c r="G206" s="12"/>
      <c r="H206" s="12"/>
      <c r="I206" s="43"/>
      <c r="J206" s="43"/>
      <c r="K206" s="16"/>
      <c r="L206" s="16"/>
      <c r="M206" s="12"/>
      <c r="N206" s="12"/>
      <c r="O206" s="12"/>
      <c r="P206" s="12"/>
      <c r="Q206" s="12"/>
      <c r="R206" s="12"/>
      <c r="S206" s="12"/>
      <c r="T206" s="12"/>
      <c r="U206" s="16"/>
      <c r="V206" s="16"/>
      <c r="W206" s="12"/>
      <c r="X206" s="16"/>
      <c r="Y206" s="41"/>
      <c r="Z206" s="41"/>
    </row>
    <row r="207" spans="1:26" ht="15.75" customHeight="1" x14ac:dyDescent="0.2">
      <c r="A207" s="16"/>
      <c r="B207" s="43"/>
      <c r="C207" s="43"/>
      <c r="D207" s="16"/>
      <c r="E207" s="16"/>
      <c r="F207" s="16"/>
      <c r="G207" s="12"/>
      <c r="H207" s="12"/>
      <c r="I207" s="43"/>
      <c r="J207" s="43"/>
      <c r="K207" s="16"/>
      <c r="L207" s="16"/>
      <c r="M207" s="12"/>
      <c r="N207" s="12"/>
      <c r="O207" s="12"/>
      <c r="P207" s="12"/>
      <c r="Q207" s="12"/>
      <c r="R207" s="12"/>
      <c r="S207" s="12"/>
      <c r="T207" s="12"/>
      <c r="U207" s="16"/>
      <c r="V207" s="16"/>
      <c r="W207" s="12"/>
      <c r="X207" s="16"/>
      <c r="Y207" s="41"/>
      <c r="Z207" s="41"/>
    </row>
    <row r="208" spans="1:26" ht="15.75" customHeight="1" x14ac:dyDescent="0.2">
      <c r="A208" s="16"/>
      <c r="B208" s="43"/>
      <c r="C208" s="43"/>
      <c r="D208" s="16"/>
      <c r="E208" s="16"/>
      <c r="F208" s="16"/>
      <c r="G208" s="12"/>
      <c r="H208" s="12"/>
      <c r="I208" s="43"/>
      <c r="J208" s="43"/>
      <c r="K208" s="16"/>
      <c r="L208" s="16"/>
      <c r="M208" s="12"/>
      <c r="N208" s="12"/>
      <c r="O208" s="12"/>
      <c r="P208" s="12"/>
      <c r="Q208" s="12"/>
      <c r="R208" s="12"/>
      <c r="S208" s="12"/>
      <c r="T208" s="12"/>
      <c r="U208" s="16"/>
      <c r="V208" s="16"/>
      <c r="W208" s="12"/>
      <c r="X208" s="16"/>
      <c r="Y208" s="41"/>
      <c r="Z208" s="41"/>
    </row>
    <row r="209" spans="1:26" ht="15.75" customHeight="1" x14ac:dyDescent="0.2">
      <c r="A209" s="16"/>
      <c r="B209" s="43"/>
      <c r="C209" s="43"/>
      <c r="D209" s="16"/>
      <c r="E209" s="16"/>
      <c r="F209" s="16"/>
      <c r="G209" s="12"/>
      <c r="H209" s="12"/>
      <c r="I209" s="43"/>
      <c r="J209" s="43"/>
      <c r="K209" s="16"/>
      <c r="L209" s="16"/>
      <c r="M209" s="12"/>
      <c r="N209" s="12"/>
      <c r="O209" s="12"/>
      <c r="P209" s="12"/>
      <c r="Q209" s="12"/>
      <c r="R209" s="12"/>
      <c r="S209" s="12"/>
      <c r="T209" s="12"/>
      <c r="U209" s="16"/>
      <c r="V209" s="16"/>
      <c r="W209" s="12"/>
      <c r="X209" s="16"/>
      <c r="Y209" s="41"/>
      <c r="Z209" s="41"/>
    </row>
    <row r="210" spans="1:26" ht="15.75" customHeight="1" x14ac:dyDescent="0.2">
      <c r="A210" s="16"/>
      <c r="B210" s="43"/>
      <c r="C210" s="43"/>
      <c r="D210" s="16"/>
      <c r="E210" s="16"/>
      <c r="F210" s="16"/>
      <c r="G210" s="12"/>
      <c r="H210" s="12"/>
      <c r="I210" s="43"/>
      <c r="J210" s="43"/>
      <c r="K210" s="16"/>
      <c r="L210" s="16"/>
      <c r="M210" s="12"/>
      <c r="N210" s="12"/>
      <c r="O210" s="12"/>
      <c r="P210" s="12"/>
      <c r="Q210" s="12"/>
      <c r="R210" s="12"/>
      <c r="S210" s="12"/>
      <c r="T210" s="12"/>
      <c r="U210" s="16"/>
      <c r="V210" s="16"/>
      <c r="W210" s="12"/>
      <c r="X210" s="16"/>
      <c r="Y210" s="41"/>
      <c r="Z210" s="41"/>
    </row>
    <row r="211" spans="1:26" ht="15.75" customHeight="1" x14ac:dyDescent="0.2">
      <c r="A211" s="16"/>
      <c r="B211" s="43"/>
      <c r="C211" s="43"/>
      <c r="D211" s="16"/>
      <c r="E211" s="16"/>
      <c r="F211" s="16"/>
      <c r="G211" s="12"/>
      <c r="H211" s="12"/>
      <c r="I211" s="43"/>
      <c r="J211" s="43"/>
      <c r="K211" s="16"/>
      <c r="L211" s="16"/>
      <c r="M211" s="12"/>
      <c r="N211" s="12"/>
      <c r="O211" s="12"/>
      <c r="P211" s="12"/>
      <c r="Q211" s="12"/>
      <c r="R211" s="12"/>
      <c r="S211" s="12"/>
      <c r="T211" s="12"/>
      <c r="U211" s="16"/>
      <c r="V211" s="16"/>
      <c r="W211" s="12"/>
      <c r="X211" s="16"/>
      <c r="Y211" s="41"/>
      <c r="Z211" s="41"/>
    </row>
    <row r="212" spans="1:26" ht="15.75" customHeight="1" x14ac:dyDescent="0.2">
      <c r="A212" s="16"/>
      <c r="B212" s="43"/>
      <c r="C212" s="43"/>
      <c r="D212" s="16"/>
      <c r="E212" s="16"/>
      <c r="F212" s="16"/>
      <c r="G212" s="12"/>
      <c r="H212" s="12"/>
      <c r="I212" s="43"/>
      <c r="J212" s="43"/>
      <c r="K212" s="16"/>
      <c r="L212" s="16"/>
      <c r="M212" s="12"/>
      <c r="N212" s="12"/>
      <c r="O212" s="12"/>
      <c r="P212" s="12"/>
      <c r="Q212" s="12"/>
      <c r="R212" s="12"/>
      <c r="S212" s="12"/>
      <c r="T212" s="12"/>
      <c r="U212" s="16"/>
      <c r="V212" s="16"/>
      <c r="W212" s="12"/>
      <c r="X212" s="16"/>
      <c r="Y212" s="41"/>
      <c r="Z212" s="41"/>
    </row>
    <row r="213" spans="1:26" ht="15.75" customHeight="1" x14ac:dyDescent="0.2">
      <c r="A213" s="16"/>
      <c r="B213" s="43"/>
      <c r="C213" s="43"/>
      <c r="D213" s="16"/>
      <c r="E213" s="16"/>
      <c r="F213" s="16"/>
      <c r="G213" s="12"/>
      <c r="H213" s="12"/>
      <c r="I213" s="43"/>
      <c r="J213" s="43"/>
      <c r="K213" s="16"/>
      <c r="L213" s="16"/>
      <c r="M213" s="12"/>
      <c r="N213" s="12"/>
      <c r="O213" s="12"/>
      <c r="P213" s="12"/>
      <c r="Q213" s="12"/>
      <c r="R213" s="12"/>
      <c r="S213" s="12"/>
      <c r="T213" s="12"/>
      <c r="U213" s="16"/>
      <c r="V213" s="16"/>
      <c r="W213" s="12"/>
      <c r="X213" s="16"/>
      <c r="Y213" s="41"/>
      <c r="Z213" s="41"/>
    </row>
    <row r="214" spans="1:26" ht="15.75" customHeight="1" x14ac:dyDescent="0.2">
      <c r="A214" s="16"/>
      <c r="B214" s="43"/>
      <c r="C214" s="43"/>
      <c r="D214" s="16"/>
      <c r="E214" s="16"/>
      <c r="F214" s="16"/>
      <c r="G214" s="12"/>
      <c r="H214" s="12"/>
      <c r="I214" s="43"/>
      <c r="J214" s="43"/>
      <c r="K214" s="16"/>
      <c r="L214" s="16"/>
      <c r="M214" s="12"/>
      <c r="N214" s="12"/>
      <c r="O214" s="12"/>
      <c r="P214" s="12"/>
      <c r="Q214" s="12"/>
      <c r="R214" s="12"/>
      <c r="S214" s="12"/>
      <c r="T214" s="12"/>
      <c r="U214" s="16"/>
      <c r="V214" s="16"/>
      <c r="W214" s="12"/>
      <c r="X214" s="16"/>
      <c r="Y214" s="41"/>
      <c r="Z214" s="41"/>
    </row>
    <row r="215" spans="1:26" ht="15.75" customHeight="1" x14ac:dyDescent="0.2">
      <c r="A215" s="16"/>
      <c r="B215" s="43"/>
      <c r="C215" s="43"/>
      <c r="D215" s="16"/>
      <c r="E215" s="16"/>
      <c r="F215" s="16"/>
      <c r="G215" s="12"/>
      <c r="H215" s="12"/>
      <c r="I215" s="43"/>
      <c r="J215" s="43"/>
      <c r="K215" s="16"/>
      <c r="L215" s="16"/>
      <c r="M215" s="12"/>
      <c r="N215" s="12"/>
      <c r="O215" s="12"/>
      <c r="P215" s="12"/>
      <c r="Q215" s="12"/>
      <c r="R215" s="12"/>
      <c r="S215" s="12"/>
      <c r="T215" s="12"/>
      <c r="U215" s="16"/>
      <c r="V215" s="16"/>
      <c r="W215" s="12"/>
      <c r="X215" s="16"/>
      <c r="Y215" s="41"/>
      <c r="Z215" s="41"/>
    </row>
    <row r="216" spans="1:26" ht="15.75" customHeight="1" x14ac:dyDescent="0.2">
      <c r="A216" s="16"/>
      <c r="B216" s="43"/>
      <c r="C216" s="43"/>
      <c r="D216" s="16"/>
      <c r="E216" s="16"/>
      <c r="F216" s="16"/>
      <c r="G216" s="12"/>
      <c r="H216" s="12"/>
      <c r="I216" s="43"/>
      <c r="J216" s="43"/>
      <c r="K216" s="16"/>
      <c r="L216" s="16"/>
      <c r="M216" s="12"/>
      <c r="N216" s="12"/>
      <c r="O216" s="12"/>
      <c r="P216" s="12"/>
      <c r="Q216" s="12"/>
      <c r="R216" s="12"/>
      <c r="S216" s="12"/>
      <c r="T216" s="12"/>
      <c r="U216" s="16"/>
      <c r="V216" s="16"/>
      <c r="W216" s="12"/>
      <c r="X216" s="16"/>
      <c r="Y216" s="41"/>
      <c r="Z216" s="41"/>
    </row>
    <row r="217" spans="1:26" ht="15.75" customHeight="1" x14ac:dyDescent="0.2">
      <c r="A217" s="16"/>
      <c r="B217" s="43"/>
      <c r="C217" s="43"/>
      <c r="D217" s="16"/>
      <c r="E217" s="16"/>
      <c r="F217" s="16"/>
      <c r="G217" s="12"/>
      <c r="H217" s="12"/>
      <c r="I217" s="43"/>
      <c r="J217" s="43"/>
      <c r="K217" s="16"/>
      <c r="L217" s="16"/>
      <c r="M217" s="12"/>
      <c r="N217" s="12"/>
      <c r="O217" s="12"/>
      <c r="P217" s="12"/>
      <c r="Q217" s="12"/>
      <c r="R217" s="12"/>
      <c r="S217" s="12"/>
      <c r="T217" s="12"/>
      <c r="U217" s="16"/>
      <c r="V217" s="16"/>
      <c r="W217" s="12"/>
      <c r="X217" s="16"/>
      <c r="Y217" s="41"/>
      <c r="Z217" s="41"/>
    </row>
    <row r="218" spans="1:26" ht="15.75" customHeight="1" x14ac:dyDescent="0.2">
      <c r="A218" s="16"/>
      <c r="B218" s="43"/>
      <c r="C218" s="43"/>
      <c r="D218" s="16"/>
      <c r="E218" s="16"/>
      <c r="F218" s="16"/>
      <c r="G218" s="12"/>
      <c r="H218" s="12"/>
      <c r="I218" s="43"/>
      <c r="J218" s="43"/>
      <c r="K218" s="16"/>
      <c r="L218" s="16"/>
      <c r="M218" s="12"/>
      <c r="N218" s="12"/>
      <c r="O218" s="12"/>
      <c r="P218" s="12"/>
      <c r="Q218" s="12"/>
      <c r="R218" s="12"/>
      <c r="S218" s="12"/>
      <c r="T218" s="12"/>
      <c r="U218" s="16"/>
      <c r="V218" s="16"/>
      <c r="W218" s="12"/>
      <c r="X218" s="16"/>
      <c r="Y218" s="41"/>
      <c r="Z218" s="41"/>
    </row>
    <row r="219" spans="1:26" ht="15.75" customHeight="1" x14ac:dyDescent="0.2">
      <c r="A219" s="16"/>
      <c r="B219" s="43"/>
      <c r="C219" s="43"/>
      <c r="D219" s="16"/>
      <c r="E219" s="16"/>
      <c r="F219" s="16"/>
      <c r="G219" s="12"/>
      <c r="H219" s="12"/>
      <c r="I219" s="43"/>
      <c r="J219" s="43"/>
      <c r="K219" s="16"/>
      <c r="L219" s="16"/>
      <c r="M219" s="12"/>
      <c r="N219" s="12"/>
      <c r="O219" s="12"/>
      <c r="P219" s="12"/>
      <c r="Q219" s="12"/>
      <c r="R219" s="12"/>
      <c r="S219" s="12"/>
      <c r="T219" s="12"/>
      <c r="U219" s="16"/>
      <c r="V219" s="16"/>
      <c r="W219" s="12"/>
      <c r="X219" s="16"/>
      <c r="Y219" s="41"/>
      <c r="Z219" s="41"/>
    </row>
    <row r="220" spans="1:26" ht="15.75" customHeight="1" x14ac:dyDescent="0.2">
      <c r="A220" s="16"/>
      <c r="B220" s="43"/>
      <c r="C220" s="43"/>
      <c r="D220" s="16"/>
      <c r="E220" s="16"/>
      <c r="F220" s="16"/>
      <c r="G220" s="12"/>
      <c r="H220" s="12"/>
      <c r="I220" s="43"/>
      <c r="J220" s="43"/>
      <c r="K220" s="16"/>
      <c r="L220" s="16"/>
      <c r="M220" s="12"/>
      <c r="N220" s="12"/>
      <c r="O220" s="12"/>
      <c r="P220" s="12"/>
      <c r="Q220" s="12"/>
      <c r="R220" s="12"/>
      <c r="S220" s="12"/>
      <c r="T220" s="12"/>
      <c r="U220" s="16"/>
      <c r="V220" s="16"/>
      <c r="W220" s="12"/>
      <c r="X220" s="16"/>
      <c r="Y220" s="41"/>
      <c r="Z220" s="41"/>
    </row>
    <row r="221" spans="1:26" ht="15.75" customHeight="1" x14ac:dyDescent="0.2">
      <c r="A221" s="16"/>
      <c r="B221" s="43"/>
      <c r="C221" s="43"/>
      <c r="D221" s="16"/>
      <c r="E221" s="16"/>
      <c r="F221" s="16"/>
      <c r="G221" s="12"/>
      <c r="H221" s="12"/>
      <c r="I221" s="43"/>
      <c r="J221" s="43"/>
      <c r="K221" s="16"/>
      <c r="L221" s="16"/>
      <c r="M221" s="12"/>
      <c r="N221" s="12"/>
      <c r="O221" s="12"/>
      <c r="P221" s="12"/>
      <c r="Q221" s="12"/>
      <c r="R221" s="12"/>
      <c r="S221" s="12"/>
      <c r="T221" s="12"/>
      <c r="U221" s="16"/>
      <c r="V221" s="16"/>
      <c r="W221" s="12"/>
      <c r="X221" s="16"/>
      <c r="Y221" s="41"/>
      <c r="Z221" s="41"/>
    </row>
    <row r="222" spans="1:26" ht="15.75" customHeight="1" x14ac:dyDescent="0.2">
      <c r="A222" s="16"/>
      <c r="B222" s="43"/>
      <c r="C222" s="43"/>
      <c r="D222" s="16"/>
      <c r="E222" s="16"/>
      <c r="F222" s="16"/>
      <c r="G222" s="12"/>
      <c r="H222" s="12"/>
      <c r="I222" s="43"/>
      <c r="J222" s="43"/>
      <c r="K222" s="16"/>
      <c r="L222" s="16"/>
      <c r="M222" s="12"/>
      <c r="N222" s="12"/>
      <c r="O222" s="12"/>
      <c r="P222" s="12"/>
      <c r="Q222" s="12"/>
      <c r="R222" s="12"/>
      <c r="S222" s="12"/>
      <c r="T222" s="12"/>
      <c r="U222" s="16"/>
      <c r="V222" s="16"/>
      <c r="W222" s="12"/>
      <c r="X222" s="16"/>
      <c r="Y222" s="41"/>
      <c r="Z222" s="41"/>
    </row>
    <row r="223" spans="1:26" ht="15.75" customHeight="1" x14ac:dyDescent="0.2">
      <c r="A223" s="16"/>
      <c r="B223" s="43"/>
      <c r="C223" s="43"/>
      <c r="D223" s="16"/>
      <c r="E223" s="16"/>
      <c r="F223" s="16"/>
      <c r="G223" s="12"/>
      <c r="H223" s="12"/>
      <c r="I223" s="43"/>
      <c r="J223" s="43"/>
      <c r="K223" s="16"/>
      <c r="L223" s="16"/>
      <c r="M223" s="12"/>
      <c r="N223" s="12"/>
      <c r="O223" s="12"/>
      <c r="P223" s="12"/>
      <c r="Q223" s="12"/>
      <c r="R223" s="12"/>
      <c r="S223" s="12"/>
      <c r="T223" s="12"/>
      <c r="U223" s="16"/>
      <c r="V223" s="16"/>
      <c r="W223" s="12"/>
      <c r="X223" s="16"/>
      <c r="Y223" s="41"/>
      <c r="Z223" s="41"/>
    </row>
    <row r="224" spans="1:26" ht="15.75" customHeight="1" x14ac:dyDescent="0.2">
      <c r="A224" s="16"/>
      <c r="B224" s="43"/>
      <c r="C224" s="43"/>
      <c r="D224" s="16"/>
      <c r="E224" s="16"/>
      <c r="F224" s="16"/>
      <c r="G224" s="12"/>
      <c r="H224" s="12"/>
      <c r="I224" s="43"/>
      <c r="J224" s="43"/>
      <c r="K224" s="16"/>
      <c r="L224" s="16"/>
      <c r="M224" s="12"/>
      <c r="N224" s="12"/>
      <c r="O224" s="12"/>
      <c r="P224" s="12"/>
      <c r="Q224" s="12"/>
      <c r="R224" s="12"/>
      <c r="S224" s="12"/>
      <c r="T224" s="12"/>
      <c r="U224" s="16"/>
      <c r="V224" s="16"/>
      <c r="W224" s="12"/>
      <c r="X224" s="16"/>
      <c r="Y224" s="41"/>
      <c r="Z224" s="41"/>
    </row>
    <row r="225" spans="1:26" ht="15.75" customHeight="1" x14ac:dyDescent="0.2">
      <c r="A225" s="16"/>
      <c r="B225" s="43"/>
      <c r="C225" s="43"/>
      <c r="D225" s="16"/>
      <c r="E225" s="16"/>
      <c r="F225" s="16"/>
      <c r="G225" s="12"/>
      <c r="H225" s="12"/>
      <c r="I225" s="43"/>
      <c r="J225" s="43"/>
      <c r="K225" s="16"/>
      <c r="L225" s="16"/>
      <c r="M225" s="12"/>
      <c r="N225" s="12"/>
      <c r="O225" s="12"/>
      <c r="P225" s="12"/>
      <c r="Q225" s="12"/>
      <c r="R225" s="12"/>
      <c r="S225" s="12"/>
      <c r="T225" s="12"/>
      <c r="U225" s="16"/>
      <c r="V225" s="16"/>
      <c r="W225" s="12"/>
      <c r="X225" s="16"/>
      <c r="Y225" s="41"/>
      <c r="Z225" s="41"/>
    </row>
    <row r="226" spans="1:26" ht="15.75" customHeight="1" x14ac:dyDescent="0.2">
      <c r="A226" s="16"/>
      <c r="B226" s="43"/>
      <c r="C226" s="43"/>
      <c r="D226" s="16"/>
      <c r="E226" s="16"/>
      <c r="F226" s="16"/>
      <c r="G226" s="12"/>
      <c r="H226" s="12"/>
      <c r="I226" s="43"/>
      <c r="J226" s="43"/>
      <c r="K226" s="16"/>
      <c r="L226" s="16"/>
      <c r="M226" s="12"/>
      <c r="N226" s="12"/>
      <c r="O226" s="12"/>
      <c r="P226" s="12"/>
      <c r="Q226" s="12"/>
      <c r="R226" s="12"/>
      <c r="S226" s="12"/>
      <c r="T226" s="12"/>
      <c r="U226" s="16"/>
      <c r="V226" s="16"/>
      <c r="W226" s="12"/>
      <c r="X226" s="16"/>
      <c r="Y226" s="41"/>
      <c r="Z226" s="41"/>
    </row>
    <row r="227" spans="1:26" ht="15.75" customHeight="1" x14ac:dyDescent="0.2">
      <c r="A227" s="16"/>
      <c r="B227" s="43"/>
      <c r="C227" s="43"/>
      <c r="D227" s="16"/>
      <c r="E227" s="16"/>
      <c r="F227" s="16"/>
      <c r="G227" s="12"/>
      <c r="H227" s="12"/>
      <c r="I227" s="43"/>
      <c r="J227" s="43"/>
      <c r="K227" s="16"/>
      <c r="L227" s="16"/>
      <c r="M227" s="12"/>
      <c r="N227" s="12"/>
      <c r="O227" s="12"/>
      <c r="P227" s="12"/>
      <c r="Q227" s="12"/>
      <c r="R227" s="12"/>
      <c r="S227" s="12"/>
      <c r="T227" s="12"/>
      <c r="U227" s="16"/>
      <c r="V227" s="16"/>
      <c r="W227" s="12"/>
      <c r="X227" s="16"/>
      <c r="Y227" s="41"/>
      <c r="Z227" s="41"/>
    </row>
    <row r="228" spans="1:26" ht="15.75" customHeight="1" x14ac:dyDescent="0.2">
      <c r="A228" s="16"/>
      <c r="B228" s="43"/>
      <c r="C228" s="43"/>
      <c r="D228" s="16"/>
      <c r="E228" s="16"/>
      <c r="F228" s="16"/>
      <c r="G228" s="12"/>
      <c r="H228" s="12"/>
      <c r="I228" s="43"/>
      <c r="J228" s="43"/>
      <c r="K228" s="16"/>
      <c r="L228" s="16"/>
      <c r="M228" s="12"/>
      <c r="N228" s="12"/>
      <c r="O228" s="12"/>
      <c r="P228" s="12"/>
      <c r="Q228" s="12"/>
      <c r="R228" s="12"/>
      <c r="S228" s="12"/>
      <c r="T228" s="12"/>
      <c r="U228" s="16"/>
      <c r="V228" s="16"/>
      <c r="W228" s="12"/>
      <c r="X228" s="16"/>
      <c r="Y228" s="41"/>
      <c r="Z228" s="41"/>
    </row>
    <row r="229" spans="1:26" ht="15.75" customHeight="1" x14ac:dyDescent="0.2">
      <c r="A229" s="16"/>
      <c r="B229" s="43"/>
      <c r="C229" s="43"/>
      <c r="D229" s="16"/>
      <c r="E229" s="16"/>
      <c r="F229" s="16"/>
      <c r="G229" s="12"/>
      <c r="H229" s="12"/>
      <c r="I229" s="43"/>
      <c r="J229" s="43"/>
      <c r="K229" s="16"/>
      <c r="L229" s="16"/>
      <c r="M229" s="12"/>
      <c r="N229" s="12"/>
      <c r="O229" s="12"/>
      <c r="P229" s="12"/>
      <c r="Q229" s="12"/>
      <c r="R229" s="12"/>
      <c r="S229" s="12"/>
      <c r="T229" s="12"/>
      <c r="U229" s="16"/>
      <c r="V229" s="16"/>
      <c r="W229" s="12"/>
      <c r="X229" s="16"/>
      <c r="Y229" s="41"/>
      <c r="Z229" s="41"/>
    </row>
    <row r="230" spans="1:26" ht="15.75" customHeight="1" x14ac:dyDescent="0.2">
      <c r="A230" s="16"/>
      <c r="B230" s="43"/>
      <c r="C230" s="43"/>
      <c r="D230" s="16"/>
      <c r="E230" s="16"/>
      <c r="F230" s="16"/>
      <c r="G230" s="12"/>
      <c r="H230" s="12"/>
      <c r="I230" s="43"/>
      <c r="J230" s="43"/>
      <c r="K230" s="16"/>
      <c r="L230" s="16"/>
      <c r="M230" s="12"/>
      <c r="N230" s="12"/>
      <c r="O230" s="12"/>
      <c r="P230" s="12"/>
      <c r="Q230" s="12"/>
      <c r="R230" s="12"/>
      <c r="S230" s="12"/>
      <c r="T230" s="12"/>
      <c r="U230" s="16"/>
      <c r="V230" s="16"/>
      <c r="W230" s="12"/>
      <c r="X230" s="16"/>
      <c r="Y230" s="41"/>
      <c r="Z230" s="41"/>
    </row>
    <row r="231" spans="1:26" ht="15.75" customHeight="1" x14ac:dyDescent="0.2">
      <c r="A231" s="16"/>
      <c r="B231" s="43"/>
      <c r="C231" s="43"/>
      <c r="D231" s="16"/>
      <c r="E231" s="16"/>
      <c r="F231" s="16"/>
      <c r="G231" s="12"/>
      <c r="H231" s="12"/>
      <c r="I231" s="43"/>
      <c r="J231" s="43"/>
      <c r="K231" s="16"/>
      <c r="L231" s="16"/>
      <c r="M231" s="12"/>
      <c r="N231" s="12"/>
      <c r="O231" s="12"/>
      <c r="P231" s="12"/>
      <c r="Q231" s="12"/>
      <c r="R231" s="12"/>
      <c r="S231" s="12"/>
      <c r="T231" s="12"/>
      <c r="U231" s="16"/>
      <c r="V231" s="16"/>
      <c r="W231" s="12"/>
      <c r="X231" s="16"/>
      <c r="Y231" s="41"/>
      <c r="Z231" s="41"/>
    </row>
    <row r="232" spans="1:26" ht="15.75" customHeight="1" x14ac:dyDescent="0.2">
      <c r="A232" s="16"/>
      <c r="B232" s="43"/>
      <c r="C232" s="43"/>
      <c r="D232" s="16"/>
      <c r="E232" s="16"/>
      <c r="F232" s="16"/>
      <c r="G232" s="12"/>
      <c r="H232" s="12"/>
      <c r="I232" s="43"/>
      <c r="J232" s="43"/>
      <c r="K232" s="16"/>
      <c r="L232" s="16"/>
      <c r="M232" s="12"/>
      <c r="N232" s="12"/>
      <c r="O232" s="12"/>
      <c r="P232" s="12"/>
      <c r="Q232" s="12"/>
      <c r="R232" s="12"/>
      <c r="S232" s="12"/>
      <c r="T232" s="12"/>
      <c r="U232" s="16"/>
      <c r="V232" s="16"/>
      <c r="W232" s="12"/>
      <c r="X232" s="16"/>
      <c r="Y232" s="41"/>
      <c r="Z232" s="41"/>
    </row>
    <row r="233" spans="1:26" ht="15.75" customHeight="1" x14ac:dyDescent="0.2">
      <c r="A233" s="16"/>
      <c r="B233" s="43"/>
      <c r="C233" s="43"/>
      <c r="D233" s="16"/>
      <c r="E233" s="16"/>
      <c r="F233" s="16"/>
      <c r="G233" s="12"/>
      <c r="H233" s="12"/>
      <c r="I233" s="43"/>
      <c r="J233" s="43"/>
      <c r="K233" s="16"/>
      <c r="L233" s="16"/>
      <c r="M233" s="12"/>
      <c r="N233" s="12"/>
      <c r="O233" s="12"/>
      <c r="P233" s="12"/>
      <c r="Q233" s="12"/>
      <c r="R233" s="12"/>
      <c r="S233" s="12"/>
      <c r="T233" s="12"/>
      <c r="U233" s="16"/>
      <c r="V233" s="16"/>
      <c r="W233" s="12"/>
      <c r="X233" s="16"/>
      <c r="Y233" s="41"/>
      <c r="Z233" s="41"/>
    </row>
    <row r="234" spans="1:26" ht="15.75" customHeight="1" x14ac:dyDescent="0.2">
      <c r="A234" s="16"/>
      <c r="B234" s="43"/>
      <c r="C234" s="43"/>
      <c r="D234" s="16"/>
      <c r="E234" s="16"/>
      <c r="F234" s="16"/>
      <c r="G234" s="12"/>
      <c r="H234" s="12"/>
      <c r="I234" s="43"/>
      <c r="J234" s="43"/>
      <c r="K234" s="16"/>
      <c r="L234" s="16"/>
      <c r="M234" s="12"/>
      <c r="N234" s="12"/>
      <c r="O234" s="12"/>
      <c r="P234" s="12"/>
      <c r="Q234" s="12"/>
      <c r="R234" s="12"/>
      <c r="S234" s="12"/>
      <c r="T234" s="12"/>
      <c r="U234" s="16"/>
      <c r="V234" s="16"/>
      <c r="W234" s="12"/>
      <c r="X234" s="16"/>
      <c r="Y234" s="41"/>
      <c r="Z234" s="41"/>
    </row>
    <row r="235" spans="1:26" ht="15.75" customHeight="1" x14ac:dyDescent="0.2">
      <c r="A235" s="16"/>
      <c r="B235" s="43"/>
      <c r="C235" s="43"/>
      <c r="D235" s="16"/>
      <c r="E235" s="16"/>
      <c r="F235" s="16"/>
      <c r="G235" s="12"/>
      <c r="H235" s="12"/>
      <c r="I235" s="43"/>
      <c r="J235" s="43"/>
      <c r="K235" s="16"/>
      <c r="L235" s="16"/>
      <c r="M235" s="12"/>
      <c r="N235" s="12"/>
      <c r="O235" s="12"/>
      <c r="P235" s="12"/>
      <c r="Q235" s="12"/>
      <c r="R235" s="12"/>
      <c r="S235" s="12"/>
      <c r="T235" s="12"/>
      <c r="U235" s="16"/>
      <c r="V235" s="16"/>
      <c r="W235" s="12"/>
      <c r="X235" s="16"/>
      <c r="Y235" s="41"/>
      <c r="Z235" s="41"/>
    </row>
    <row r="236" spans="1:26" ht="15.75" customHeight="1" x14ac:dyDescent="0.2">
      <c r="A236" s="16"/>
      <c r="B236" s="43"/>
      <c r="C236" s="43"/>
      <c r="D236" s="16"/>
      <c r="E236" s="16"/>
      <c r="F236" s="16"/>
      <c r="G236" s="12"/>
      <c r="H236" s="12"/>
      <c r="I236" s="43"/>
      <c r="J236" s="43"/>
      <c r="K236" s="16"/>
      <c r="L236" s="16"/>
      <c r="M236" s="12"/>
      <c r="N236" s="12"/>
      <c r="O236" s="12"/>
      <c r="P236" s="12"/>
      <c r="Q236" s="12"/>
      <c r="R236" s="12"/>
      <c r="S236" s="12"/>
      <c r="T236" s="12"/>
      <c r="U236" s="16"/>
      <c r="V236" s="16"/>
      <c r="W236" s="12"/>
      <c r="X236" s="16"/>
      <c r="Y236" s="41"/>
      <c r="Z236" s="41"/>
    </row>
    <row r="237" spans="1:26" ht="15.75" customHeight="1" x14ac:dyDescent="0.2">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x14ac:dyDescent="0.2">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x14ac:dyDescent="0.2">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x14ac:dyDescent="0.2">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x14ac:dyDescent="0.2">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x14ac:dyDescent="0.2">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x14ac:dyDescent="0.2">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x14ac:dyDescent="0.2">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x14ac:dyDescent="0.2">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x14ac:dyDescent="0.2">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x14ac:dyDescent="0.2">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x14ac:dyDescent="0.2">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x14ac:dyDescent="0.2">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x14ac:dyDescent="0.2">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x14ac:dyDescent="0.2">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x14ac:dyDescent="0.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x14ac:dyDescent="0.2">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x14ac:dyDescent="0.2">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x14ac:dyDescent="0.2">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x14ac:dyDescent="0.2">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x14ac:dyDescent="0.2">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x14ac:dyDescent="0.2">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x14ac:dyDescent="0.2">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x14ac:dyDescent="0.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2">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2">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2">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2">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2">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2">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2">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2">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2">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2">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2">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2">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2">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2">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2">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2">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2">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2">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2">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2">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2">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2">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2">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2">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2">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2">
    <mergeCell ref="U8:V8"/>
    <mergeCell ref="O25:P25"/>
  </mergeCells>
  <hyperlinks>
    <hyperlink ref="A2" r:id="rId1" xr:uid="{00000000-0004-0000-0200-000000000000}"/>
    <hyperlink ref="H2" r:id="rId2" xr:uid="{00000000-0004-0000-0200-000001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4.5" defaultRowHeight="15" customHeight="1" x14ac:dyDescent="0.15"/>
  <cols>
    <col min="1" max="1" width="13.5" customWidth="1"/>
    <col min="2" max="3" width="26.6640625" customWidth="1"/>
    <col min="4" max="4" width="14.33203125" customWidth="1"/>
    <col min="5" max="5" width="13.5" customWidth="1"/>
    <col min="6" max="6" width="11.33203125" customWidth="1"/>
    <col min="7" max="7" width="9.1640625" customWidth="1"/>
    <col min="8" max="8" width="35.5" customWidth="1"/>
    <col min="9" max="9" width="17.1640625" customWidth="1"/>
    <col min="10" max="10" width="4.83203125" customWidth="1"/>
    <col min="11" max="11" width="31.5" customWidth="1"/>
    <col min="12" max="12" width="17.1640625" customWidth="1"/>
    <col min="13" max="13" width="6.5" customWidth="1"/>
    <col min="14" max="14" width="79.33203125" customWidth="1"/>
  </cols>
  <sheetData>
    <row r="1" spans="1:26" ht="15.75" customHeight="1" x14ac:dyDescent="0.2">
      <c r="A1" s="38" t="s">
        <v>175</v>
      </c>
      <c r="B1" s="2"/>
      <c r="C1" s="2"/>
      <c r="D1" s="40"/>
      <c r="E1" s="40"/>
      <c r="F1" s="40"/>
      <c r="G1" s="40"/>
      <c r="H1" s="38" t="s">
        <v>176</v>
      </c>
      <c r="I1" s="40"/>
      <c r="J1" s="40"/>
      <c r="K1" s="73"/>
      <c r="L1" s="40"/>
      <c r="M1" s="40"/>
      <c r="N1" s="2"/>
      <c r="O1" s="41"/>
      <c r="P1" s="41"/>
      <c r="Q1" s="41"/>
      <c r="R1" s="41"/>
      <c r="S1" s="41"/>
      <c r="T1" s="41"/>
      <c r="U1" s="41"/>
      <c r="V1" s="41"/>
      <c r="W1" s="41"/>
      <c r="X1" s="41"/>
      <c r="Y1" s="41"/>
      <c r="Z1" s="41"/>
    </row>
    <row r="2" spans="1:26" ht="15.75" customHeight="1" x14ac:dyDescent="0.2">
      <c r="A2" s="218" t="s">
        <v>177</v>
      </c>
      <c r="B2" s="217"/>
      <c r="C2" s="217"/>
      <c r="D2" s="12"/>
      <c r="E2" s="12"/>
      <c r="F2" s="12"/>
      <c r="G2" s="12"/>
      <c r="H2" s="44" t="s">
        <v>73</v>
      </c>
      <c r="I2" s="45"/>
      <c r="J2" s="12"/>
      <c r="K2" s="44" t="s">
        <v>74</v>
      </c>
      <c r="L2" s="45"/>
      <c r="M2" s="12"/>
      <c r="N2" s="44" t="s">
        <v>76</v>
      </c>
      <c r="O2" s="41"/>
      <c r="P2" s="41"/>
      <c r="Q2" s="41"/>
      <c r="R2" s="41"/>
      <c r="S2" s="41"/>
      <c r="T2" s="41"/>
      <c r="U2" s="41"/>
      <c r="V2" s="41"/>
      <c r="W2" s="41"/>
      <c r="X2" s="41"/>
      <c r="Y2" s="41"/>
      <c r="Z2" s="41"/>
    </row>
    <row r="3" spans="1:26" ht="25.5" customHeight="1" x14ac:dyDescent="0.2">
      <c r="A3" s="7" t="s">
        <v>18</v>
      </c>
      <c r="B3" s="7" t="s">
        <v>77</v>
      </c>
      <c r="C3" s="7" t="s">
        <v>78</v>
      </c>
      <c r="D3" s="47" t="s">
        <v>79</v>
      </c>
      <c r="E3" s="47" t="s">
        <v>80</v>
      </c>
      <c r="F3" s="48" t="s">
        <v>81</v>
      </c>
      <c r="G3" s="12"/>
      <c r="H3" s="49" t="s">
        <v>82</v>
      </c>
      <c r="I3" s="50" t="s">
        <v>178</v>
      </c>
      <c r="J3" s="36"/>
      <c r="K3" s="49" t="s">
        <v>84</v>
      </c>
      <c r="L3" s="50" t="s">
        <v>179</v>
      </c>
      <c r="M3" s="12"/>
      <c r="N3" s="57" t="s">
        <v>100</v>
      </c>
      <c r="O3" s="41"/>
      <c r="P3" s="41"/>
      <c r="Q3" s="41"/>
      <c r="R3" s="41"/>
      <c r="S3" s="41"/>
      <c r="T3" s="41"/>
      <c r="U3" s="41"/>
      <c r="V3" s="41"/>
      <c r="W3" s="41"/>
      <c r="X3" s="41"/>
      <c r="Y3" s="41"/>
      <c r="Z3" s="41"/>
    </row>
    <row r="4" spans="1:26" ht="27" customHeight="1" x14ac:dyDescent="0.2">
      <c r="A4" s="16">
        <v>0</v>
      </c>
      <c r="B4" s="43" t="s">
        <v>180</v>
      </c>
      <c r="C4" s="43" t="s">
        <v>181</v>
      </c>
      <c r="D4" s="15">
        <f>L31+((I23*L16)/4)+((I23*I17)/4)</f>
        <v>7.9164924539955557</v>
      </c>
      <c r="E4" s="15">
        <f>(3*L16)+(3*L6)+(2*I24*I17)+(3*L36)</f>
        <v>27.980592988902458</v>
      </c>
      <c r="F4" s="15">
        <f t="shared" ref="F4:F24" si="0">IFERROR(D4+E4,"error")</f>
        <v>35.897085442898018</v>
      </c>
      <c r="G4" s="12"/>
      <c r="H4" s="52" t="s">
        <v>91</v>
      </c>
      <c r="I4" s="53">
        <v>10</v>
      </c>
      <c r="J4" s="12"/>
      <c r="K4" s="52" t="s">
        <v>92</v>
      </c>
      <c r="L4" s="53">
        <v>1</v>
      </c>
      <c r="M4" s="12"/>
      <c r="N4" s="15"/>
      <c r="O4" s="41"/>
      <c r="P4" s="41"/>
      <c r="Q4" s="41"/>
      <c r="R4" s="41"/>
      <c r="S4" s="41"/>
      <c r="T4" s="41"/>
      <c r="U4" s="41"/>
      <c r="V4" s="41"/>
      <c r="W4" s="41"/>
      <c r="X4" s="41"/>
      <c r="Y4" s="41"/>
      <c r="Z4" s="41"/>
    </row>
    <row r="5" spans="1:26" ht="27" customHeight="1" x14ac:dyDescent="0.2">
      <c r="A5" s="16">
        <v>1</v>
      </c>
      <c r="B5" s="43" t="s">
        <v>182</v>
      </c>
      <c r="C5" s="43" t="s">
        <v>183</v>
      </c>
      <c r="D5" s="15">
        <f>((I23*I17)/2)+((I23*L11)/2)+((I23*L41)/2)</f>
        <v>14.711505942902221</v>
      </c>
      <c r="E5" s="15">
        <f>(2*L11)+(2*L31)+(2*L16)+(2*L36)</f>
        <v>15.124000000000001</v>
      </c>
      <c r="F5" s="15">
        <f t="shared" si="0"/>
        <v>29.835505942902223</v>
      </c>
      <c r="G5" s="12"/>
      <c r="H5" s="52" t="s">
        <v>97</v>
      </c>
      <c r="I5" s="54">
        <v>1.99</v>
      </c>
      <c r="J5" s="12"/>
      <c r="K5" s="55" t="s">
        <v>98</v>
      </c>
      <c r="L5" s="56">
        <v>9</v>
      </c>
      <c r="M5" s="12"/>
      <c r="N5" s="15"/>
      <c r="O5" s="41"/>
      <c r="P5" s="41"/>
      <c r="Q5" s="41"/>
      <c r="R5" s="41"/>
      <c r="S5" s="41"/>
      <c r="T5" s="41"/>
      <c r="U5" s="41"/>
      <c r="V5" s="41"/>
      <c r="W5" s="41"/>
      <c r="X5" s="41"/>
      <c r="Y5" s="41"/>
      <c r="Z5" s="41"/>
    </row>
    <row r="6" spans="1:26" ht="27" customHeight="1" x14ac:dyDescent="0.2">
      <c r="A6" s="16">
        <v>2</v>
      </c>
      <c r="B6" s="43" t="s">
        <v>184</v>
      </c>
      <c r="C6" s="43" t="s">
        <v>185</v>
      </c>
      <c r="D6" s="15">
        <f>((I23*L26)/4)</f>
        <v>3.2202605174555554</v>
      </c>
      <c r="E6" s="15">
        <f>L6+(2*L41)</f>
        <v>4.3116666666666665</v>
      </c>
      <c r="F6" s="15">
        <f t="shared" si="0"/>
        <v>7.531927184122222</v>
      </c>
      <c r="G6" s="12"/>
      <c r="H6" s="58" t="s">
        <v>104</v>
      </c>
      <c r="I6" s="60">
        <f>I5/I4</f>
        <v>0.19900000000000001</v>
      </c>
      <c r="J6" s="12"/>
      <c r="K6" s="58" t="s">
        <v>104</v>
      </c>
      <c r="L6" s="60">
        <f>L5/L4*$I$6</f>
        <v>1.7910000000000001</v>
      </c>
      <c r="M6" s="12"/>
      <c r="N6" s="34"/>
      <c r="O6" s="41"/>
      <c r="P6" s="41"/>
      <c r="Q6" s="41"/>
      <c r="R6" s="41"/>
      <c r="S6" s="41"/>
      <c r="T6" s="41"/>
      <c r="U6" s="41"/>
      <c r="V6" s="41"/>
      <c r="W6" s="41"/>
      <c r="X6" s="41"/>
      <c r="Y6" s="41"/>
      <c r="Z6" s="41"/>
    </row>
    <row r="7" spans="1:26" ht="27" customHeight="1" x14ac:dyDescent="0.2">
      <c r="A7" s="16">
        <v>3</v>
      </c>
      <c r="B7" s="43" t="s">
        <v>186</v>
      </c>
      <c r="C7" s="43" t="s">
        <v>187</v>
      </c>
      <c r="D7" s="15">
        <f>(I23*L36)/4</f>
        <v>3.2202605174555554</v>
      </c>
      <c r="E7" s="15">
        <f>L31+(2*L11)</f>
        <v>6.3016666666666667</v>
      </c>
      <c r="F7" s="15">
        <f t="shared" si="0"/>
        <v>9.5219271841222231</v>
      </c>
      <c r="G7" s="12"/>
      <c r="H7" s="61"/>
      <c r="I7" s="62"/>
      <c r="J7" s="12"/>
      <c r="K7" s="52"/>
      <c r="L7" s="56"/>
      <c r="M7" s="12"/>
      <c r="N7" s="15"/>
      <c r="O7" s="41"/>
      <c r="P7" s="41"/>
      <c r="Q7" s="41"/>
      <c r="R7" s="41"/>
      <c r="S7" s="41"/>
      <c r="T7" s="41"/>
      <c r="U7" s="41"/>
      <c r="V7" s="41"/>
      <c r="W7" s="41"/>
      <c r="X7" s="41"/>
      <c r="Y7" s="41"/>
      <c r="Z7" s="41"/>
    </row>
    <row r="8" spans="1:26" ht="27" customHeight="1" x14ac:dyDescent="0.2">
      <c r="A8" s="16">
        <v>4</v>
      </c>
      <c r="B8" s="43" t="s">
        <v>188</v>
      </c>
      <c r="C8" s="43" t="s">
        <v>189</v>
      </c>
      <c r="D8" s="15">
        <f>((I23*L41)/4)</f>
        <v>3.2202605174555554</v>
      </c>
      <c r="E8" s="15">
        <f>(2*L26)+L21+L41</f>
        <v>6.5670000000000002</v>
      </c>
      <c r="F8" s="15">
        <f t="shared" si="0"/>
        <v>9.7872605174555556</v>
      </c>
      <c r="G8" s="12"/>
      <c r="H8" s="49" t="s">
        <v>110</v>
      </c>
      <c r="I8" s="50" t="s">
        <v>111</v>
      </c>
      <c r="J8" s="36"/>
      <c r="K8" s="49" t="s">
        <v>112</v>
      </c>
      <c r="L8" s="50" t="s">
        <v>190</v>
      </c>
      <c r="M8" s="12"/>
      <c r="N8" s="63"/>
      <c r="O8" s="41"/>
      <c r="P8" s="41"/>
      <c r="Q8" s="41"/>
      <c r="R8" s="41"/>
      <c r="S8" s="41"/>
      <c r="T8" s="41"/>
      <c r="U8" s="41"/>
      <c r="V8" s="41"/>
      <c r="W8" s="41"/>
      <c r="X8" s="41"/>
      <c r="Y8" s="41"/>
      <c r="Z8" s="41"/>
    </row>
    <row r="9" spans="1:26" ht="27" customHeight="1" x14ac:dyDescent="0.2">
      <c r="A9" s="16">
        <v>5</v>
      </c>
      <c r="B9" s="43" t="s">
        <v>191</v>
      </c>
      <c r="C9" s="43" t="s">
        <v>192</v>
      </c>
      <c r="D9" s="15">
        <f>((I23*I17)/4)+((I23*L11)/4)</f>
        <v>4.1354924539955551</v>
      </c>
      <c r="E9" s="15">
        <f>L6+(2*L36)</f>
        <v>4.3116666666666665</v>
      </c>
      <c r="F9" s="15">
        <f t="shared" si="0"/>
        <v>8.4471591206622207</v>
      </c>
      <c r="G9" s="12"/>
      <c r="H9" s="52" t="s">
        <v>117</v>
      </c>
      <c r="I9" s="53" t="s">
        <v>111</v>
      </c>
      <c r="J9" s="12"/>
      <c r="K9" s="52" t="s">
        <v>92</v>
      </c>
      <c r="L9" s="53">
        <v>3</v>
      </c>
      <c r="M9" s="12"/>
      <c r="N9" s="15"/>
      <c r="O9" s="41"/>
      <c r="P9" s="41"/>
      <c r="Q9" s="41"/>
      <c r="R9" s="41"/>
      <c r="S9" s="41"/>
      <c r="T9" s="41"/>
      <c r="U9" s="41"/>
      <c r="V9" s="41"/>
      <c r="W9" s="41"/>
      <c r="X9" s="41"/>
      <c r="Y9" s="41"/>
      <c r="Z9" s="41"/>
    </row>
    <row r="10" spans="1:26" ht="27" customHeight="1" x14ac:dyDescent="0.2">
      <c r="A10" s="16">
        <v>6</v>
      </c>
      <c r="B10" s="43" t="s">
        <v>184</v>
      </c>
      <c r="C10" s="43" t="s">
        <v>193</v>
      </c>
      <c r="D10" s="15">
        <f>((I23*L26)/4)</f>
        <v>3.2202605174555554</v>
      </c>
      <c r="E10" s="15">
        <f>L31+(2*L16)</f>
        <v>6.3016666666666667</v>
      </c>
      <c r="F10" s="15">
        <f t="shared" si="0"/>
        <v>9.5219271841222231</v>
      </c>
      <c r="G10" s="12"/>
      <c r="H10" s="55" t="s">
        <v>121</v>
      </c>
      <c r="I10" s="56" t="s">
        <v>111</v>
      </c>
      <c r="J10" s="12"/>
      <c r="K10" s="55" t="s">
        <v>98</v>
      </c>
      <c r="L10" s="56">
        <v>19</v>
      </c>
      <c r="M10" s="12"/>
      <c r="N10" s="15"/>
      <c r="O10" s="41"/>
      <c r="P10" s="41"/>
      <c r="Q10" s="41"/>
      <c r="R10" s="41"/>
      <c r="S10" s="41"/>
      <c r="T10" s="41"/>
      <c r="U10" s="41"/>
      <c r="V10" s="41"/>
      <c r="W10" s="41"/>
      <c r="X10" s="41"/>
      <c r="Y10" s="41"/>
      <c r="Z10" s="41"/>
    </row>
    <row r="11" spans="1:26" ht="27" customHeight="1" x14ac:dyDescent="0.2">
      <c r="A11" s="16">
        <v>7</v>
      </c>
      <c r="B11" s="43" t="s">
        <v>188</v>
      </c>
      <c r="C11" s="43" t="s">
        <v>194</v>
      </c>
      <c r="D11" s="15">
        <f>((I23*L41)/4)</f>
        <v>3.2202605174555554</v>
      </c>
      <c r="E11" s="15">
        <f>L6+L26+(2*L41)</f>
        <v>5.5720000000000001</v>
      </c>
      <c r="F11" s="15">
        <f t="shared" si="0"/>
        <v>8.7922605174555564</v>
      </c>
      <c r="G11" s="12"/>
      <c r="H11" s="58" t="s">
        <v>104</v>
      </c>
      <c r="I11" s="59" t="str">
        <f>IF(I9="N/A","N/A",I10/I9)</f>
        <v>N/A</v>
      </c>
      <c r="J11" s="12"/>
      <c r="K11" s="58" t="s">
        <v>104</v>
      </c>
      <c r="L11" s="60">
        <f>L10/L9*$I$6</f>
        <v>1.2603333333333333</v>
      </c>
      <c r="M11" s="12"/>
      <c r="N11" s="15"/>
      <c r="O11" s="41"/>
      <c r="P11" s="41"/>
      <c r="Q11" s="41"/>
      <c r="R11" s="41"/>
      <c r="S11" s="41"/>
      <c r="T11" s="41"/>
      <c r="U11" s="41"/>
      <c r="V11" s="41"/>
      <c r="W11" s="41"/>
      <c r="X11" s="41"/>
      <c r="Y11" s="41"/>
      <c r="Z11" s="41"/>
    </row>
    <row r="12" spans="1:26" ht="27" customHeight="1" x14ac:dyDescent="0.2">
      <c r="A12" s="16">
        <v>8</v>
      </c>
      <c r="B12" s="43" t="s">
        <v>186</v>
      </c>
      <c r="C12" s="43" t="s">
        <v>195</v>
      </c>
      <c r="D12" s="15">
        <f>((I23*L36)/4)</f>
        <v>3.2202605174555554</v>
      </c>
      <c r="E12" s="15">
        <f>L21+(2*L26)</f>
        <v>5.3066666666666666</v>
      </c>
      <c r="F12" s="15">
        <f t="shared" si="0"/>
        <v>8.5269271841222221</v>
      </c>
      <c r="G12" s="12"/>
      <c r="H12" s="52"/>
      <c r="I12" s="56"/>
      <c r="J12" s="12"/>
      <c r="K12" s="52"/>
      <c r="L12" s="64"/>
      <c r="M12" s="12"/>
      <c r="N12" s="15"/>
      <c r="O12" s="41"/>
      <c r="P12" s="41"/>
      <c r="Q12" s="41"/>
      <c r="R12" s="41"/>
      <c r="S12" s="41"/>
      <c r="T12" s="41"/>
      <c r="U12" s="41"/>
      <c r="V12" s="41"/>
      <c r="W12" s="41"/>
      <c r="X12" s="41"/>
      <c r="Y12" s="41"/>
      <c r="Z12" s="41"/>
    </row>
    <row r="13" spans="1:26" ht="27" customHeight="1" x14ac:dyDescent="0.2">
      <c r="A13" s="16">
        <v>9</v>
      </c>
      <c r="B13" s="43" t="s">
        <v>196</v>
      </c>
      <c r="C13" s="43" t="s">
        <v>187</v>
      </c>
      <c r="D13" s="15">
        <f>((I23*L11)/4)</f>
        <v>3.2202605174555554</v>
      </c>
      <c r="E13" s="15">
        <f>L31+(2*L11)</f>
        <v>6.3016666666666667</v>
      </c>
      <c r="F13" s="15">
        <f t="shared" si="0"/>
        <v>9.5219271841222231</v>
      </c>
      <c r="G13" s="12"/>
      <c r="H13" s="44" t="s">
        <v>130</v>
      </c>
      <c r="I13" s="45"/>
      <c r="J13" s="36"/>
      <c r="K13" s="49" t="s">
        <v>131</v>
      </c>
      <c r="L13" s="50" t="s">
        <v>197</v>
      </c>
      <c r="M13" s="12"/>
      <c r="N13" s="34"/>
      <c r="O13" s="41"/>
      <c r="P13" s="41"/>
      <c r="Q13" s="41"/>
      <c r="R13" s="41"/>
      <c r="S13" s="41"/>
      <c r="T13" s="41"/>
      <c r="U13" s="41"/>
      <c r="V13" s="41"/>
      <c r="W13" s="41"/>
      <c r="X13" s="41"/>
      <c r="Y13" s="41"/>
      <c r="Z13" s="41"/>
    </row>
    <row r="14" spans="1:26" ht="27" customHeight="1" x14ac:dyDescent="0.2">
      <c r="A14" s="16">
        <v>10</v>
      </c>
      <c r="B14" s="43" t="s">
        <v>198</v>
      </c>
      <c r="C14" s="43" t="s">
        <v>199</v>
      </c>
      <c r="D14" s="15">
        <f>((I23*I17)/2)+((I23*L26)/2)+((I23*L41)/2)</f>
        <v>14.711505942902221</v>
      </c>
      <c r="E14" s="15">
        <f>(2*L21)+(2*L26)+(2*L11)+(2*L36)</f>
        <v>13.134</v>
      </c>
      <c r="F14" s="15">
        <f t="shared" si="0"/>
        <v>27.845505942902221</v>
      </c>
      <c r="G14" s="12"/>
      <c r="H14" s="49" t="s">
        <v>135</v>
      </c>
      <c r="I14" s="50" t="s">
        <v>136</v>
      </c>
      <c r="J14" s="12"/>
      <c r="K14" s="52" t="s">
        <v>92</v>
      </c>
      <c r="L14" s="53">
        <v>3</v>
      </c>
      <c r="M14" s="12"/>
      <c r="N14" s="66"/>
      <c r="O14" s="41"/>
      <c r="P14" s="41"/>
      <c r="Q14" s="41"/>
      <c r="R14" s="41"/>
      <c r="S14" s="41"/>
      <c r="T14" s="41"/>
      <c r="U14" s="41"/>
      <c r="V14" s="41"/>
      <c r="W14" s="41"/>
      <c r="X14" s="41"/>
      <c r="Y14" s="41"/>
      <c r="Z14" s="41"/>
    </row>
    <row r="15" spans="1:26" ht="27" customHeight="1" x14ac:dyDescent="0.2">
      <c r="A15" s="16">
        <v>11</v>
      </c>
      <c r="B15" s="43" t="s">
        <v>184</v>
      </c>
      <c r="C15" s="43" t="s">
        <v>192</v>
      </c>
      <c r="D15" s="15">
        <f>((I23*L26)/4)</f>
        <v>3.2202605174555554</v>
      </c>
      <c r="E15" s="15">
        <f>L6+(2*L36)</f>
        <v>4.3116666666666665</v>
      </c>
      <c r="F15" s="15">
        <f t="shared" si="0"/>
        <v>7.531927184122222</v>
      </c>
      <c r="G15" s="12"/>
      <c r="H15" s="52" t="s">
        <v>117</v>
      </c>
      <c r="I15" s="53">
        <v>5</v>
      </c>
      <c r="J15" s="12"/>
      <c r="K15" s="55" t="s">
        <v>98</v>
      </c>
      <c r="L15" s="56">
        <v>19</v>
      </c>
      <c r="M15" s="12"/>
      <c r="N15" s="16"/>
      <c r="O15" s="41"/>
      <c r="P15" s="41"/>
      <c r="Q15" s="41"/>
      <c r="R15" s="41"/>
      <c r="S15" s="41"/>
      <c r="T15" s="41"/>
      <c r="U15" s="41"/>
      <c r="V15" s="41"/>
      <c r="W15" s="41"/>
      <c r="X15" s="41"/>
      <c r="Y15" s="41"/>
      <c r="Z15" s="41"/>
    </row>
    <row r="16" spans="1:26" ht="27" customHeight="1" x14ac:dyDescent="0.2">
      <c r="A16" s="16">
        <v>12</v>
      </c>
      <c r="B16" s="43" t="s">
        <v>186</v>
      </c>
      <c r="C16" s="43" t="s">
        <v>193</v>
      </c>
      <c r="D16" s="15">
        <f>((I23*L36)/4)</f>
        <v>3.2202605174555554</v>
      </c>
      <c r="E16" s="15">
        <f>L31+(2*L16)</f>
        <v>6.3016666666666667</v>
      </c>
      <c r="F16" s="15">
        <f t="shared" si="0"/>
        <v>9.5219271841222231</v>
      </c>
      <c r="G16" s="12"/>
      <c r="H16" s="52" t="s">
        <v>139</v>
      </c>
      <c r="I16" s="53">
        <v>9</v>
      </c>
      <c r="J16" s="12"/>
      <c r="K16" s="58" t="s">
        <v>104</v>
      </c>
      <c r="L16" s="60">
        <f>L15/L14*$I$6</f>
        <v>1.2603333333333333</v>
      </c>
      <c r="M16" s="12"/>
      <c r="N16" s="16"/>
      <c r="O16" s="41"/>
      <c r="P16" s="41"/>
      <c r="Q16" s="41"/>
      <c r="R16" s="41"/>
      <c r="S16" s="41"/>
      <c r="T16" s="41"/>
      <c r="U16" s="41"/>
      <c r="V16" s="41"/>
      <c r="W16" s="41"/>
      <c r="X16" s="41"/>
      <c r="Y16" s="41"/>
      <c r="Z16" s="41"/>
    </row>
    <row r="17" spans="1:26" ht="27" customHeight="1" x14ac:dyDescent="0.2">
      <c r="A17" s="16">
        <v>13</v>
      </c>
      <c r="B17" s="43" t="s">
        <v>200</v>
      </c>
      <c r="C17" s="43" t="s">
        <v>194</v>
      </c>
      <c r="D17" s="15">
        <f>((I23*L16)/4)</f>
        <v>3.2202605174555554</v>
      </c>
      <c r="E17" s="15">
        <f>L26+L6+(2*L41)</f>
        <v>5.5720000000000001</v>
      </c>
      <c r="F17" s="15">
        <f t="shared" si="0"/>
        <v>8.7922605174555564</v>
      </c>
      <c r="G17" s="12"/>
      <c r="H17" s="58" t="s">
        <v>104</v>
      </c>
      <c r="I17" s="60">
        <f>I16/I15*I6</f>
        <v>0.35820000000000002</v>
      </c>
      <c r="J17" s="12"/>
      <c r="K17" s="12"/>
      <c r="L17" s="54"/>
      <c r="M17" s="12"/>
      <c r="N17" s="16"/>
      <c r="O17" s="41"/>
      <c r="P17" s="41"/>
      <c r="Q17" s="41"/>
      <c r="R17" s="41"/>
      <c r="S17" s="41"/>
      <c r="T17" s="41"/>
      <c r="U17" s="41"/>
      <c r="V17" s="41"/>
      <c r="W17" s="41"/>
      <c r="X17" s="41"/>
      <c r="Y17" s="41"/>
      <c r="Z17" s="41"/>
    </row>
    <row r="18" spans="1:26" ht="27" customHeight="1" x14ac:dyDescent="0.2">
      <c r="A18" s="16">
        <v>14</v>
      </c>
      <c r="B18" s="43" t="s">
        <v>196</v>
      </c>
      <c r="C18" s="43" t="s">
        <v>195</v>
      </c>
      <c r="D18" s="15">
        <f>((I23*L11)/4)</f>
        <v>3.2202605174555554</v>
      </c>
      <c r="E18" s="15">
        <f>L21+(2*L26)</f>
        <v>5.3066666666666666</v>
      </c>
      <c r="F18" s="15">
        <f t="shared" si="0"/>
        <v>8.5269271841222221</v>
      </c>
      <c r="G18" s="12"/>
      <c r="H18" s="12"/>
      <c r="I18" s="12"/>
      <c r="J18" s="36"/>
      <c r="K18" s="49" t="s">
        <v>143</v>
      </c>
      <c r="L18" s="67" t="s">
        <v>201</v>
      </c>
      <c r="M18" s="12"/>
      <c r="N18" s="16"/>
      <c r="O18" s="41"/>
      <c r="P18" s="41"/>
      <c r="Q18" s="41"/>
      <c r="R18" s="41"/>
      <c r="S18" s="41"/>
      <c r="T18" s="41"/>
      <c r="U18" s="41"/>
      <c r="V18" s="41"/>
      <c r="W18" s="41"/>
      <c r="X18" s="41"/>
      <c r="Y18" s="41"/>
      <c r="Z18" s="41"/>
    </row>
    <row r="19" spans="1:26" ht="27" customHeight="1" x14ac:dyDescent="0.2">
      <c r="A19" s="16">
        <v>15</v>
      </c>
      <c r="B19" s="43" t="s">
        <v>202</v>
      </c>
      <c r="C19" s="43" t="s">
        <v>185</v>
      </c>
      <c r="D19" s="15">
        <f>((I23*I17)/4)+((I23*L26)/4)</f>
        <v>4.1354924539955551</v>
      </c>
      <c r="E19" s="15">
        <f>L6+(2*L41)</f>
        <v>4.3116666666666665</v>
      </c>
      <c r="F19" s="15">
        <f t="shared" si="0"/>
        <v>8.4471591206622207</v>
      </c>
      <c r="G19" s="12"/>
      <c r="H19" s="44" t="s">
        <v>147</v>
      </c>
      <c r="I19" s="45"/>
      <c r="J19" s="12"/>
      <c r="K19" s="52" t="s">
        <v>92</v>
      </c>
      <c r="L19" s="53">
        <v>1</v>
      </c>
      <c r="M19" s="12"/>
      <c r="N19" s="16"/>
      <c r="O19" s="41"/>
      <c r="P19" s="41"/>
      <c r="Q19" s="41"/>
      <c r="R19" s="41"/>
      <c r="S19" s="41"/>
      <c r="T19" s="41"/>
      <c r="U19" s="41"/>
      <c r="V19" s="41"/>
      <c r="W19" s="41"/>
      <c r="X19" s="41"/>
      <c r="Y19" s="41"/>
      <c r="Z19" s="41"/>
    </row>
    <row r="20" spans="1:26" ht="27" customHeight="1" x14ac:dyDescent="0.2">
      <c r="A20" s="16">
        <v>16</v>
      </c>
      <c r="B20" s="43" t="s">
        <v>188</v>
      </c>
      <c r="C20" s="43" t="s">
        <v>203</v>
      </c>
      <c r="D20" s="15">
        <f>(I23*L36)/4</f>
        <v>3.2202605174555554</v>
      </c>
      <c r="E20" s="15">
        <f>(2*L11)+(2*L31)+(2*L26)+(2*L41)</f>
        <v>15.124000000000001</v>
      </c>
      <c r="F20" s="15">
        <f t="shared" si="0"/>
        <v>18.344260517455556</v>
      </c>
      <c r="G20" s="12"/>
      <c r="H20" s="12" t="s">
        <v>148</v>
      </c>
      <c r="I20" s="23">
        <f>'Usage Data (cvs)'!C3</f>
        <v>10.220345466666666</v>
      </c>
      <c r="J20" s="12"/>
      <c r="K20" s="55" t="s">
        <v>98</v>
      </c>
      <c r="L20" s="56">
        <v>14</v>
      </c>
      <c r="M20" s="12"/>
      <c r="N20" s="16"/>
      <c r="O20" s="41"/>
      <c r="P20" s="41"/>
      <c r="Q20" s="41"/>
      <c r="R20" s="41"/>
      <c r="S20" s="41"/>
      <c r="T20" s="41"/>
      <c r="U20" s="41"/>
      <c r="V20" s="41"/>
      <c r="W20" s="41"/>
      <c r="X20" s="41"/>
      <c r="Y20" s="41"/>
      <c r="Z20" s="41"/>
    </row>
    <row r="21" spans="1:26" ht="27" customHeight="1" x14ac:dyDescent="0.2">
      <c r="A21" s="16">
        <v>17</v>
      </c>
      <c r="B21" s="43" t="s">
        <v>196</v>
      </c>
      <c r="C21" s="43" t="s">
        <v>185</v>
      </c>
      <c r="D21" s="15">
        <f>((I23*L11)/4)</f>
        <v>3.2202605174555554</v>
      </c>
      <c r="E21" s="15">
        <f>L6+(2*L41)</f>
        <v>4.3116666666666665</v>
      </c>
      <c r="F21" s="15">
        <f t="shared" si="0"/>
        <v>7.531927184122222</v>
      </c>
      <c r="G21" s="12"/>
      <c r="H21" s="12" t="s">
        <v>149</v>
      </c>
      <c r="I21" s="13">
        <f>'Usage Data (cvs)'!B3</f>
        <v>4.1097759999999992</v>
      </c>
      <c r="J21" s="12"/>
      <c r="K21" s="58" t="s">
        <v>104</v>
      </c>
      <c r="L21" s="60">
        <f>L20/L19*$I$6</f>
        <v>2.786</v>
      </c>
      <c r="M21" s="68"/>
      <c r="N21" s="16"/>
      <c r="O21" s="41"/>
      <c r="P21" s="41"/>
      <c r="Q21" s="41"/>
      <c r="R21" s="41"/>
      <c r="S21" s="41"/>
      <c r="T21" s="41"/>
      <c r="U21" s="41"/>
      <c r="V21" s="41"/>
      <c r="W21" s="41"/>
      <c r="X21" s="41"/>
      <c r="Y21" s="41"/>
      <c r="Z21" s="41"/>
    </row>
    <row r="22" spans="1:26" ht="27" customHeight="1" x14ac:dyDescent="0.2">
      <c r="A22" s="16">
        <v>18</v>
      </c>
      <c r="B22" s="43" t="s">
        <v>186</v>
      </c>
      <c r="C22" s="43" t="s">
        <v>185</v>
      </c>
      <c r="D22" s="15">
        <f>(I23*L36)/4</f>
        <v>3.2202605174555554</v>
      </c>
      <c r="E22" s="15">
        <f>L6+(2*L41)</f>
        <v>4.3116666666666665</v>
      </c>
      <c r="F22" s="15">
        <f t="shared" si="0"/>
        <v>7.531927184122222</v>
      </c>
      <c r="G22" s="12"/>
      <c r="H22" s="12" t="s">
        <v>150</v>
      </c>
      <c r="I22" s="13">
        <v>2</v>
      </c>
      <c r="J22" s="12"/>
      <c r="K22" s="64"/>
      <c r="L22" s="69"/>
      <c r="M22" s="68"/>
      <c r="N22" s="16"/>
      <c r="O22" s="41"/>
      <c r="P22" s="41"/>
      <c r="Q22" s="41"/>
      <c r="R22" s="41"/>
      <c r="S22" s="41"/>
      <c r="T22" s="41"/>
      <c r="U22" s="41"/>
      <c r="V22" s="41"/>
      <c r="W22" s="41"/>
      <c r="X22" s="41"/>
      <c r="Y22" s="41"/>
      <c r="Z22" s="41"/>
    </row>
    <row r="23" spans="1:26" ht="27" customHeight="1" x14ac:dyDescent="0.2">
      <c r="A23" s="16">
        <v>19</v>
      </c>
      <c r="B23" s="43" t="s">
        <v>184</v>
      </c>
      <c r="C23" s="43" t="s">
        <v>204</v>
      </c>
      <c r="D23" s="15">
        <f>((I23*L26)/4)</f>
        <v>3.2202605174555554</v>
      </c>
      <c r="E23" s="15">
        <f>(3*L16)+(3*L6)+(3*L26)+(3*L41)</f>
        <v>16.715999999999998</v>
      </c>
      <c r="F23" s="15">
        <f t="shared" si="0"/>
        <v>19.936260517455551</v>
      </c>
      <c r="G23" s="12"/>
      <c r="H23" s="58" t="s">
        <v>152</v>
      </c>
      <c r="I23" s="70">
        <f>I20</f>
        <v>10.220345466666666</v>
      </c>
      <c r="J23" s="36"/>
      <c r="K23" s="49" t="s">
        <v>153</v>
      </c>
      <c r="L23" s="50" t="s">
        <v>205</v>
      </c>
      <c r="M23" s="68"/>
      <c r="N23" s="16"/>
      <c r="O23" s="41"/>
      <c r="P23" s="41"/>
      <c r="Q23" s="41"/>
      <c r="R23" s="41"/>
      <c r="S23" s="41"/>
      <c r="T23" s="41"/>
      <c r="U23" s="41"/>
      <c r="V23" s="41"/>
      <c r="W23" s="41"/>
      <c r="X23" s="41"/>
      <c r="Y23" s="41"/>
      <c r="Z23" s="41"/>
    </row>
    <row r="24" spans="1:26" ht="27" customHeight="1" x14ac:dyDescent="0.2">
      <c r="A24" s="16">
        <v>20</v>
      </c>
      <c r="B24" s="43" t="s">
        <v>206</v>
      </c>
      <c r="C24" s="43" t="s">
        <v>207</v>
      </c>
      <c r="D24" s="15">
        <f>((I23*I17)*2)+((I23*L16)*2)+((I23*L11)*2)+((I23*L36)*2)</f>
        <v>84.608107911253327</v>
      </c>
      <c r="E24" s="15">
        <f>(7*L6)+(7*L31)+(7*L21)+(I24*I17)</f>
        <v>66.028796494451228</v>
      </c>
      <c r="F24" s="15">
        <f t="shared" si="0"/>
        <v>150.63690440570457</v>
      </c>
      <c r="G24" s="12"/>
      <c r="H24" s="58" t="s">
        <v>156</v>
      </c>
      <c r="I24" s="71">
        <f>I20*I21/I22</f>
        <v>21.001665255307728</v>
      </c>
      <c r="J24" s="12"/>
      <c r="K24" s="52" t="s">
        <v>92</v>
      </c>
      <c r="L24" s="53">
        <v>3</v>
      </c>
      <c r="M24" s="68"/>
      <c r="N24" s="16"/>
      <c r="O24" s="41"/>
      <c r="P24" s="41"/>
      <c r="Q24" s="41"/>
      <c r="R24" s="41"/>
      <c r="S24" s="41"/>
      <c r="T24" s="41"/>
      <c r="U24" s="41"/>
      <c r="V24" s="41"/>
      <c r="W24" s="41"/>
      <c r="X24" s="41"/>
      <c r="Y24" s="41"/>
      <c r="Z24" s="41"/>
    </row>
    <row r="25" spans="1:26" ht="27" customHeight="1" x14ac:dyDescent="0.2">
      <c r="A25" s="28" t="s">
        <v>81</v>
      </c>
      <c r="B25" s="32"/>
      <c r="C25" s="32"/>
      <c r="D25" s="72">
        <f t="shared" ref="D25:F25" si="1">SUM(D4:D24)</f>
        <v>178.52250492087779</v>
      </c>
      <c r="E25" s="72">
        <f t="shared" si="1"/>
        <v>233.50838948335371</v>
      </c>
      <c r="F25" s="72">
        <f t="shared" si="1"/>
        <v>412.0308944042315</v>
      </c>
      <c r="G25" s="12"/>
      <c r="H25" s="41"/>
      <c r="I25" s="41"/>
      <c r="J25" s="12"/>
      <c r="K25" s="55" t="s">
        <v>98</v>
      </c>
      <c r="L25" s="56">
        <v>19</v>
      </c>
      <c r="M25" s="68"/>
      <c r="N25" s="16"/>
      <c r="O25" s="41"/>
      <c r="P25" s="41"/>
      <c r="Q25" s="41"/>
      <c r="R25" s="41"/>
      <c r="S25" s="41"/>
      <c r="T25" s="41"/>
      <c r="U25" s="41"/>
      <c r="V25" s="41"/>
      <c r="W25" s="41"/>
      <c r="X25" s="41"/>
      <c r="Y25" s="41"/>
      <c r="Z25" s="41"/>
    </row>
    <row r="26" spans="1:26" ht="15.75" customHeight="1" x14ac:dyDescent="0.2">
      <c r="A26" s="28" t="s">
        <v>174</v>
      </c>
      <c r="B26" s="16"/>
      <c r="C26" s="16"/>
      <c r="D26" s="34">
        <f t="shared" ref="D26:F26" si="2">AVERAGE(D2:D24)</f>
        <v>8.5010716628989424</v>
      </c>
      <c r="E26" s="34">
        <f t="shared" si="2"/>
        <v>11.119447118254939</v>
      </c>
      <c r="F26" s="34">
        <f t="shared" si="2"/>
        <v>19.62051878115388</v>
      </c>
      <c r="G26" s="12"/>
      <c r="H26" s="12"/>
      <c r="I26" s="12"/>
      <c r="J26" s="12"/>
      <c r="K26" s="58" t="s">
        <v>104</v>
      </c>
      <c r="L26" s="60">
        <f>L25/L24*$I$6</f>
        <v>1.2603333333333333</v>
      </c>
      <c r="M26" s="12"/>
      <c r="N26" s="16"/>
      <c r="O26" s="41"/>
      <c r="P26" s="41"/>
      <c r="Q26" s="41"/>
      <c r="R26" s="41"/>
      <c r="S26" s="41"/>
      <c r="T26" s="41"/>
      <c r="U26" s="41"/>
      <c r="V26" s="41"/>
      <c r="W26" s="41"/>
      <c r="X26" s="41"/>
      <c r="Y26" s="41"/>
      <c r="Z26" s="41"/>
    </row>
    <row r="27" spans="1:26" ht="15.75" customHeight="1" x14ac:dyDescent="0.2">
      <c r="A27" s="12"/>
      <c r="B27" s="16"/>
      <c r="C27" s="16"/>
      <c r="D27" s="12"/>
      <c r="E27" s="12"/>
      <c r="F27" s="12"/>
      <c r="G27" s="12"/>
      <c r="H27" s="12"/>
      <c r="I27" s="12"/>
      <c r="J27" s="12"/>
      <c r="K27" s="12"/>
      <c r="L27" s="12"/>
      <c r="M27" s="12"/>
      <c r="N27" s="16"/>
      <c r="O27" s="41"/>
      <c r="P27" s="41"/>
      <c r="Q27" s="41"/>
      <c r="R27" s="41"/>
      <c r="S27" s="41"/>
      <c r="T27" s="41"/>
      <c r="U27" s="41"/>
      <c r="V27" s="41"/>
      <c r="W27" s="41"/>
      <c r="X27" s="41"/>
      <c r="Y27" s="41"/>
      <c r="Z27" s="41"/>
    </row>
    <row r="28" spans="1:26" ht="15.75" customHeight="1" x14ac:dyDescent="0.2">
      <c r="A28" s="12"/>
      <c r="B28" s="16"/>
      <c r="C28" s="16"/>
      <c r="D28" s="12"/>
      <c r="E28" s="12"/>
      <c r="F28" s="12"/>
      <c r="G28" s="12"/>
      <c r="H28" s="16"/>
      <c r="I28" s="16"/>
      <c r="J28" s="12"/>
      <c r="K28" s="49" t="s">
        <v>161</v>
      </c>
      <c r="L28" s="67" t="s">
        <v>208</v>
      </c>
      <c r="M28" s="12"/>
      <c r="N28" s="16"/>
      <c r="O28" s="41"/>
      <c r="P28" s="41"/>
      <c r="Q28" s="41"/>
      <c r="R28" s="41"/>
      <c r="S28" s="41"/>
      <c r="T28" s="41"/>
      <c r="U28" s="41"/>
      <c r="V28" s="41"/>
      <c r="W28" s="41"/>
      <c r="X28" s="41"/>
      <c r="Y28" s="41"/>
      <c r="Z28" s="41"/>
    </row>
    <row r="29" spans="1:26" ht="15.75" customHeight="1" x14ac:dyDescent="0.2">
      <c r="A29" s="12"/>
      <c r="B29" s="15"/>
      <c r="C29" s="16"/>
      <c r="D29" s="12"/>
      <c r="E29" s="12"/>
      <c r="F29" s="12"/>
      <c r="G29" s="12"/>
      <c r="H29" s="16"/>
      <c r="I29" s="16"/>
      <c r="J29" s="12"/>
      <c r="K29" s="52" t="s">
        <v>92</v>
      </c>
      <c r="L29" s="53">
        <v>1</v>
      </c>
      <c r="M29" s="12"/>
      <c r="N29" s="16"/>
      <c r="O29" s="41"/>
      <c r="P29" s="41"/>
      <c r="Q29" s="41"/>
      <c r="R29" s="41"/>
      <c r="S29" s="41"/>
      <c r="T29" s="41"/>
      <c r="U29" s="41"/>
      <c r="V29" s="41"/>
      <c r="W29" s="41"/>
      <c r="X29" s="41"/>
      <c r="Y29" s="41"/>
      <c r="Z29" s="41"/>
    </row>
    <row r="30" spans="1:26" ht="15.75" customHeight="1" x14ac:dyDescent="0.2">
      <c r="A30" s="12"/>
      <c r="B30" s="15"/>
      <c r="C30" s="16"/>
      <c r="D30" s="12"/>
      <c r="E30" s="12"/>
      <c r="F30" s="12"/>
      <c r="G30" s="12"/>
      <c r="H30" s="16"/>
      <c r="I30" s="16"/>
      <c r="J30" s="12"/>
      <c r="K30" s="55" t="s">
        <v>98</v>
      </c>
      <c r="L30" s="56">
        <v>19</v>
      </c>
      <c r="M30" s="12"/>
      <c r="N30" s="16"/>
      <c r="O30" s="41"/>
      <c r="P30" s="41"/>
      <c r="Q30" s="41"/>
      <c r="R30" s="41"/>
      <c r="S30" s="41"/>
      <c r="T30" s="41"/>
      <c r="U30" s="41"/>
      <c r="V30" s="41"/>
      <c r="W30" s="41"/>
      <c r="X30" s="41"/>
      <c r="Y30" s="41"/>
      <c r="Z30" s="41"/>
    </row>
    <row r="31" spans="1:26" ht="15.75" customHeight="1" x14ac:dyDescent="0.2">
      <c r="A31" s="12"/>
      <c r="B31" s="15"/>
      <c r="C31" s="16"/>
      <c r="D31" s="12"/>
      <c r="E31" s="12"/>
      <c r="F31" s="12"/>
      <c r="G31" s="12"/>
      <c r="H31" s="16"/>
      <c r="I31" s="16"/>
      <c r="J31" s="12"/>
      <c r="K31" s="58" t="s">
        <v>104</v>
      </c>
      <c r="L31" s="60">
        <f>IFERROR(L30/L29*$I$6,"")</f>
        <v>3.7810000000000001</v>
      </c>
      <c r="M31" s="12"/>
      <c r="N31" s="16"/>
      <c r="O31" s="41"/>
      <c r="P31" s="41"/>
      <c r="Q31" s="41"/>
      <c r="R31" s="41"/>
      <c r="S31" s="41"/>
      <c r="T31" s="41"/>
      <c r="U31" s="41"/>
      <c r="V31" s="41"/>
      <c r="W31" s="41"/>
      <c r="X31" s="41"/>
      <c r="Y31" s="41"/>
      <c r="Z31" s="41"/>
    </row>
    <row r="32" spans="1:26" ht="15.75" customHeight="1" x14ac:dyDescent="0.2">
      <c r="A32" s="12"/>
      <c r="B32" s="15"/>
      <c r="C32" s="16"/>
      <c r="D32" s="12"/>
      <c r="E32" s="12"/>
      <c r="F32" s="12"/>
      <c r="G32" s="12"/>
      <c r="H32" s="16"/>
      <c r="I32" s="16"/>
      <c r="J32" s="12"/>
      <c r="K32" s="12"/>
      <c r="L32" s="12"/>
      <c r="M32" s="12"/>
      <c r="N32" s="16"/>
      <c r="O32" s="41"/>
      <c r="P32" s="41"/>
      <c r="Q32" s="41"/>
      <c r="R32" s="41"/>
      <c r="S32" s="41"/>
      <c r="T32" s="41"/>
      <c r="U32" s="41"/>
      <c r="V32" s="41"/>
      <c r="W32" s="41"/>
      <c r="X32" s="41"/>
      <c r="Y32" s="41"/>
      <c r="Z32" s="41"/>
    </row>
    <row r="33" spans="1:26" ht="15.75" customHeight="1" x14ac:dyDescent="0.2">
      <c r="A33" s="12"/>
      <c r="B33" s="12"/>
      <c r="C33" s="16"/>
      <c r="D33" s="12"/>
      <c r="E33" s="12"/>
      <c r="F33" s="12"/>
      <c r="G33" s="12"/>
      <c r="H33" s="16"/>
      <c r="I33" s="16"/>
      <c r="J33" s="12"/>
      <c r="K33" s="49" t="s">
        <v>209</v>
      </c>
      <c r="L33" s="67" t="s">
        <v>210</v>
      </c>
      <c r="M33" s="12"/>
      <c r="N33" s="16"/>
      <c r="O33" s="41"/>
      <c r="P33" s="41"/>
      <c r="Q33" s="41"/>
      <c r="R33" s="41"/>
      <c r="S33" s="41"/>
      <c r="T33" s="41"/>
      <c r="U33" s="41"/>
      <c r="V33" s="41"/>
      <c r="W33" s="41"/>
      <c r="X33" s="41"/>
      <c r="Y33" s="41"/>
      <c r="Z33" s="41"/>
    </row>
    <row r="34" spans="1:26" ht="15.75" customHeight="1" x14ac:dyDescent="0.2">
      <c r="A34" s="12"/>
      <c r="B34" s="16"/>
      <c r="C34" s="16"/>
      <c r="D34" s="12"/>
      <c r="E34" s="12"/>
      <c r="F34" s="12"/>
      <c r="G34" s="12"/>
      <c r="H34" s="219"/>
      <c r="I34" s="217"/>
      <c r="J34" s="12"/>
      <c r="K34" s="52" t="s">
        <v>92</v>
      </c>
      <c r="L34" s="53">
        <v>3</v>
      </c>
      <c r="M34" s="12"/>
      <c r="N34" s="16"/>
      <c r="O34" s="41"/>
      <c r="P34" s="41"/>
      <c r="Q34" s="41"/>
      <c r="R34" s="41"/>
      <c r="S34" s="41"/>
      <c r="T34" s="41"/>
      <c r="U34" s="41"/>
      <c r="V34" s="41"/>
      <c r="W34" s="41"/>
      <c r="X34" s="41"/>
      <c r="Y34" s="41"/>
      <c r="Z34" s="41"/>
    </row>
    <row r="35" spans="1:26" ht="15.75" customHeight="1" x14ac:dyDescent="0.2">
      <c r="A35" s="12"/>
      <c r="B35" s="16"/>
      <c r="C35" s="16"/>
      <c r="D35" s="12"/>
      <c r="E35" s="12"/>
      <c r="F35" s="12"/>
      <c r="G35" s="12"/>
      <c r="H35" s="75"/>
      <c r="I35" s="12"/>
      <c r="J35" s="12"/>
      <c r="K35" s="55" t="s">
        <v>98</v>
      </c>
      <c r="L35" s="56">
        <v>19</v>
      </c>
      <c r="M35" s="12"/>
      <c r="N35" s="16"/>
      <c r="O35" s="41"/>
      <c r="P35" s="41"/>
      <c r="Q35" s="41"/>
      <c r="R35" s="41"/>
      <c r="S35" s="41"/>
      <c r="T35" s="41"/>
      <c r="U35" s="41"/>
      <c r="V35" s="41"/>
      <c r="W35" s="41"/>
      <c r="X35" s="41"/>
      <c r="Y35" s="41"/>
      <c r="Z35" s="41"/>
    </row>
    <row r="36" spans="1:26" ht="15.75" customHeight="1" x14ac:dyDescent="0.2">
      <c r="A36" s="12"/>
      <c r="B36" s="16"/>
      <c r="C36" s="16"/>
      <c r="D36" s="12"/>
      <c r="E36" s="12"/>
      <c r="F36" s="12"/>
      <c r="G36" s="12"/>
      <c r="H36" s="16"/>
      <c r="I36" s="16"/>
      <c r="J36" s="12"/>
      <c r="K36" s="58" t="s">
        <v>104</v>
      </c>
      <c r="L36" s="60">
        <f>IFERROR(L35/L34*$I$6,"")</f>
        <v>1.2603333333333333</v>
      </c>
      <c r="M36" s="12"/>
      <c r="N36" s="16"/>
      <c r="O36" s="41"/>
      <c r="P36" s="41"/>
      <c r="Q36" s="41"/>
      <c r="R36" s="41"/>
      <c r="S36" s="41"/>
      <c r="T36" s="41"/>
      <c r="U36" s="41"/>
      <c r="V36" s="41"/>
      <c r="W36" s="41"/>
      <c r="X36" s="41"/>
      <c r="Y36" s="41"/>
      <c r="Z36" s="41"/>
    </row>
    <row r="37" spans="1:26" ht="15.75" customHeight="1" x14ac:dyDescent="0.2">
      <c r="A37" s="12"/>
      <c r="B37" s="16"/>
      <c r="C37" s="16"/>
      <c r="D37" s="12"/>
      <c r="E37" s="12"/>
      <c r="F37" s="12"/>
      <c r="G37" s="12"/>
      <c r="H37" s="16"/>
      <c r="I37" s="16"/>
      <c r="J37" s="12"/>
      <c r="K37" s="12"/>
      <c r="L37" s="12"/>
      <c r="M37" s="12"/>
      <c r="N37" s="16"/>
      <c r="O37" s="41"/>
      <c r="P37" s="41"/>
      <c r="Q37" s="41"/>
      <c r="R37" s="41"/>
      <c r="S37" s="41"/>
      <c r="T37" s="41"/>
      <c r="U37" s="41"/>
      <c r="V37" s="41"/>
      <c r="W37" s="41"/>
      <c r="X37" s="41"/>
      <c r="Y37" s="41"/>
      <c r="Z37" s="41"/>
    </row>
    <row r="38" spans="1:26" ht="15.75" customHeight="1" x14ac:dyDescent="0.2">
      <c r="A38" s="12"/>
      <c r="B38" s="16"/>
      <c r="C38" s="16"/>
      <c r="D38" s="12"/>
      <c r="E38" s="12"/>
      <c r="F38" s="12"/>
      <c r="G38" s="12"/>
      <c r="H38" s="16"/>
      <c r="I38" s="16"/>
      <c r="J38" s="12"/>
      <c r="K38" s="49" t="s">
        <v>211</v>
      </c>
      <c r="L38" s="67" t="s">
        <v>212</v>
      </c>
      <c r="M38" s="12"/>
      <c r="N38" s="16"/>
      <c r="O38" s="41"/>
      <c r="P38" s="41"/>
      <c r="Q38" s="41"/>
      <c r="R38" s="41"/>
      <c r="S38" s="41"/>
      <c r="T38" s="41"/>
      <c r="U38" s="41"/>
      <c r="V38" s="41"/>
      <c r="W38" s="41"/>
      <c r="X38" s="41"/>
      <c r="Y38" s="41"/>
      <c r="Z38" s="41"/>
    </row>
    <row r="39" spans="1:26" ht="15.75" customHeight="1" x14ac:dyDescent="0.2">
      <c r="A39" s="12"/>
      <c r="B39" s="16"/>
      <c r="C39" s="16"/>
      <c r="D39" s="12"/>
      <c r="E39" s="12"/>
      <c r="F39" s="12"/>
      <c r="G39" s="12"/>
      <c r="H39" s="16"/>
      <c r="I39" s="16"/>
      <c r="J39" s="12"/>
      <c r="K39" s="52" t="s">
        <v>92</v>
      </c>
      <c r="L39" s="53">
        <v>3</v>
      </c>
      <c r="M39" s="12"/>
      <c r="N39" s="16"/>
      <c r="O39" s="41"/>
      <c r="P39" s="41"/>
      <c r="Q39" s="41"/>
      <c r="R39" s="41"/>
      <c r="S39" s="41"/>
      <c r="T39" s="41"/>
      <c r="U39" s="41"/>
      <c r="V39" s="41"/>
      <c r="W39" s="41"/>
      <c r="X39" s="41"/>
      <c r="Y39" s="41"/>
      <c r="Z39" s="41"/>
    </row>
    <row r="40" spans="1:26" ht="15.75" customHeight="1" x14ac:dyDescent="0.2">
      <c r="A40" s="12"/>
      <c r="B40" s="16"/>
      <c r="C40" s="16"/>
      <c r="D40" s="12"/>
      <c r="E40" s="12"/>
      <c r="F40" s="12"/>
      <c r="G40" s="12"/>
      <c r="H40" s="16"/>
      <c r="I40" s="16"/>
      <c r="J40" s="12"/>
      <c r="K40" s="55" t="s">
        <v>98</v>
      </c>
      <c r="L40" s="56">
        <v>19</v>
      </c>
      <c r="M40" s="12"/>
      <c r="N40" s="16"/>
      <c r="O40" s="41"/>
      <c r="P40" s="41"/>
      <c r="Q40" s="41"/>
      <c r="R40" s="41"/>
      <c r="S40" s="41"/>
      <c r="T40" s="41"/>
      <c r="U40" s="41"/>
      <c r="V40" s="41"/>
      <c r="W40" s="41"/>
      <c r="X40" s="41"/>
      <c r="Y40" s="41"/>
      <c r="Z40" s="41"/>
    </row>
    <row r="41" spans="1:26" ht="15.75" customHeight="1" x14ac:dyDescent="0.2">
      <c r="A41" s="12"/>
      <c r="B41" s="16"/>
      <c r="C41" s="16"/>
      <c r="D41" s="12"/>
      <c r="E41" s="12"/>
      <c r="F41" s="12"/>
      <c r="G41" s="12"/>
      <c r="H41" s="16"/>
      <c r="I41" s="16"/>
      <c r="J41" s="12"/>
      <c r="K41" s="58" t="s">
        <v>104</v>
      </c>
      <c r="L41" s="60">
        <f>IFERROR(L40/L39*$I$6,"")</f>
        <v>1.2603333333333333</v>
      </c>
      <c r="M41" s="12"/>
      <c r="N41" s="16"/>
      <c r="O41" s="41"/>
      <c r="P41" s="41"/>
      <c r="Q41" s="41"/>
      <c r="R41" s="41"/>
      <c r="S41" s="41"/>
      <c r="T41" s="41"/>
      <c r="U41" s="41"/>
      <c r="V41" s="41"/>
      <c r="W41" s="41"/>
      <c r="X41" s="41"/>
      <c r="Y41" s="41"/>
      <c r="Z41" s="41"/>
    </row>
    <row r="42" spans="1:26" ht="15.75" customHeight="1" x14ac:dyDescent="0.2">
      <c r="A42" s="12"/>
      <c r="B42" s="16"/>
      <c r="C42" s="16"/>
      <c r="D42" s="12"/>
      <c r="E42" s="12"/>
      <c r="F42" s="12"/>
      <c r="G42" s="12"/>
      <c r="H42" s="16"/>
      <c r="I42" s="16"/>
      <c r="J42" s="12"/>
      <c r="K42" s="12"/>
      <c r="L42" s="12"/>
      <c r="M42" s="12"/>
      <c r="N42" s="16"/>
      <c r="O42" s="41"/>
      <c r="P42" s="41"/>
      <c r="Q42" s="41"/>
      <c r="R42" s="41"/>
      <c r="S42" s="41"/>
      <c r="T42" s="41"/>
      <c r="U42" s="41"/>
      <c r="V42" s="41"/>
      <c r="W42" s="41"/>
      <c r="X42" s="41"/>
      <c r="Y42" s="41"/>
      <c r="Z42" s="41"/>
    </row>
    <row r="43" spans="1:26" ht="15.75" customHeight="1" x14ac:dyDescent="0.2">
      <c r="A43" s="12"/>
      <c r="B43" s="16"/>
      <c r="C43" s="16"/>
      <c r="D43" s="12"/>
      <c r="E43" s="12"/>
      <c r="F43" s="12"/>
      <c r="G43" s="12"/>
      <c r="H43" s="16"/>
      <c r="I43" s="16"/>
      <c r="J43" s="12"/>
      <c r="K43" s="58" t="s">
        <v>168</v>
      </c>
      <c r="L43" s="60">
        <f>AVERAGE(L6,L11,L16,L21,L26,L31,L36,L41)</f>
        <v>1.8324583333333335</v>
      </c>
      <c r="M43" s="12"/>
      <c r="N43" s="16"/>
      <c r="O43" s="41"/>
      <c r="P43" s="41"/>
      <c r="Q43" s="41"/>
      <c r="R43" s="41"/>
      <c r="S43" s="41"/>
      <c r="T43" s="41"/>
      <c r="U43" s="41"/>
      <c r="V43" s="41"/>
      <c r="W43" s="41"/>
      <c r="X43" s="41"/>
      <c r="Y43" s="41"/>
      <c r="Z43" s="41"/>
    </row>
    <row r="44" spans="1:26" ht="15.75" customHeight="1" x14ac:dyDescent="0.2">
      <c r="A44" s="12"/>
      <c r="B44" s="16"/>
      <c r="C44" s="16"/>
      <c r="D44" s="12"/>
      <c r="E44" s="12"/>
      <c r="F44" s="12"/>
      <c r="G44" s="12"/>
      <c r="H44" s="16"/>
      <c r="I44" s="16"/>
      <c r="J44" s="12"/>
      <c r="K44" s="76"/>
      <c r="L44" s="77"/>
      <c r="M44" s="12"/>
      <c r="N44" s="16"/>
      <c r="O44" s="41"/>
      <c r="P44" s="41"/>
      <c r="Q44" s="41"/>
      <c r="R44" s="41"/>
      <c r="S44" s="41"/>
      <c r="T44" s="41"/>
      <c r="U44" s="41"/>
      <c r="V44" s="41"/>
      <c r="W44" s="41"/>
      <c r="X44" s="41"/>
      <c r="Y44" s="41"/>
      <c r="Z44" s="41"/>
    </row>
    <row r="45" spans="1:26" ht="15.75" customHeight="1" x14ac:dyDescent="0.2">
      <c r="A45" s="12"/>
      <c r="B45" s="16"/>
      <c r="C45" s="16"/>
      <c r="D45" s="12"/>
      <c r="E45" s="12"/>
      <c r="F45" s="12"/>
      <c r="G45" s="12"/>
      <c r="H45" s="16"/>
      <c r="I45" s="16"/>
      <c r="J45" s="12"/>
      <c r="K45" s="78"/>
      <c r="L45" s="79"/>
      <c r="M45" s="12"/>
      <c r="N45" s="16"/>
      <c r="O45" s="41"/>
      <c r="P45" s="41"/>
      <c r="Q45" s="41"/>
      <c r="R45" s="41"/>
      <c r="S45" s="41"/>
      <c r="T45" s="41"/>
      <c r="U45" s="41"/>
      <c r="V45" s="41"/>
      <c r="W45" s="41"/>
      <c r="X45" s="41"/>
      <c r="Y45" s="41"/>
      <c r="Z45" s="41"/>
    </row>
    <row r="46" spans="1:26" ht="15.75" customHeight="1" x14ac:dyDescent="0.2">
      <c r="A46" s="12"/>
      <c r="B46" s="16"/>
      <c r="C46" s="16"/>
      <c r="D46" s="12"/>
      <c r="E46" s="12"/>
      <c r="F46" s="12"/>
      <c r="G46" s="12"/>
      <c r="H46" s="16"/>
      <c r="I46" s="16"/>
      <c r="J46" s="12"/>
      <c r="K46" s="80"/>
      <c r="L46" s="81"/>
      <c r="M46" s="12"/>
      <c r="N46" s="16"/>
      <c r="O46" s="41"/>
      <c r="P46" s="41"/>
      <c r="Q46" s="41"/>
      <c r="R46" s="41"/>
      <c r="S46" s="41"/>
      <c r="T46" s="41"/>
      <c r="U46" s="41"/>
      <c r="V46" s="41"/>
      <c r="W46" s="41"/>
      <c r="X46" s="41"/>
      <c r="Y46" s="41"/>
      <c r="Z46" s="41"/>
    </row>
    <row r="47" spans="1:26" ht="15.75" customHeight="1" x14ac:dyDescent="0.2">
      <c r="A47" s="12"/>
      <c r="B47" s="16"/>
      <c r="C47" s="16"/>
      <c r="D47" s="12"/>
      <c r="E47" s="12"/>
      <c r="F47" s="12"/>
      <c r="G47" s="12"/>
      <c r="H47" s="16"/>
      <c r="I47" s="16"/>
      <c r="J47" s="12"/>
      <c r="K47" s="82"/>
      <c r="L47" s="82"/>
      <c r="M47" s="12"/>
      <c r="N47" s="16"/>
      <c r="O47" s="41"/>
      <c r="P47" s="41"/>
      <c r="Q47" s="41"/>
      <c r="R47" s="41"/>
      <c r="S47" s="41"/>
      <c r="T47" s="41"/>
      <c r="U47" s="41"/>
      <c r="V47" s="41"/>
      <c r="W47" s="41"/>
      <c r="X47" s="41"/>
      <c r="Y47" s="41"/>
      <c r="Z47" s="41"/>
    </row>
    <row r="48" spans="1:26" ht="15.75" customHeight="1" x14ac:dyDescent="0.2">
      <c r="A48" s="12"/>
      <c r="B48" s="16"/>
      <c r="C48" s="16"/>
      <c r="D48" s="12"/>
      <c r="E48" s="12"/>
      <c r="F48" s="12"/>
      <c r="G48" s="12"/>
      <c r="H48" s="12"/>
      <c r="I48" s="12"/>
      <c r="J48" s="12"/>
      <c r="K48" s="80"/>
      <c r="L48" s="83"/>
      <c r="M48" s="12"/>
      <c r="N48" s="16"/>
      <c r="O48" s="41"/>
      <c r="P48" s="41"/>
      <c r="Q48" s="41"/>
      <c r="R48" s="41"/>
      <c r="S48" s="41"/>
      <c r="T48" s="41"/>
      <c r="U48" s="41"/>
      <c r="V48" s="41"/>
      <c r="W48" s="41"/>
      <c r="X48" s="41"/>
      <c r="Y48" s="41"/>
      <c r="Z48" s="41"/>
    </row>
    <row r="49" spans="1:26" ht="15.75" customHeight="1" x14ac:dyDescent="0.2">
      <c r="A49" s="12"/>
      <c r="B49" s="16"/>
      <c r="C49" s="16"/>
      <c r="D49" s="12"/>
      <c r="E49" s="12"/>
      <c r="F49" s="12"/>
      <c r="G49" s="12"/>
      <c r="H49" s="12"/>
      <c r="I49" s="12"/>
      <c r="J49" s="12"/>
      <c r="K49" s="76"/>
      <c r="L49" s="77"/>
      <c r="M49" s="12"/>
      <c r="N49" s="16"/>
      <c r="O49" s="41"/>
      <c r="P49" s="41"/>
      <c r="Q49" s="41"/>
      <c r="R49" s="41"/>
      <c r="S49" s="41"/>
      <c r="T49" s="41"/>
      <c r="U49" s="41"/>
      <c r="V49" s="41"/>
      <c r="W49" s="41"/>
      <c r="X49" s="41"/>
      <c r="Y49" s="41"/>
      <c r="Z49" s="41"/>
    </row>
    <row r="50" spans="1:26" ht="15.75" customHeight="1" x14ac:dyDescent="0.2">
      <c r="A50" s="12"/>
      <c r="B50" s="16"/>
      <c r="C50" s="16"/>
      <c r="D50" s="12"/>
      <c r="E50" s="12"/>
      <c r="F50" s="12"/>
      <c r="G50" s="12"/>
      <c r="H50" s="12"/>
      <c r="I50" s="12"/>
      <c r="J50" s="12"/>
      <c r="K50" s="78"/>
      <c r="L50" s="79"/>
      <c r="M50" s="12"/>
      <c r="N50" s="16"/>
      <c r="O50" s="41"/>
      <c r="P50" s="41"/>
      <c r="Q50" s="41"/>
      <c r="R50" s="41"/>
      <c r="S50" s="41"/>
      <c r="T50" s="41"/>
      <c r="U50" s="41"/>
      <c r="V50" s="41"/>
      <c r="W50" s="41"/>
      <c r="X50" s="41"/>
      <c r="Y50" s="41"/>
      <c r="Z50" s="41"/>
    </row>
    <row r="51" spans="1:26" ht="15.75" customHeight="1" x14ac:dyDescent="0.2">
      <c r="A51" s="12"/>
      <c r="B51" s="16"/>
      <c r="C51" s="16"/>
      <c r="D51" s="12"/>
      <c r="E51" s="12"/>
      <c r="F51" s="12"/>
      <c r="G51" s="12"/>
      <c r="H51" s="12"/>
      <c r="I51" s="12"/>
      <c r="J51" s="12"/>
      <c r="K51" s="80"/>
      <c r="L51" s="81"/>
      <c r="M51" s="12"/>
      <c r="N51" s="16"/>
      <c r="O51" s="41"/>
      <c r="P51" s="41"/>
      <c r="Q51" s="41"/>
      <c r="R51" s="41"/>
      <c r="S51" s="41"/>
      <c r="T51" s="41"/>
      <c r="U51" s="41"/>
      <c r="V51" s="41"/>
      <c r="W51" s="41"/>
      <c r="X51" s="41"/>
      <c r="Y51" s="41"/>
      <c r="Z51" s="41"/>
    </row>
    <row r="52" spans="1:26" ht="15.75" customHeight="1" x14ac:dyDescent="0.2">
      <c r="A52" s="12"/>
      <c r="B52" s="16"/>
      <c r="C52" s="16"/>
      <c r="D52" s="12"/>
      <c r="E52" s="12"/>
      <c r="F52" s="12"/>
      <c r="G52" s="12"/>
      <c r="H52" s="12"/>
      <c r="I52" s="12"/>
      <c r="J52" s="12"/>
      <c r="K52" s="12"/>
      <c r="L52" s="12"/>
      <c r="M52" s="12"/>
      <c r="N52" s="16"/>
      <c r="O52" s="41"/>
      <c r="P52" s="41"/>
      <c r="Q52" s="41"/>
      <c r="R52" s="41"/>
      <c r="S52" s="41"/>
      <c r="T52" s="41"/>
      <c r="U52" s="41"/>
      <c r="V52" s="41"/>
      <c r="W52" s="41"/>
      <c r="X52" s="41"/>
      <c r="Y52" s="41"/>
      <c r="Z52" s="41"/>
    </row>
    <row r="53" spans="1:26" ht="15.75" customHeight="1" x14ac:dyDescent="0.2">
      <c r="A53" s="12"/>
      <c r="B53" s="16"/>
      <c r="C53" s="16"/>
      <c r="D53" s="12"/>
      <c r="E53" s="12"/>
      <c r="F53" s="12"/>
      <c r="G53" s="12"/>
      <c r="H53" s="12"/>
      <c r="I53" s="12"/>
      <c r="J53" s="12"/>
      <c r="K53" s="12"/>
      <c r="L53" s="12"/>
      <c r="M53" s="12"/>
      <c r="N53" s="16"/>
      <c r="O53" s="41"/>
      <c r="P53" s="41"/>
      <c r="Q53" s="41"/>
      <c r="R53" s="41"/>
      <c r="S53" s="41"/>
      <c r="T53" s="41"/>
      <c r="U53" s="41"/>
      <c r="V53" s="41"/>
      <c r="W53" s="41"/>
      <c r="X53" s="41"/>
      <c r="Y53" s="41"/>
      <c r="Z53" s="41"/>
    </row>
    <row r="54" spans="1:26" ht="15.75" customHeight="1" x14ac:dyDescent="0.2">
      <c r="A54" s="12"/>
      <c r="B54" s="16"/>
      <c r="C54" s="16"/>
      <c r="D54" s="12"/>
      <c r="E54" s="12"/>
      <c r="F54" s="12"/>
      <c r="G54" s="12"/>
      <c r="H54" s="12"/>
      <c r="I54" s="12"/>
      <c r="J54" s="12"/>
      <c r="K54" s="12"/>
      <c r="L54" s="12"/>
      <c r="M54" s="12"/>
      <c r="N54" s="16"/>
      <c r="O54" s="41"/>
      <c r="P54" s="41"/>
      <c r="Q54" s="41"/>
      <c r="R54" s="41"/>
      <c r="S54" s="41"/>
      <c r="T54" s="41"/>
      <c r="U54" s="41"/>
      <c r="V54" s="41"/>
      <c r="W54" s="41"/>
      <c r="X54" s="41"/>
      <c r="Y54" s="41"/>
      <c r="Z54" s="41"/>
    </row>
    <row r="55" spans="1:26" ht="15.75" customHeight="1" x14ac:dyDescent="0.2">
      <c r="A55" s="12"/>
      <c r="B55" s="16"/>
      <c r="C55" s="16"/>
      <c r="D55" s="12"/>
      <c r="E55" s="12"/>
      <c r="F55" s="12"/>
      <c r="G55" s="12"/>
      <c r="H55" s="12"/>
      <c r="I55" s="12"/>
      <c r="J55" s="12"/>
      <c r="K55" s="12"/>
      <c r="L55" s="12"/>
      <c r="M55" s="12"/>
      <c r="N55" s="16"/>
      <c r="O55" s="41"/>
      <c r="P55" s="41"/>
      <c r="Q55" s="41"/>
      <c r="R55" s="41"/>
      <c r="S55" s="41"/>
      <c r="T55" s="41"/>
      <c r="U55" s="41"/>
      <c r="V55" s="41"/>
      <c r="W55" s="41"/>
      <c r="X55" s="41"/>
      <c r="Y55" s="41"/>
      <c r="Z55" s="41"/>
    </row>
    <row r="56" spans="1:26" ht="15.75" customHeight="1" x14ac:dyDescent="0.2">
      <c r="A56" s="12"/>
      <c r="B56" s="16"/>
      <c r="C56" s="16"/>
      <c r="D56" s="12"/>
      <c r="E56" s="12"/>
      <c r="F56" s="12"/>
      <c r="G56" s="12"/>
      <c r="H56" s="12"/>
      <c r="I56" s="12"/>
      <c r="J56" s="12"/>
      <c r="K56" s="12"/>
      <c r="L56" s="12"/>
      <c r="M56" s="12"/>
      <c r="N56" s="16"/>
      <c r="O56" s="41"/>
      <c r="P56" s="41"/>
      <c r="Q56" s="41"/>
      <c r="R56" s="41"/>
      <c r="S56" s="41"/>
      <c r="T56" s="41"/>
      <c r="U56" s="41"/>
      <c r="V56" s="41"/>
      <c r="W56" s="41"/>
      <c r="X56" s="41"/>
      <c r="Y56" s="41"/>
      <c r="Z56" s="41"/>
    </row>
    <row r="57" spans="1:26" ht="15.75" customHeight="1" x14ac:dyDescent="0.2">
      <c r="A57" s="12"/>
      <c r="B57" s="16"/>
      <c r="C57" s="16"/>
      <c r="D57" s="12"/>
      <c r="E57" s="12"/>
      <c r="F57" s="12"/>
      <c r="G57" s="12"/>
      <c r="H57" s="12"/>
      <c r="I57" s="12"/>
      <c r="J57" s="12"/>
      <c r="K57" s="12"/>
      <c r="L57" s="12"/>
      <c r="M57" s="12"/>
      <c r="N57" s="16"/>
      <c r="O57" s="41"/>
      <c r="P57" s="41"/>
      <c r="Q57" s="41"/>
      <c r="R57" s="41"/>
      <c r="S57" s="41"/>
      <c r="T57" s="41"/>
      <c r="U57" s="41"/>
      <c r="V57" s="41"/>
      <c r="W57" s="41"/>
      <c r="X57" s="41"/>
      <c r="Y57" s="41"/>
      <c r="Z57" s="41"/>
    </row>
    <row r="58" spans="1:26" ht="15.75" customHeight="1" x14ac:dyDescent="0.2">
      <c r="A58" s="12"/>
      <c r="B58" s="16"/>
      <c r="C58" s="16"/>
      <c r="D58" s="12"/>
      <c r="E58" s="12"/>
      <c r="F58" s="12"/>
      <c r="G58" s="12"/>
      <c r="H58" s="12"/>
      <c r="I58" s="12"/>
      <c r="J58" s="12"/>
      <c r="K58" s="12"/>
      <c r="L58" s="12"/>
      <c r="M58" s="12"/>
      <c r="N58" s="16"/>
      <c r="O58" s="41"/>
      <c r="P58" s="41"/>
      <c r="Q58" s="41"/>
      <c r="R58" s="41"/>
      <c r="S58" s="41"/>
      <c r="T58" s="41"/>
      <c r="U58" s="41"/>
      <c r="V58" s="41"/>
      <c r="W58" s="41"/>
      <c r="X58" s="41"/>
      <c r="Y58" s="41"/>
      <c r="Z58" s="41"/>
    </row>
    <row r="59" spans="1:26" ht="15.75" customHeight="1" x14ac:dyDescent="0.2">
      <c r="A59" s="12"/>
      <c r="B59" s="16"/>
      <c r="C59" s="16"/>
      <c r="D59" s="12"/>
      <c r="E59" s="12"/>
      <c r="F59" s="12"/>
      <c r="G59" s="12"/>
      <c r="H59" s="12"/>
      <c r="I59" s="12"/>
      <c r="J59" s="12"/>
      <c r="K59" s="12"/>
      <c r="L59" s="12"/>
      <c r="M59" s="12"/>
      <c r="N59" s="16"/>
      <c r="O59" s="41"/>
      <c r="P59" s="41"/>
      <c r="Q59" s="41"/>
      <c r="R59" s="41"/>
      <c r="S59" s="41"/>
      <c r="T59" s="41"/>
      <c r="U59" s="41"/>
      <c r="V59" s="41"/>
      <c r="W59" s="41"/>
      <c r="X59" s="41"/>
      <c r="Y59" s="41"/>
      <c r="Z59" s="41"/>
    </row>
    <row r="60" spans="1:26" ht="15.75" customHeight="1" x14ac:dyDescent="0.2">
      <c r="A60" s="12"/>
      <c r="B60" s="16"/>
      <c r="C60" s="16"/>
      <c r="D60" s="12"/>
      <c r="E60" s="12"/>
      <c r="F60" s="12"/>
      <c r="G60" s="12"/>
      <c r="H60" s="12"/>
      <c r="I60" s="12"/>
      <c r="J60" s="12"/>
      <c r="K60" s="12"/>
      <c r="L60" s="12"/>
      <c r="M60" s="12"/>
      <c r="N60" s="16"/>
      <c r="O60" s="41"/>
      <c r="P60" s="41"/>
      <c r="Q60" s="41"/>
      <c r="R60" s="41"/>
      <c r="S60" s="41"/>
      <c r="T60" s="41"/>
      <c r="U60" s="41"/>
      <c r="V60" s="41"/>
      <c r="W60" s="41"/>
      <c r="X60" s="41"/>
      <c r="Y60" s="41"/>
      <c r="Z60" s="41"/>
    </row>
    <row r="61" spans="1:26" ht="15.75" customHeight="1" x14ac:dyDescent="0.2">
      <c r="A61" s="12"/>
      <c r="B61" s="16"/>
      <c r="C61" s="16"/>
      <c r="D61" s="12"/>
      <c r="E61" s="12"/>
      <c r="F61" s="12"/>
      <c r="G61" s="12"/>
      <c r="H61" s="12"/>
      <c r="I61" s="12"/>
      <c r="J61" s="12"/>
      <c r="K61" s="12"/>
      <c r="L61" s="12"/>
      <c r="M61" s="12"/>
      <c r="N61" s="16"/>
      <c r="O61" s="41"/>
      <c r="P61" s="41"/>
      <c r="Q61" s="41"/>
      <c r="R61" s="41"/>
      <c r="S61" s="41"/>
      <c r="T61" s="41"/>
      <c r="U61" s="41"/>
      <c r="V61" s="41"/>
      <c r="W61" s="41"/>
      <c r="X61" s="41"/>
      <c r="Y61" s="41"/>
      <c r="Z61" s="41"/>
    </row>
    <row r="62" spans="1:26" ht="15.75" customHeight="1" x14ac:dyDescent="0.2">
      <c r="A62" s="12"/>
      <c r="B62" s="16"/>
      <c r="C62" s="16"/>
      <c r="D62" s="12"/>
      <c r="E62" s="12"/>
      <c r="F62" s="12"/>
      <c r="G62" s="12"/>
      <c r="H62" s="12"/>
      <c r="I62" s="12"/>
      <c r="J62" s="12"/>
      <c r="K62" s="12"/>
      <c r="L62" s="12"/>
      <c r="M62" s="12"/>
      <c r="N62" s="16"/>
      <c r="O62" s="41"/>
      <c r="P62" s="41"/>
      <c r="Q62" s="41"/>
      <c r="R62" s="41"/>
      <c r="S62" s="41"/>
      <c r="T62" s="41"/>
      <c r="U62" s="41"/>
      <c r="V62" s="41"/>
      <c r="W62" s="41"/>
      <c r="X62" s="41"/>
      <c r="Y62" s="41"/>
      <c r="Z62" s="41"/>
    </row>
    <row r="63" spans="1:26" ht="15.75" customHeight="1" x14ac:dyDescent="0.2">
      <c r="A63" s="12"/>
      <c r="B63" s="16"/>
      <c r="C63" s="16"/>
      <c r="D63" s="12"/>
      <c r="E63" s="12"/>
      <c r="F63" s="12"/>
      <c r="G63" s="12"/>
      <c r="H63" s="12"/>
      <c r="I63" s="12"/>
      <c r="J63" s="12"/>
      <c r="K63" s="12"/>
      <c r="L63" s="12"/>
      <c r="M63" s="12"/>
      <c r="N63" s="16"/>
      <c r="O63" s="41"/>
      <c r="P63" s="41"/>
      <c r="Q63" s="41"/>
      <c r="R63" s="41"/>
      <c r="S63" s="41"/>
      <c r="T63" s="41"/>
      <c r="U63" s="41"/>
      <c r="V63" s="41"/>
      <c r="W63" s="41"/>
      <c r="X63" s="41"/>
      <c r="Y63" s="41"/>
      <c r="Z63" s="41"/>
    </row>
    <row r="64" spans="1:26" ht="15.75" customHeight="1" x14ac:dyDescent="0.2">
      <c r="A64" s="12"/>
      <c r="B64" s="16"/>
      <c r="C64" s="16"/>
      <c r="D64" s="12"/>
      <c r="E64" s="12"/>
      <c r="F64" s="12"/>
      <c r="G64" s="12"/>
      <c r="H64" s="12"/>
      <c r="I64" s="12"/>
      <c r="J64" s="12"/>
      <c r="K64" s="12"/>
      <c r="L64" s="12"/>
      <c r="M64" s="12"/>
      <c r="N64" s="16"/>
      <c r="O64" s="41"/>
      <c r="P64" s="41"/>
      <c r="Q64" s="41"/>
      <c r="R64" s="41"/>
      <c r="S64" s="41"/>
      <c r="T64" s="41"/>
      <c r="U64" s="41"/>
      <c r="V64" s="41"/>
      <c r="W64" s="41"/>
      <c r="X64" s="41"/>
      <c r="Y64" s="41"/>
      <c r="Z64" s="41"/>
    </row>
    <row r="65" spans="1:26" ht="15.75" customHeight="1" x14ac:dyDescent="0.2">
      <c r="A65" s="12"/>
      <c r="B65" s="16"/>
      <c r="C65" s="16"/>
      <c r="D65" s="12"/>
      <c r="E65" s="12"/>
      <c r="F65" s="12"/>
      <c r="G65" s="12"/>
      <c r="H65" s="12"/>
      <c r="I65" s="12"/>
      <c r="J65" s="12"/>
      <c r="K65" s="12"/>
      <c r="L65" s="12"/>
      <c r="M65" s="12"/>
      <c r="N65" s="16"/>
      <c r="O65" s="41"/>
      <c r="P65" s="41"/>
      <c r="Q65" s="41"/>
      <c r="R65" s="41"/>
      <c r="S65" s="41"/>
      <c r="T65" s="41"/>
      <c r="U65" s="41"/>
      <c r="V65" s="41"/>
      <c r="W65" s="41"/>
      <c r="X65" s="41"/>
      <c r="Y65" s="41"/>
      <c r="Z65" s="41"/>
    </row>
    <row r="66" spans="1:26" ht="15.75" customHeight="1" x14ac:dyDescent="0.2">
      <c r="A66" s="12"/>
      <c r="B66" s="16"/>
      <c r="C66" s="16"/>
      <c r="D66" s="12"/>
      <c r="E66" s="12"/>
      <c r="F66" s="12"/>
      <c r="G66" s="12"/>
      <c r="H66" s="12"/>
      <c r="I66" s="12"/>
      <c r="J66" s="12"/>
      <c r="K66" s="12"/>
      <c r="L66" s="12"/>
      <c r="M66" s="12"/>
      <c r="N66" s="16"/>
      <c r="O66" s="41"/>
      <c r="P66" s="41"/>
      <c r="Q66" s="41"/>
      <c r="R66" s="41"/>
      <c r="S66" s="41"/>
      <c r="T66" s="41"/>
      <c r="U66" s="41"/>
      <c r="V66" s="41"/>
      <c r="W66" s="41"/>
      <c r="X66" s="41"/>
      <c r="Y66" s="41"/>
      <c r="Z66" s="41"/>
    </row>
    <row r="67" spans="1:26" ht="15.75" customHeight="1" x14ac:dyDescent="0.2">
      <c r="A67" s="12"/>
      <c r="B67" s="16"/>
      <c r="C67" s="16"/>
      <c r="D67" s="12"/>
      <c r="E67" s="12"/>
      <c r="F67" s="12"/>
      <c r="G67" s="12"/>
      <c r="H67" s="12"/>
      <c r="I67" s="12"/>
      <c r="J67" s="12"/>
      <c r="K67" s="12"/>
      <c r="L67" s="12"/>
      <c r="M67" s="12"/>
      <c r="N67" s="16"/>
      <c r="O67" s="41"/>
      <c r="P67" s="41"/>
      <c r="Q67" s="41"/>
      <c r="R67" s="41"/>
      <c r="S67" s="41"/>
      <c r="T67" s="41"/>
      <c r="U67" s="41"/>
      <c r="V67" s="41"/>
      <c r="W67" s="41"/>
      <c r="X67" s="41"/>
      <c r="Y67" s="41"/>
      <c r="Z67" s="41"/>
    </row>
    <row r="68" spans="1:26" ht="15.75" customHeight="1" x14ac:dyDescent="0.2">
      <c r="A68" s="12"/>
      <c r="B68" s="16"/>
      <c r="C68" s="16"/>
      <c r="D68" s="12"/>
      <c r="E68" s="12"/>
      <c r="F68" s="12"/>
      <c r="G68" s="12"/>
      <c r="H68" s="12"/>
      <c r="I68" s="12"/>
      <c r="J68" s="12"/>
      <c r="K68" s="12"/>
      <c r="L68" s="12"/>
      <c r="M68" s="12"/>
      <c r="N68" s="16"/>
      <c r="O68" s="41"/>
      <c r="P68" s="41"/>
      <c r="Q68" s="41"/>
      <c r="R68" s="41"/>
      <c r="S68" s="41"/>
      <c r="T68" s="41"/>
      <c r="U68" s="41"/>
      <c r="V68" s="41"/>
      <c r="W68" s="41"/>
      <c r="X68" s="41"/>
      <c r="Y68" s="41"/>
      <c r="Z68" s="41"/>
    </row>
    <row r="69" spans="1:26" ht="15.75" customHeight="1" x14ac:dyDescent="0.2">
      <c r="A69" s="12"/>
      <c r="B69" s="16"/>
      <c r="C69" s="16"/>
      <c r="D69" s="12"/>
      <c r="E69" s="12"/>
      <c r="F69" s="12"/>
      <c r="G69" s="12"/>
      <c r="H69" s="12"/>
      <c r="I69" s="12"/>
      <c r="J69" s="12"/>
      <c r="K69" s="12"/>
      <c r="L69" s="12"/>
      <c r="M69" s="12"/>
      <c r="N69" s="16"/>
      <c r="O69" s="41"/>
      <c r="P69" s="41"/>
      <c r="Q69" s="41"/>
      <c r="R69" s="41"/>
      <c r="S69" s="41"/>
      <c r="T69" s="41"/>
      <c r="U69" s="41"/>
      <c r="V69" s="41"/>
      <c r="W69" s="41"/>
      <c r="X69" s="41"/>
      <c r="Y69" s="41"/>
      <c r="Z69" s="41"/>
    </row>
    <row r="70" spans="1:26" ht="15.75" customHeight="1" x14ac:dyDescent="0.2">
      <c r="A70" s="12"/>
      <c r="B70" s="16"/>
      <c r="C70" s="16"/>
      <c r="D70" s="12"/>
      <c r="E70" s="12"/>
      <c r="F70" s="12"/>
      <c r="G70" s="12"/>
      <c r="H70" s="12"/>
      <c r="I70" s="12"/>
      <c r="J70" s="12"/>
      <c r="K70" s="12"/>
      <c r="L70" s="12"/>
      <c r="M70" s="12"/>
      <c r="N70" s="16"/>
      <c r="O70" s="41"/>
      <c r="P70" s="41"/>
      <c r="Q70" s="41"/>
      <c r="R70" s="41"/>
      <c r="S70" s="41"/>
      <c r="T70" s="41"/>
      <c r="U70" s="41"/>
      <c r="V70" s="41"/>
      <c r="W70" s="41"/>
      <c r="X70" s="41"/>
      <c r="Y70" s="41"/>
      <c r="Z70" s="41"/>
    </row>
    <row r="71" spans="1:26" ht="15.75" customHeight="1" x14ac:dyDescent="0.2">
      <c r="A71" s="12"/>
      <c r="B71" s="16"/>
      <c r="C71" s="16"/>
      <c r="D71" s="12"/>
      <c r="E71" s="12"/>
      <c r="F71" s="12"/>
      <c r="G71" s="12"/>
      <c r="H71" s="12"/>
      <c r="I71" s="12"/>
      <c r="J71" s="12"/>
      <c r="K71" s="12"/>
      <c r="L71" s="12"/>
      <c r="M71" s="12"/>
      <c r="N71" s="16"/>
      <c r="O71" s="41"/>
      <c r="P71" s="41"/>
      <c r="Q71" s="41"/>
      <c r="R71" s="41"/>
      <c r="S71" s="41"/>
      <c r="T71" s="41"/>
      <c r="U71" s="41"/>
      <c r="V71" s="41"/>
      <c r="W71" s="41"/>
      <c r="X71" s="41"/>
      <c r="Y71" s="41"/>
      <c r="Z71" s="41"/>
    </row>
    <row r="72" spans="1:26" ht="15.75" customHeight="1" x14ac:dyDescent="0.2">
      <c r="A72" s="12"/>
      <c r="B72" s="16"/>
      <c r="C72" s="16"/>
      <c r="D72" s="12"/>
      <c r="E72" s="12"/>
      <c r="F72" s="12"/>
      <c r="G72" s="12"/>
      <c r="H72" s="12"/>
      <c r="I72" s="12"/>
      <c r="J72" s="12"/>
      <c r="K72" s="12"/>
      <c r="L72" s="12"/>
      <c r="M72" s="12"/>
      <c r="N72" s="16"/>
      <c r="O72" s="41"/>
      <c r="P72" s="41"/>
      <c r="Q72" s="41"/>
      <c r="R72" s="41"/>
      <c r="S72" s="41"/>
      <c r="T72" s="41"/>
      <c r="U72" s="41"/>
      <c r="V72" s="41"/>
      <c r="W72" s="41"/>
      <c r="X72" s="41"/>
      <c r="Y72" s="41"/>
      <c r="Z72" s="41"/>
    </row>
    <row r="73" spans="1:26" ht="15.75" customHeight="1" x14ac:dyDescent="0.2">
      <c r="A73" s="12"/>
      <c r="B73" s="16"/>
      <c r="C73" s="16"/>
      <c r="D73" s="12"/>
      <c r="E73" s="12"/>
      <c r="F73" s="12"/>
      <c r="G73" s="12"/>
      <c r="H73" s="12"/>
      <c r="I73" s="12"/>
      <c r="J73" s="12"/>
      <c r="K73" s="12"/>
      <c r="L73" s="12"/>
      <c r="M73" s="12"/>
      <c r="N73" s="16"/>
      <c r="O73" s="41"/>
      <c r="P73" s="41"/>
      <c r="Q73" s="41"/>
      <c r="R73" s="41"/>
      <c r="S73" s="41"/>
      <c r="T73" s="41"/>
      <c r="U73" s="41"/>
      <c r="V73" s="41"/>
      <c r="W73" s="41"/>
      <c r="X73" s="41"/>
      <c r="Y73" s="41"/>
      <c r="Z73" s="41"/>
    </row>
    <row r="74" spans="1:26" ht="15.75" customHeight="1" x14ac:dyDescent="0.2">
      <c r="A74" s="12"/>
      <c r="B74" s="16"/>
      <c r="C74" s="16"/>
      <c r="D74" s="12"/>
      <c r="E74" s="12"/>
      <c r="F74" s="12"/>
      <c r="G74" s="12"/>
      <c r="H74" s="12"/>
      <c r="I74" s="12"/>
      <c r="J74" s="12"/>
      <c r="K74" s="12"/>
      <c r="L74" s="12"/>
      <c r="M74" s="12"/>
      <c r="N74" s="16"/>
      <c r="O74" s="41"/>
      <c r="P74" s="41"/>
      <c r="Q74" s="41"/>
      <c r="R74" s="41"/>
      <c r="S74" s="41"/>
      <c r="T74" s="41"/>
      <c r="U74" s="41"/>
      <c r="V74" s="41"/>
      <c r="W74" s="41"/>
      <c r="X74" s="41"/>
      <c r="Y74" s="41"/>
      <c r="Z74" s="41"/>
    </row>
    <row r="75" spans="1:26" ht="15.75" customHeight="1" x14ac:dyDescent="0.2">
      <c r="A75" s="12"/>
      <c r="B75" s="16"/>
      <c r="C75" s="16"/>
      <c r="D75" s="12"/>
      <c r="E75" s="12"/>
      <c r="F75" s="12"/>
      <c r="G75" s="12"/>
      <c r="H75" s="12"/>
      <c r="I75" s="12"/>
      <c r="J75" s="12"/>
      <c r="K75" s="12"/>
      <c r="L75" s="12"/>
      <c r="M75" s="12"/>
      <c r="N75" s="16"/>
      <c r="O75" s="41"/>
      <c r="P75" s="41"/>
      <c r="Q75" s="41"/>
      <c r="R75" s="41"/>
      <c r="S75" s="41"/>
      <c r="T75" s="41"/>
      <c r="U75" s="41"/>
      <c r="V75" s="41"/>
      <c r="W75" s="41"/>
      <c r="X75" s="41"/>
      <c r="Y75" s="41"/>
      <c r="Z75" s="41"/>
    </row>
    <row r="76" spans="1:26" ht="15.75" customHeight="1" x14ac:dyDescent="0.2">
      <c r="A76" s="12"/>
      <c r="B76" s="16"/>
      <c r="C76" s="16"/>
      <c r="D76" s="12"/>
      <c r="E76" s="12"/>
      <c r="F76" s="12"/>
      <c r="G76" s="12"/>
      <c r="H76" s="12"/>
      <c r="I76" s="12"/>
      <c r="J76" s="12"/>
      <c r="K76" s="12"/>
      <c r="L76" s="12"/>
      <c r="M76" s="12"/>
      <c r="N76" s="16"/>
      <c r="O76" s="41"/>
      <c r="P76" s="41"/>
      <c r="Q76" s="41"/>
      <c r="R76" s="41"/>
      <c r="S76" s="41"/>
      <c r="T76" s="41"/>
      <c r="U76" s="41"/>
      <c r="V76" s="41"/>
      <c r="W76" s="41"/>
      <c r="X76" s="41"/>
      <c r="Y76" s="41"/>
      <c r="Z76" s="41"/>
    </row>
    <row r="77" spans="1:26" ht="15.75" customHeight="1" x14ac:dyDescent="0.2">
      <c r="A77" s="12"/>
      <c r="B77" s="16"/>
      <c r="C77" s="16"/>
      <c r="D77" s="12"/>
      <c r="E77" s="12"/>
      <c r="F77" s="12"/>
      <c r="G77" s="12"/>
      <c r="H77" s="12"/>
      <c r="I77" s="12"/>
      <c r="J77" s="12"/>
      <c r="K77" s="12"/>
      <c r="L77" s="12"/>
      <c r="M77" s="12"/>
      <c r="N77" s="16"/>
      <c r="O77" s="41"/>
      <c r="P77" s="41"/>
      <c r="Q77" s="41"/>
      <c r="R77" s="41"/>
      <c r="S77" s="41"/>
      <c r="T77" s="41"/>
      <c r="U77" s="41"/>
      <c r="V77" s="41"/>
      <c r="W77" s="41"/>
      <c r="X77" s="41"/>
      <c r="Y77" s="41"/>
      <c r="Z77" s="41"/>
    </row>
    <row r="78" spans="1:26" ht="15.75" customHeight="1" x14ac:dyDescent="0.2">
      <c r="A78" s="12"/>
      <c r="B78" s="16"/>
      <c r="C78" s="16"/>
      <c r="D78" s="12"/>
      <c r="E78" s="12"/>
      <c r="F78" s="12"/>
      <c r="G78" s="12"/>
      <c r="H78" s="12"/>
      <c r="I78" s="12"/>
      <c r="J78" s="12"/>
      <c r="K78" s="12"/>
      <c r="L78" s="12"/>
      <c r="M78" s="12"/>
      <c r="N78" s="16"/>
      <c r="O78" s="41"/>
      <c r="P78" s="41"/>
      <c r="Q78" s="41"/>
      <c r="R78" s="41"/>
      <c r="S78" s="41"/>
      <c r="T78" s="41"/>
      <c r="U78" s="41"/>
      <c r="V78" s="41"/>
      <c r="W78" s="41"/>
      <c r="X78" s="41"/>
      <c r="Y78" s="41"/>
      <c r="Z78" s="41"/>
    </row>
    <row r="79" spans="1:26" ht="15.75" customHeight="1" x14ac:dyDescent="0.2">
      <c r="A79" s="12"/>
      <c r="B79" s="16"/>
      <c r="C79" s="16"/>
      <c r="D79" s="12"/>
      <c r="E79" s="12"/>
      <c r="F79" s="12"/>
      <c r="G79" s="12"/>
      <c r="H79" s="12"/>
      <c r="I79" s="12"/>
      <c r="J79" s="12"/>
      <c r="K79" s="12"/>
      <c r="L79" s="12"/>
      <c r="M79" s="12"/>
      <c r="N79" s="16"/>
      <c r="O79" s="41"/>
      <c r="P79" s="41"/>
      <c r="Q79" s="41"/>
      <c r="R79" s="41"/>
      <c r="S79" s="41"/>
      <c r="T79" s="41"/>
      <c r="U79" s="41"/>
      <c r="V79" s="41"/>
      <c r="W79" s="41"/>
      <c r="X79" s="41"/>
      <c r="Y79" s="41"/>
      <c r="Z79" s="41"/>
    </row>
    <row r="80" spans="1:26" ht="15.75" customHeight="1" x14ac:dyDescent="0.2">
      <c r="A80" s="12"/>
      <c r="B80" s="16"/>
      <c r="C80" s="16"/>
      <c r="D80" s="12"/>
      <c r="E80" s="12"/>
      <c r="F80" s="12"/>
      <c r="G80" s="12"/>
      <c r="H80" s="12"/>
      <c r="I80" s="12"/>
      <c r="J80" s="12"/>
      <c r="K80" s="12"/>
      <c r="L80" s="12"/>
      <c r="M80" s="12"/>
      <c r="N80" s="16"/>
      <c r="O80" s="41"/>
      <c r="P80" s="41"/>
      <c r="Q80" s="41"/>
      <c r="R80" s="41"/>
      <c r="S80" s="41"/>
      <c r="T80" s="41"/>
      <c r="U80" s="41"/>
      <c r="V80" s="41"/>
      <c r="W80" s="41"/>
      <c r="X80" s="41"/>
      <c r="Y80" s="41"/>
      <c r="Z80" s="41"/>
    </row>
    <row r="81" spans="1:26" ht="15.75" customHeight="1" x14ac:dyDescent="0.2">
      <c r="A81" s="12"/>
      <c r="B81" s="16"/>
      <c r="C81" s="16"/>
      <c r="D81" s="12"/>
      <c r="E81" s="12"/>
      <c r="F81" s="12"/>
      <c r="G81" s="12"/>
      <c r="H81" s="12"/>
      <c r="I81" s="12"/>
      <c r="J81" s="12"/>
      <c r="K81" s="12"/>
      <c r="L81" s="12"/>
      <c r="M81" s="12"/>
      <c r="N81" s="16"/>
      <c r="O81" s="41"/>
      <c r="P81" s="41"/>
      <c r="Q81" s="41"/>
      <c r="R81" s="41"/>
      <c r="S81" s="41"/>
      <c r="T81" s="41"/>
      <c r="U81" s="41"/>
      <c r="V81" s="41"/>
      <c r="W81" s="41"/>
      <c r="X81" s="41"/>
      <c r="Y81" s="41"/>
      <c r="Z81" s="41"/>
    </row>
    <row r="82" spans="1:26" ht="15.75" customHeight="1" x14ac:dyDescent="0.2">
      <c r="A82" s="12"/>
      <c r="B82" s="16"/>
      <c r="C82" s="16"/>
      <c r="D82" s="12"/>
      <c r="E82" s="12"/>
      <c r="F82" s="12"/>
      <c r="G82" s="12"/>
      <c r="H82" s="12"/>
      <c r="I82" s="12"/>
      <c r="J82" s="12"/>
      <c r="K82" s="12"/>
      <c r="L82" s="12"/>
      <c r="M82" s="12"/>
      <c r="N82" s="16"/>
      <c r="O82" s="41"/>
      <c r="P82" s="41"/>
      <c r="Q82" s="41"/>
      <c r="R82" s="41"/>
      <c r="S82" s="41"/>
      <c r="T82" s="41"/>
      <c r="U82" s="41"/>
      <c r="V82" s="41"/>
      <c r="W82" s="41"/>
      <c r="X82" s="41"/>
      <c r="Y82" s="41"/>
      <c r="Z82" s="41"/>
    </row>
    <row r="83" spans="1:26" ht="15.75" customHeight="1" x14ac:dyDescent="0.2">
      <c r="A83" s="12"/>
      <c r="B83" s="16"/>
      <c r="C83" s="16"/>
      <c r="D83" s="12"/>
      <c r="E83" s="12"/>
      <c r="F83" s="12"/>
      <c r="G83" s="12"/>
      <c r="H83" s="12"/>
      <c r="I83" s="12"/>
      <c r="J83" s="12"/>
      <c r="K83" s="12"/>
      <c r="L83" s="12"/>
      <c r="M83" s="12"/>
      <c r="N83" s="16"/>
      <c r="O83" s="41"/>
      <c r="P83" s="41"/>
      <c r="Q83" s="41"/>
      <c r="R83" s="41"/>
      <c r="S83" s="41"/>
      <c r="T83" s="41"/>
      <c r="U83" s="41"/>
      <c r="V83" s="41"/>
      <c r="W83" s="41"/>
      <c r="X83" s="41"/>
      <c r="Y83" s="41"/>
      <c r="Z83" s="41"/>
    </row>
    <row r="84" spans="1:26" ht="15.75" customHeight="1" x14ac:dyDescent="0.2">
      <c r="A84" s="12"/>
      <c r="B84" s="16"/>
      <c r="C84" s="16"/>
      <c r="D84" s="12"/>
      <c r="E84" s="12"/>
      <c r="F84" s="12"/>
      <c r="G84" s="12"/>
      <c r="H84" s="12"/>
      <c r="I84" s="12"/>
      <c r="J84" s="12"/>
      <c r="K84" s="12"/>
      <c r="L84" s="12"/>
      <c r="M84" s="12"/>
      <c r="N84" s="16"/>
      <c r="O84" s="41"/>
      <c r="P84" s="41"/>
      <c r="Q84" s="41"/>
      <c r="R84" s="41"/>
      <c r="S84" s="41"/>
      <c r="T84" s="41"/>
      <c r="U84" s="41"/>
      <c r="V84" s="41"/>
      <c r="W84" s="41"/>
      <c r="X84" s="41"/>
      <c r="Y84" s="41"/>
      <c r="Z84" s="41"/>
    </row>
    <row r="85" spans="1:26" ht="15.75" customHeight="1" x14ac:dyDescent="0.2">
      <c r="A85" s="12"/>
      <c r="B85" s="16"/>
      <c r="C85" s="16"/>
      <c r="D85" s="12"/>
      <c r="E85" s="12"/>
      <c r="F85" s="12"/>
      <c r="G85" s="12"/>
      <c r="H85" s="12"/>
      <c r="I85" s="12"/>
      <c r="J85" s="12"/>
      <c r="K85" s="12"/>
      <c r="L85" s="12"/>
      <c r="M85" s="12"/>
      <c r="N85" s="16"/>
      <c r="O85" s="41"/>
      <c r="P85" s="41"/>
      <c r="Q85" s="41"/>
      <c r="R85" s="41"/>
      <c r="S85" s="41"/>
      <c r="T85" s="41"/>
      <c r="U85" s="41"/>
      <c r="V85" s="41"/>
      <c r="W85" s="41"/>
      <c r="X85" s="41"/>
      <c r="Y85" s="41"/>
      <c r="Z85" s="41"/>
    </row>
    <row r="86" spans="1:26" ht="15.75" customHeight="1" x14ac:dyDescent="0.2">
      <c r="A86" s="12"/>
      <c r="B86" s="16"/>
      <c r="C86" s="16"/>
      <c r="D86" s="12"/>
      <c r="E86" s="12"/>
      <c r="F86" s="12"/>
      <c r="G86" s="12"/>
      <c r="H86" s="12"/>
      <c r="I86" s="12"/>
      <c r="J86" s="12"/>
      <c r="K86" s="12"/>
      <c r="L86" s="12"/>
      <c r="M86" s="12"/>
      <c r="N86" s="16"/>
      <c r="O86" s="41"/>
      <c r="P86" s="41"/>
      <c r="Q86" s="41"/>
      <c r="R86" s="41"/>
      <c r="S86" s="41"/>
      <c r="T86" s="41"/>
      <c r="U86" s="41"/>
      <c r="V86" s="41"/>
      <c r="W86" s="41"/>
      <c r="X86" s="41"/>
      <c r="Y86" s="41"/>
      <c r="Z86" s="41"/>
    </row>
    <row r="87" spans="1:26" ht="15.75" customHeight="1" x14ac:dyDescent="0.2">
      <c r="A87" s="12"/>
      <c r="B87" s="16"/>
      <c r="C87" s="16"/>
      <c r="D87" s="12"/>
      <c r="E87" s="12"/>
      <c r="F87" s="12"/>
      <c r="G87" s="12"/>
      <c r="H87" s="12"/>
      <c r="I87" s="12"/>
      <c r="J87" s="12"/>
      <c r="K87" s="12"/>
      <c r="L87" s="12"/>
      <c r="M87" s="12"/>
      <c r="N87" s="16"/>
      <c r="O87" s="41"/>
      <c r="P87" s="41"/>
      <c r="Q87" s="41"/>
      <c r="R87" s="41"/>
      <c r="S87" s="41"/>
      <c r="T87" s="41"/>
      <c r="U87" s="41"/>
      <c r="V87" s="41"/>
      <c r="W87" s="41"/>
      <c r="X87" s="41"/>
      <c r="Y87" s="41"/>
      <c r="Z87" s="41"/>
    </row>
    <row r="88" spans="1:26" ht="15.75" customHeight="1" x14ac:dyDescent="0.2">
      <c r="A88" s="12"/>
      <c r="B88" s="16"/>
      <c r="C88" s="16"/>
      <c r="D88" s="12"/>
      <c r="E88" s="12"/>
      <c r="F88" s="12"/>
      <c r="G88" s="12"/>
      <c r="H88" s="12"/>
      <c r="I88" s="12"/>
      <c r="J88" s="12"/>
      <c r="K88" s="12"/>
      <c r="L88" s="12"/>
      <c r="M88" s="12"/>
      <c r="N88" s="16"/>
      <c r="O88" s="41"/>
      <c r="P88" s="41"/>
      <c r="Q88" s="41"/>
      <c r="R88" s="41"/>
      <c r="S88" s="41"/>
      <c r="T88" s="41"/>
      <c r="U88" s="41"/>
      <c r="V88" s="41"/>
      <c r="W88" s="41"/>
      <c r="X88" s="41"/>
      <c r="Y88" s="41"/>
      <c r="Z88" s="41"/>
    </row>
    <row r="89" spans="1:26" ht="15.75" customHeight="1" x14ac:dyDescent="0.2">
      <c r="A89" s="12"/>
      <c r="B89" s="16"/>
      <c r="C89" s="16"/>
      <c r="D89" s="12"/>
      <c r="E89" s="12"/>
      <c r="F89" s="12"/>
      <c r="G89" s="12"/>
      <c r="H89" s="12"/>
      <c r="I89" s="12"/>
      <c r="J89" s="12"/>
      <c r="K89" s="12"/>
      <c r="L89" s="12"/>
      <c r="M89" s="12"/>
      <c r="N89" s="16"/>
      <c r="O89" s="41"/>
      <c r="P89" s="41"/>
      <c r="Q89" s="41"/>
      <c r="R89" s="41"/>
      <c r="S89" s="41"/>
      <c r="T89" s="41"/>
      <c r="U89" s="41"/>
      <c r="V89" s="41"/>
      <c r="W89" s="41"/>
      <c r="X89" s="41"/>
      <c r="Y89" s="41"/>
      <c r="Z89" s="41"/>
    </row>
    <row r="90" spans="1:26" ht="15.75" customHeight="1" x14ac:dyDescent="0.2">
      <c r="A90" s="12"/>
      <c r="B90" s="16"/>
      <c r="C90" s="16"/>
      <c r="D90" s="12"/>
      <c r="E90" s="12"/>
      <c r="F90" s="12"/>
      <c r="G90" s="12"/>
      <c r="H90" s="12"/>
      <c r="I90" s="12"/>
      <c r="J90" s="12"/>
      <c r="K90" s="12"/>
      <c r="L90" s="12"/>
      <c r="M90" s="12"/>
      <c r="N90" s="16"/>
      <c r="O90" s="41"/>
      <c r="P90" s="41"/>
      <c r="Q90" s="41"/>
      <c r="R90" s="41"/>
      <c r="S90" s="41"/>
      <c r="T90" s="41"/>
      <c r="U90" s="41"/>
      <c r="V90" s="41"/>
      <c r="W90" s="41"/>
      <c r="X90" s="41"/>
      <c r="Y90" s="41"/>
      <c r="Z90" s="41"/>
    </row>
    <row r="91" spans="1:26" ht="15.75" customHeight="1" x14ac:dyDescent="0.2">
      <c r="A91" s="12"/>
      <c r="B91" s="16"/>
      <c r="C91" s="16"/>
      <c r="D91" s="12"/>
      <c r="E91" s="12"/>
      <c r="F91" s="12"/>
      <c r="G91" s="12"/>
      <c r="H91" s="12"/>
      <c r="I91" s="12"/>
      <c r="J91" s="12"/>
      <c r="K91" s="12"/>
      <c r="L91" s="12"/>
      <c r="M91" s="12"/>
      <c r="N91" s="16"/>
      <c r="O91" s="41"/>
      <c r="P91" s="41"/>
      <c r="Q91" s="41"/>
      <c r="R91" s="41"/>
      <c r="S91" s="41"/>
      <c r="T91" s="41"/>
      <c r="U91" s="41"/>
      <c r="V91" s="41"/>
      <c r="W91" s="41"/>
      <c r="X91" s="41"/>
      <c r="Y91" s="41"/>
      <c r="Z91" s="41"/>
    </row>
    <row r="92" spans="1:26" ht="15.75" customHeight="1" x14ac:dyDescent="0.2">
      <c r="A92" s="12"/>
      <c r="B92" s="16"/>
      <c r="C92" s="16"/>
      <c r="D92" s="12"/>
      <c r="E92" s="12"/>
      <c r="F92" s="12"/>
      <c r="G92" s="12"/>
      <c r="H92" s="12"/>
      <c r="I92" s="12"/>
      <c r="J92" s="12"/>
      <c r="K92" s="12"/>
      <c r="L92" s="12"/>
      <c r="M92" s="12"/>
      <c r="N92" s="16"/>
      <c r="O92" s="41"/>
      <c r="P92" s="41"/>
      <c r="Q92" s="41"/>
      <c r="R92" s="41"/>
      <c r="S92" s="41"/>
      <c r="T92" s="41"/>
      <c r="U92" s="41"/>
      <c r="V92" s="41"/>
      <c r="W92" s="41"/>
      <c r="X92" s="41"/>
      <c r="Y92" s="41"/>
      <c r="Z92" s="41"/>
    </row>
    <row r="93" spans="1:26" ht="15.75" customHeight="1" x14ac:dyDescent="0.2">
      <c r="A93" s="12"/>
      <c r="B93" s="16"/>
      <c r="C93" s="16"/>
      <c r="D93" s="12"/>
      <c r="E93" s="12"/>
      <c r="F93" s="12"/>
      <c r="G93" s="12"/>
      <c r="H93" s="12"/>
      <c r="I93" s="12"/>
      <c r="J93" s="12"/>
      <c r="K93" s="12"/>
      <c r="L93" s="12"/>
      <c r="M93" s="12"/>
      <c r="N93" s="16"/>
      <c r="O93" s="41"/>
      <c r="P93" s="41"/>
      <c r="Q93" s="41"/>
      <c r="R93" s="41"/>
      <c r="S93" s="41"/>
      <c r="T93" s="41"/>
      <c r="U93" s="41"/>
      <c r="V93" s="41"/>
      <c r="W93" s="41"/>
      <c r="X93" s="41"/>
      <c r="Y93" s="41"/>
      <c r="Z93" s="41"/>
    </row>
    <row r="94" spans="1:26" ht="15.75" customHeight="1" x14ac:dyDescent="0.2">
      <c r="A94" s="12"/>
      <c r="B94" s="16"/>
      <c r="C94" s="16"/>
      <c r="D94" s="12"/>
      <c r="E94" s="12"/>
      <c r="F94" s="12"/>
      <c r="G94" s="12"/>
      <c r="H94" s="12"/>
      <c r="I94" s="12"/>
      <c r="J94" s="12"/>
      <c r="K94" s="12"/>
      <c r="L94" s="12"/>
      <c r="M94" s="12"/>
      <c r="N94" s="16"/>
      <c r="O94" s="41"/>
      <c r="P94" s="41"/>
      <c r="Q94" s="41"/>
      <c r="R94" s="41"/>
      <c r="S94" s="41"/>
      <c r="T94" s="41"/>
      <c r="U94" s="41"/>
      <c r="V94" s="41"/>
      <c r="W94" s="41"/>
      <c r="X94" s="41"/>
      <c r="Y94" s="41"/>
      <c r="Z94" s="41"/>
    </row>
    <row r="95" spans="1:26" ht="15.75" customHeight="1" x14ac:dyDescent="0.2">
      <c r="A95" s="12"/>
      <c r="B95" s="16"/>
      <c r="C95" s="16"/>
      <c r="D95" s="12"/>
      <c r="E95" s="12"/>
      <c r="F95" s="12"/>
      <c r="G95" s="12"/>
      <c r="H95" s="12"/>
      <c r="I95" s="12"/>
      <c r="J95" s="12"/>
      <c r="K95" s="12"/>
      <c r="L95" s="12"/>
      <c r="M95" s="12"/>
      <c r="N95" s="16"/>
      <c r="O95" s="41"/>
      <c r="P95" s="41"/>
      <c r="Q95" s="41"/>
      <c r="R95" s="41"/>
      <c r="S95" s="41"/>
      <c r="T95" s="41"/>
      <c r="U95" s="41"/>
      <c r="V95" s="41"/>
      <c r="W95" s="41"/>
      <c r="X95" s="41"/>
      <c r="Y95" s="41"/>
      <c r="Z95" s="41"/>
    </row>
    <row r="96" spans="1:26" ht="15.75" customHeight="1" x14ac:dyDescent="0.2">
      <c r="A96" s="12"/>
      <c r="B96" s="16"/>
      <c r="C96" s="16"/>
      <c r="D96" s="12"/>
      <c r="E96" s="12"/>
      <c r="F96" s="12"/>
      <c r="G96" s="12"/>
      <c r="H96" s="12"/>
      <c r="I96" s="12"/>
      <c r="J96" s="12"/>
      <c r="K96" s="12"/>
      <c r="L96" s="12"/>
      <c r="M96" s="12"/>
      <c r="N96" s="16"/>
      <c r="O96" s="41"/>
      <c r="P96" s="41"/>
      <c r="Q96" s="41"/>
      <c r="R96" s="41"/>
      <c r="S96" s="41"/>
      <c r="T96" s="41"/>
      <c r="U96" s="41"/>
      <c r="V96" s="41"/>
      <c r="W96" s="41"/>
      <c r="X96" s="41"/>
      <c r="Y96" s="41"/>
      <c r="Z96" s="41"/>
    </row>
    <row r="97" spans="1:26" ht="15.75" customHeight="1" x14ac:dyDescent="0.2">
      <c r="A97" s="12"/>
      <c r="B97" s="16"/>
      <c r="C97" s="16"/>
      <c r="D97" s="12"/>
      <c r="E97" s="12"/>
      <c r="F97" s="12"/>
      <c r="G97" s="12"/>
      <c r="H97" s="12"/>
      <c r="I97" s="12"/>
      <c r="J97" s="12"/>
      <c r="K97" s="12"/>
      <c r="L97" s="12"/>
      <c r="M97" s="12"/>
      <c r="N97" s="16"/>
      <c r="O97" s="41"/>
      <c r="P97" s="41"/>
      <c r="Q97" s="41"/>
      <c r="R97" s="41"/>
      <c r="S97" s="41"/>
      <c r="T97" s="41"/>
      <c r="U97" s="41"/>
      <c r="V97" s="41"/>
      <c r="W97" s="41"/>
      <c r="X97" s="41"/>
      <c r="Y97" s="41"/>
      <c r="Z97" s="41"/>
    </row>
    <row r="98" spans="1:26" ht="15.75" customHeight="1" x14ac:dyDescent="0.2">
      <c r="A98" s="12"/>
      <c r="B98" s="16"/>
      <c r="C98" s="16"/>
      <c r="D98" s="12"/>
      <c r="E98" s="12"/>
      <c r="F98" s="12"/>
      <c r="G98" s="12"/>
      <c r="H98" s="12"/>
      <c r="I98" s="12"/>
      <c r="J98" s="12"/>
      <c r="K98" s="12"/>
      <c r="L98" s="12"/>
      <c r="M98" s="12"/>
      <c r="N98" s="16"/>
      <c r="O98" s="41"/>
      <c r="P98" s="41"/>
      <c r="Q98" s="41"/>
      <c r="R98" s="41"/>
      <c r="S98" s="41"/>
      <c r="T98" s="41"/>
      <c r="U98" s="41"/>
      <c r="V98" s="41"/>
      <c r="W98" s="41"/>
      <c r="X98" s="41"/>
      <c r="Y98" s="41"/>
      <c r="Z98" s="41"/>
    </row>
    <row r="99" spans="1:26" ht="15.75" customHeight="1" x14ac:dyDescent="0.2">
      <c r="A99" s="12"/>
      <c r="B99" s="16"/>
      <c r="C99" s="16"/>
      <c r="D99" s="12"/>
      <c r="E99" s="12"/>
      <c r="F99" s="12"/>
      <c r="G99" s="12"/>
      <c r="H99" s="12"/>
      <c r="I99" s="12"/>
      <c r="J99" s="12"/>
      <c r="K99" s="12"/>
      <c r="L99" s="12"/>
      <c r="M99" s="12"/>
      <c r="N99" s="16"/>
      <c r="O99" s="41"/>
      <c r="P99" s="41"/>
      <c r="Q99" s="41"/>
      <c r="R99" s="41"/>
      <c r="S99" s="41"/>
      <c r="T99" s="41"/>
      <c r="U99" s="41"/>
      <c r="V99" s="41"/>
      <c r="W99" s="41"/>
      <c r="X99" s="41"/>
      <c r="Y99" s="41"/>
      <c r="Z99" s="41"/>
    </row>
    <row r="100" spans="1:26" ht="15.75" customHeight="1" x14ac:dyDescent="0.2">
      <c r="A100" s="12"/>
      <c r="B100" s="16"/>
      <c r="C100" s="16"/>
      <c r="D100" s="12"/>
      <c r="E100" s="12"/>
      <c r="F100" s="12"/>
      <c r="G100" s="12"/>
      <c r="H100" s="12"/>
      <c r="I100" s="12"/>
      <c r="J100" s="12"/>
      <c r="K100" s="12"/>
      <c r="L100" s="12"/>
      <c r="M100" s="12"/>
      <c r="N100" s="16"/>
      <c r="O100" s="41"/>
      <c r="P100" s="41"/>
      <c r="Q100" s="41"/>
      <c r="R100" s="41"/>
      <c r="S100" s="41"/>
      <c r="T100" s="41"/>
      <c r="U100" s="41"/>
      <c r="V100" s="41"/>
      <c r="W100" s="41"/>
      <c r="X100" s="41"/>
      <c r="Y100" s="41"/>
      <c r="Z100" s="41"/>
    </row>
    <row r="101" spans="1:26" ht="15.75" customHeight="1" x14ac:dyDescent="0.2">
      <c r="A101" s="12"/>
      <c r="B101" s="16"/>
      <c r="C101" s="16"/>
      <c r="D101" s="12"/>
      <c r="E101" s="12"/>
      <c r="F101" s="12"/>
      <c r="G101" s="12"/>
      <c r="H101" s="12"/>
      <c r="I101" s="12"/>
      <c r="J101" s="12"/>
      <c r="K101" s="12"/>
      <c r="L101" s="12"/>
      <c r="M101" s="12"/>
      <c r="N101" s="16"/>
      <c r="O101" s="41"/>
      <c r="P101" s="41"/>
      <c r="Q101" s="41"/>
      <c r="R101" s="41"/>
      <c r="S101" s="41"/>
      <c r="T101" s="41"/>
      <c r="U101" s="41"/>
      <c r="V101" s="41"/>
      <c r="W101" s="41"/>
      <c r="X101" s="41"/>
      <c r="Y101" s="41"/>
      <c r="Z101" s="41"/>
    </row>
    <row r="102" spans="1:26" ht="15.75" customHeight="1" x14ac:dyDescent="0.2">
      <c r="A102" s="12"/>
      <c r="B102" s="16"/>
      <c r="C102" s="16"/>
      <c r="D102" s="12"/>
      <c r="E102" s="12"/>
      <c r="F102" s="12"/>
      <c r="G102" s="12"/>
      <c r="H102" s="12"/>
      <c r="I102" s="12"/>
      <c r="J102" s="12"/>
      <c r="K102" s="12"/>
      <c r="L102" s="12"/>
      <c r="M102" s="12"/>
      <c r="N102" s="16"/>
      <c r="O102" s="41"/>
      <c r="P102" s="41"/>
      <c r="Q102" s="41"/>
      <c r="R102" s="41"/>
      <c r="S102" s="41"/>
      <c r="T102" s="41"/>
      <c r="U102" s="41"/>
      <c r="V102" s="41"/>
      <c r="W102" s="41"/>
      <c r="X102" s="41"/>
      <c r="Y102" s="41"/>
      <c r="Z102" s="41"/>
    </row>
    <row r="103" spans="1:26" ht="15.75" customHeight="1" x14ac:dyDescent="0.2">
      <c r="A103" s="12"/>
      <c r="B103" s="16"/>
      <c r="C103" s="16"/>
      <c r="D103" s="12"/>
      <c r="E103" s="12"/>
      <c r="F103" s="12"/>
      <c r="G103" s="12"/>
      <c r="H103" s="12"/>
      <c r="I103" s="12"/>
      <c r="J103" s="12"/>
      <c r="K103" s="12"/>
      <c r="L103" s="12"/>
      <c r="M103" s="12"/>
      <c r="N103" s="16"/>
      <c r="O103" s="41"/>
      <c r="P103" s="41"/>
      <c r="Q103" s="41"/>
      <c r="R103" s="41"/>
      <c r="S103" s="41"/>
      <c r="T103" s="41"/>
      <c r="U103" s="41"/>
      <c r="V103" s="41"/>
      <c r="W103" s="41"/>
      <c r="X103" s="41"/>
      <c r="Y103" s="41"/>
      <c r="Z103" s="41"/>
    </row>
    <row r="104" spans="1:26" ht="15.75" customHeight="1" x14ac:dyDescent="0.2">
      <c r="A104" s="12"/>
      <c r="B104" s="16"/>
      <c r="C104" s="16"/>
      <c r="D104" s="12"/>
      <c r="E104" s="12"/>
      <c r="F104" s="12"/>
      <c r="G104" s="12"/>
      <c r="H104" s="12"/>
      <c r="I104" s="12"/>
      <c r="J104" s="12"/>
      <c r="K104" s="12"/>
      <c r="L104" s="12"/>
      <c r="M104" s="12"/>
      <c r="N104" s="16"/>
      <c r="O104" s="41"/>
      <c r="P104" s="41"/>
      <c r="Q104" s="41"/>
      <c r="R104" s="41"/>
      <c r="S104" s="41"/>
      <c r="T104" s="41"/>
      <c r="U104" s="41"/>
      <c r="V104" s="41"/>
      <c r="W104" s="41"/>
      <c r="X104" s="41"/>
      <c r="Y104" s="41"/>
      <c r="Z104" s="41"/>
    </row>
    <row r="105" spans="1:26" ht="15.75" customHeight="1" x14ac:dyDescent="0.2">
      <c r="A105" s="12"/>
      <c r="B105" s="16"/>
      <c r="C105" s="16"/>
      <c r="D105" s="12"/>
      <c r="E105" s="12"/>
      <c r="F105" s="12"/>
      <c r="G105" s="12"/>
      <c r="H105" s="12"/>
      <c r="I105" s="12"/>
      <c r="J105" s="12"/>
      <c r="K105" s="12"/>
      <c r="L105" s="12"/>
      <c r="M105" s="12"/>
      <c r="N105" s="16"/>
      <c r="O105" s="41"/>
      <c r="P105" s="41"/>
      <c r="Q105" s="41"/>
      <c r="R105" s="41"/>
      <c r="S105" s="41"/>
      <c r="T105" s="41"/>
      <c r="U105" s="41"/>
      <c r="V105" s="41"/>
      <c r="W105" s="41"/>
      <c r="X105" s="41"/>
      <c r="Y105" s="41"/>
      <c r="Z105" s="41"/>
    </row>
    <row r="106" spans="1:26" ht="15.75" customHeight="1" x14ac:dyDescent="0.2">
      <c r="A106" s="12"/>
      <c r="B106" s="16"/>
      <c r="C106" s="16"/>
      <c r="D106" s="12"/>
      <c r="E106" s="12"/>
      <c r="F106" s="12"/>
      <c r="G106" s="12"/>
      <c r="H106" s="12"/>
      <c r="I106" s="12"/>
      <c r="J106" s="12"/>
      <c r="K106" s="12"/>
      <c r="L106" s="12"/>
      <c r="M106" s="12"/>
      <c r="N106" s="16"/>
      <c r="O106" s="41"/>
      <c r="P106" s="41"/>
      <c r="Q106" s="41"/>
      <c r="R106" s="41"/>
      <c r="S106" s="41"/>
      <c r="T106" s="41"/>
      <c r="U106" s="41"/>
      <c r="V106" s="41"/>
      <c r="W106" s="41"/>
      <c r="X106" s="41"/>
      <c r="Y106" s="41"/>
      <c r="Z106" s="41"/>
    </row>
    <row r="107" spans="1:26" ht="15.75" customHeight="1" x14ac:dyDescent="0.2">
      <c r="A107" s="12"/>
      <c r="B107" s="16"/>
      <c r="C107" s="16"/>
      <c r="D107" s="12"/>
      <c r="E107" s="12"/>
      <c r="F107" s="12"/>
      <c r="G107" s="12"/>
      <c r="H107" s="12"/>
      <c r="I107" s="12"/>
      <c r="J107" s="12"/>
      <c r="K107" s="12"/>
      <c r="L107" s="12"/>
      <c r="M107" s="12"/>
      <c r="N107" s="16"/>
      <c r="O107" s="41"/>
      <c r="P107" s="41"/>
      <c r="Q107" s="41"/>
      <c r="R107" s="41"/>
      <c r="S107" s="41"/>
      <c r="T107" s="41"/>
      <c r="U107" s="41"/>
      <c r="V107" s="41"/>
      <c r="W107" s="41"/>
      <c r="X107" s="41"/>
      <c r="Y107" s="41"/>
      <c r="Z107" s="41"/>
    </row>
    <row r="108" spans="1:26" ht="15.75" customHeight="1" x14ac:dyDescent="0.2">
      <c r="A108" s="12"/>
      <c r="B108" s="16"/>
      <c r="C108" s="16"/>
      <c r="D108" s="12"/>
      <c r="E108" s="12"/>
      <c r="F108" s="12"/>
      <c r="G108" s="12"/>
      <c r="H108" s="12"/>
      <c r="I108" s="12"/>
      <c r="J108" s="12"/>
      <c r="K108" s="12"/>
      <c r="L108" s="12"/>
      <c r="M108" s="12"/>
      <c r="N108" s="16"/>
      <c r="O108" s="41"/>
      <c r="P108" s="41"/>
      <c r="Q108" s="41"/>
      <c r="R108" s="41"/>
      <c r="S108" s="41"/>
      <c r="T108" s="41"/>
      <c r="U108" s="41"/>
      <c r="V108" s="41"/>
      <c r="W108" s="41"/>
      <c r="X108" s="41"/>
      <c r="Y108" s="41"/>
      <c r="Z108" s="41"/>
    </row>
    <row r="109" spans="1:26" ht="15.75" customHeight="1" x14ac:dyDescent="0.2">
      <c r="A109" s="12"/>
      <c r="B109" s="16"/>
      <c r="C109" s="16"/>
      <c r="D109" s="12"/>
      <c r="E109" s="12"/>
      <c r="F109" s="12"/>
      <c r="G109" s="12"/>
      <c r="H109" s="12"/>
      <c r="I109" s="12"/>
      <c r="J109" s="12"/>
      <c r="K109" s="12"/>
      <c r="L109" s="12"/>
      <c r="M109" s="12"/>
      <c r="N109" s="16"/>
      <c r="O109" s="41"/>
      <c r="P109" s="41"/>
      <c r="Q109" s="41"/>
      <c r="R109" s="41"/>
      <c r="S109" s="41"/>
      <c r="T109" s="41"/>
      <c r="U109" s="41"/>
      <c r="V109" s="41"/>
      <c r="W109" s="41"/>
      <c r="X109" s="41"/>
      <c r="Y109" s="41"/>
      <c r="Z109" s="41"/>
    </row>
    <row r="110" spans="1:26" ht="15.75" customHeight="1" x14ac:dyDescent="0.2">
      <c r="A110" s="12"/>
      <c r="B110" s="16"/>
      <c r="C110" s="16"/>
      <c r="D110" s="12"/>
      <c r="E110" s="12"/>
      <c r="F110" s="12"/>
      <c r="G110" s="12"/>
      <c r="H110" s="12"/>
      <c r="I110" s="12"/>
      <c r="J110" s="12"/>
      <c r="K110" s="12"/>
      <c r="L110" s="12"/>
      <c r="M110" s="12"/>
      <c r="N110" s="16"/>
      <c r="O110" s="41"/>
      <c r="P110" s="41"/>
      <c r="Q110" s="41"/>
      <c r="R110" s="41"/>
      <c r="S110" s="41"/>
      <c r="T110" s="41"/>
      <c r="U110" s="41"/>
      <c r="V110" s="41"/>
      <c r="W110" s="41"/>
      <c r="X110" s="41"/>
      <c r="Y110" s="41"/>
      <c r="Z110" s="41"/>
    </row>
    <row r="111" spans="1:26" ht="15.75" customHeight="1" x14ac:dyDescent="0.2">
      <c r="A111" s="12"/>
      <c r="B111" s="16"/>
      <c r="C111" s="16"/>
      <c r="D111" s="12"/>
      <c r="E111" s="12"/>
      <c r="F111" s="12"/>
      <c r="G111" s="12"/>
      <c r="H111" s="12"/>
      <c r="I111" s="12"/>
      <c r="J111" s="12"/>
      <c r="K111" s="12"/>
      <c r="L111" s="12"/>
      <c r="M111" s="12"/>
      <c r="N111" s="16"/>
      <c r="O111" s="41"/>
      <c r="P111" s="41"/>
      <c r="Q111" s="41"/>
      <c r="R111" s="41"/>
      <c r="S111" s="41"/>
      <c r="T111" s="41"/>
      <c r="U111" s="41"/>
      <c r="V111" s="41"/>
      <c r="W111" s="41"/>
      <c r="X111" s="41"/>
      <c r="Y111" s="41"/>
      <c r="Z111" s="41"/>
    </row>
    <row r="112" spans="1:26" ht="15.75" customHeight="1" x14ac:dyDescent="0.2">
      <c r="A112" s="12"/>
      <c r="B112" s="16"/>
      <c r="C112" s="16"/>
      <c r="D112" s="12"/>
      <c r="E112" s="12"/>
      <c r="F112" s="12"/>
      <c r="G112" s="12"/>
      <c r="H112" s="12"/>
      <c r="I112" s="12"/>
      <c r="J112" s="12"/>
      <c r="K112" s="12"/>
      <c r="L112" s="12"/>
      <c r="M112" s="12"/>
      <c r="N112" s="16"/>
      <c r="O112" s="41"/>
      <c r="P112" s="41"/>
      <c r="Q112" s="41"/>
      <c r="R112" s="41"/>
      <c r="S112" s="41"/>
      <c r="T112" s="41"/>
      <c r="U112" s="41"/>
      <c r="V112" s="41"/>
      <c r="W112" s="41"/>
      <c r="X112" s="41"/>
      <c r="Y112" s="41"/>
      <c r="Z112" s="41"/>
    </row>
    <row r="113" spans="1:26" ht="15.75" customHeight="1" x14ac:dyDescent="0.2">
      <c r="A113" s="12"/>
      <c r="B113" s="16"/>
      <c r="C113" s="16"/>
      <c r="D113" s="12"/>
      <c r="E113" s="12"/>
      <c r="F113" s="12"/>
      <c r="G113" s="12"/>
      <c r="H113" s="12"/>
      <c r="I113" s="12"/>
      <c r="J113" s="12"/>
      <c r="K113" s="12"/>
      <c r="L113" s="12"/>
      <c r="M113" s="12"/>
      <c r="N113" s="16"/>
      <c r="O113" s="41"/>
      <c r="P113" s="41"/>
      <c r="Q113" s="41"/>
      <c r="R113" s="41"/>
      <c r="S113" s="41"/>
      <c r="T113" s="41"/>
      <c r="U113" s="41"/>
      <c r="V113" s="41"/>
      <c r="W113" s="41"/>
      <c r="X113" s="41"/>
      <c r="Y113" s="41"/>
      <c r="Z113" s="41"/>
    </row>
    <row r="114" spans="1:26" ht="15.75" customHeight="1" x14ac:dyDescent="0.2">
      <c r="A114" s="12"/>
      <c r="B114" s="16"/>
      <c r="C114" s="16"/>
      <c r="D114" s="12"/>
      <c r="E114" s="12"/>
      <c r="F114" s="12"/>
      <c r="G114" s="12"/>
      <c r="H114" s="12"/>
      <c r="I114" s="12"/>
      <c r="J114" s="12"/>
      <c r="K114" s="12"/>
      <c r="L114" s="12"/>
      <c r="M114" s="12"/>
      <c r="N114" s="16"/>
      <c r="O114" s="41"/>
      <c r="P114" s="41"/>
      <c r="Q114" s="41"/>
      <c r="R114" s="41"/>
      <c r="S114" s="41"/>
      <c r="T114" s="41"/>
      <c r="U114" s="41"/>
      <c r="V114" s="41"/>
      <c r="W114" s="41"/>
      <c r="X114" s="41"/>
      <c r="Y114" s="41"/>
      <c r="Z114" s="41"/>
    </row>
    <row r="115" spans="1:26" ht="15.75" customHeight="1" x14ac:dyDescent="0.2">
      <c r="A115" s="12"/>
      <c r="B115" s="16"/>
      <c r="C115" s="16"/>
      <c r="D115" s="12"/>
      <c r="E115" s="12"/>
      <c r="F115" s="12"/>
      <c r="G115" s="12"/>
      <c r="H115" s="12"/>
      <c r="I115" s="12"/>
      <c r="J115" s="12"/>
      <c r="K115" s="12"/>
      <c r="L115" s="12"/>
      <c r="M115" s="12"/>
      <c r="N115" s="16"/>
      <c r="O115" s="41"/>
      <c r="P115" s="41"/>
      <c r="Q115" s="41"/>
      <c r="R115" s="41"/>
      <c r="S115" s="41"/>
      <c r="T115" s="41"/>
      <c r="U115" s="41"/>
      <c r="V115" s="41"/>
      <c r="W115" s="41"/>
      <c r="X115" s="41"/>
      <c r="Y115" s="41"/>
      <c r="Z115" s="41"/>
    </row>
    <row r="116" spans="1:26" ht="15.75" customHeight="1" x14ac:dyDescent="0.2">
      <c r="A116" s="12"/>
      <c r="B116" s="16"/>
      <c r="C116" s="16"/>
      <c r="D116" s="12"/>
      <c r="E116" s="12"/>
      <c r="F116" s="12"/>
      <c r="G116" s="12"/>
      <c r="H116" s="12"/>
      <c r="I116" s="12"/>
      <c r="J116" s="12"/>
      <c r="K116" s="12"/>
      <c r="L116" s="12"/>
      <c r="M116" s="12"/>
      <c r="N116" s="16"/>
      <c r="O116" s="41"/>
      <c r="P116" s="41"/>
      <c r="Q116" s="41"/>
      <c r="R116" s="41"/>
      <c r="S116" s="41"/>
      <c r="T116" s="41"/>
      <c r="U116" s="41"/>
      <c r="V116" s="41"/>
      <c r="W116" s="41"/>
      <c r="X116" s="41"/>
      <c r="Y116" s="41"/>
      <c r="Z116" s="41"/>
    </row>
    <row r="117" spans="1:26" ht="15.75" customHeight="1" x14ac:dyDescent="0.2">
      <c r="A117" s="12"/>
      <c r="B117" s="16"/>
      <c r="C117" s="16"/>
      <c r="D117" s="12"/>
      <c r="E117" s="12"/>
      <c r="F117" s="12"/>
      <c r="G117" s="12"/>
      <c r="H117" s="12"/>
      <c r="I117" s="12"/>
      <c r="J117" s="12"/>
      <c r="K117" s="12"/>
      <c r="L117" s="12"/>
      <c r="M117" s="12"/>
      <c r="N117" s="16"/>
      <c r="O117" s="41"/>
      <c r="P117" s="41"/>
      <c r="Q117" s="41"/>
      <c r="R117" s="41"/>
      <c r="S117" s="41"/>
      <c r="T117" s="41"/>
      <c r="U117" s="41"/>
      <c r="V117" s="41"/>
      <c r="W117" s="41"/>
      <c r="X117" s="41"/>
      <c r="Y117" s="41"/>
      <c r="Z117" s="41"/>
    </row>
    <row r="118" spans="1:26" ht="15.75" customHeight="1" x14ac:dyDescent="0.2">
      <c r="A118" s="12"/>
      <c r="B118" s="16"/>
      <c r="C118" s="16"/>
      <c r="D118" s="12"/>
      <c r="E118" s="12"/>
      <c r="F118" s="12"/>
      <c r="G118" s="12"/>
      <c r="H118" s="12"/>
      <c r="I118" s="12"/>
      <c r="J118" s="12"/>
      <c r="K118" s="12"/>
      <c r="L118" s="12"/>
      <c r="M118" s="12"/>
      <c r="N118" s="16"/>
      <c r="O118" s="41"/>
      <c r="P118" s="41"/>
      <c r="Q118" s="41"/>
      <c r="R118" s="41"/>
      <c r="S118" s="41"/>
      <c r="T118" s="41"/>
      <c r="U118" s="41"/>
      <c r="V118" s="41"/>
      <c r="W118" s="41"/>
      <c r="X118" s="41"/>
      <c r="Y118" s="41"/>
      <c r="Z118" s="41"/>
    </row>
    <row r="119" spans="1:26" ht="15.75" customHeight="1" x14ac:dyDescent="0.2">
      <c r="A119" s="12"/>
      <c r="B119" s="16"/>
      <c r="C119" s="16"/>
      <c r="D119" s="12"/>
      <c r="E119" s="12"/>
      <c r="F119" s="12"/>
      <c r="G119" s="12"/>
      <c r="H119" s="12"/>
      <c r="I119" s="12"/>
      <c r="J119" s="12"/>
      <c r="K119" s="12"/>
      <c r="L119" s="12"/>
      <c r="M119" s="12"/>
      <c r="N119" s="16"/>
      <c r="O119" s="41"/>
      <c r="P119" s="41"/>
      <c r="Q119" s="41"/>
      <c r="R119" s="41"/>
      <c r="S119" s="41"/>
      <c r="T119" s="41"/>
      <c r="U119" s="41"/>
      <c r="V119" s="41"/>
      <c r="W119" s="41"/>
      <c r="X119" s="41"/>
      <c r="Y119" s="41"/>
      <c r="Z119" s="41"/>
    </row>
    <row r="120" spans="1:26" ht="15.75" customHeight="1" x14ac:dyDescent="0.2">
      <c r="A120" s="12"/>
      <c r="B120" s="16"/>
      <c r="C120" s="16"/>
      <c r="D120" s="12"/>
      <c r="E120" s="12"/>
      <c r="F120" s="12"/>
      <c r="G120" s="12"/>
      <c r="H120" s="12"/>
      <c r="I120" s="12"/>
      <c r="J120" s="12"/>
      <c r="K120" s="12"/>
      <c r="L120" s="12"/>
      <c r="M120" s="12"/>
      <c r="N120" s="16"/>
      <c r="O120" s="41"/>
      <c r="P120" s="41"/>
      <c r="Q120" s="41"/>
      <c r="R120" s="41"/>
      <c r="S120" s="41"/>
      <c r="T120" s="41"/>
      <c r="U120" s="41"/>
      <c r="V120" s="41"/>
      <c r="W120" s="41"/>
      <c r="X120" s="41"/>
      <c r="Y120" s="41"/>
      <c r="Z120" s="41"/>
    </row>
    <row r="121" spans="1:26" ht="15.75" customHeight="1" x14ac:dyDescent="0.2">
      <c r="A121" s="12"/>
      <c r="B121" s="16"/>
      <c r="C121" s="16"/>
      <c r="D121" s="12"/>
      <c r="E121" s="12"/>
      <c r="F121" s="12"/>
      <c r="G121" s="12"/>
      <c r="H121" s="12"/>
      <c r="I121" s="12"/>
      <c r="J121" s="12"/>
      <c r="K121" s="12"/>
      <c r="L121" s="12"/>
      <c r="M121" s="12"/>
      <c r="N121" s="16"/>
      <c r="O121" s="41"/>
      <c r="P121" s="41"/>
      <c r="Q121" s="41"/>
      <c r="R121" s="41"/>
      <c r="S121" s="41"/>
      <c r="T121" s="41"/>
      <c r="U121" s="41"/>
      <c r="V121" s="41"/>
      <c r="W121" s="41"/>
      <c r="X121" s="41"/>
      <c r="Y121" s="41"/>
      <c r="Z121" s="41"/>
    </row>
    <row r="122" spans="1:26" ht="15.75" customHeight="1" x14ac:dyDescent="0.2">
      <c r="A122" s="12"/>
      <c r="B122" s="16"/>
      <c r="C122" s="16"/>
      <c r="D122" s="12"/>
      <c r="E122" s="12"/>
      <c r="F122" s="12"/>
      <c r="G122" s="12"/>
      <c r="H122" s="12"/>
      <c r="I122" s="12"/>
      <c r="J122" s="12"/>
      <c r="K122" s="12"/>
      <c r="L122" s="12"/>
      <c r="M122" s="12"/>
      <c r="N122" s="16"/>
      <c r="O122" s="41"/>
      <c r="P122" s="41"/>
      <c r="Q122" s="41"/>
      <c r="R122" s="41"/>
      <c r="S122" s="41"/>
      <c r="T122" s="41"/>
      <c r="U122" s="41"/>
      <c r="V122" s="41"/>
      <c r="W122" s="41"/>
      <c r="X122" s="41"/>
      <c r="Y122" s="41"/>
      <c r="Z122" s="41"/>
    </row>
    <row r="123" spans="1:26" ht="15.75" customHeight="1" x14ac:dyDescent="0.2">
      <c r="A123" s="12"/>
      <c r="B123" s="16"/>
      <c r="C123" s="16"/>
      <c r="D123" s="12"/>
      <c r="E123" s="12"/>
      <c r="F123" s="12"/>
      <c r="G123" s="12"/>
      <c r="H123" s="12"/>
      <c r="I123" s="12"/>
      <c r="J123" s="12"/>
      <c r="K123" s="12"/>
      <c r="L123" s="12"/>
      <c r="M123" s="12"/>
      <c r="N123" s="16"/>
      <c r="O123" s="41"/>
      <c r="P123" s="41"/>
      <c r="Q123" s="41"/>
      <c r="R123" s="41"/>
      <c r="S123" s="41"/>
      <c r="T123" s="41"/>
      <c r="U123" s="41"/>
      <c r="V123" s="41"/>
      <c r="W123" s="41"/>
      <c r="X123" s="41"/>
      <c r="Y123" s="41"/>
      <c r="Z123" s="41"/>
    </row>
    <row r="124" spans="1:26" ht="15.75" customHeight="1" x14ac:dyDescent="0.2">
      <c r="A124" s="12"/>
      <c r="B124" s="16"/>
      <c r="C124" s="16"/>
      <c r="D124" s="12"/>
      <c r="E124" s="12"/>
      <c r="F124" s="12"/>
      <c r="G124" s="12"/>
      <c r="H124" s="12"/>
      <c r="I124" s="12"/>
      <c r="J124" s="12"/>
      <c r="K124" s="12"/>
      <c r="L124" s="12"/>
      <c r="M124" s="12"/>
      <c r="N124" s="16"/>
      <c r="O124" s="41"/>
      <c r="P124" s="41"/>
      <c r="Q124" s="41"/>
      <c r="R124" s="41"/>
      <c r="S124" s="41"/>
      <c r="T124" s="41"/>
      <c r="U124" s="41"/>
      <c r="V124" s="41"/>
      <c r="W124" s="41"/>
      <c r="X124" s="41"/>
      <c r="Y124" s="41"/>
      <c r="Z124" s="41"/>
    </row>
    <row r="125" spans="1:26" ht="15.75" customHeight="1" x14ac:dyDescent="0.2">
      <c r="A125" s="12"/>
      <c r="B125" s="16"/>
      <c r="C125" s="16"/>
      <c r="D125" s="12"/>
      <c r="E125" s="12"/>
      <c r="F125" s="12"/>
      <c r="G125" s="12"/>
      <c r="H125" s="12"/>
      <c r="I125" s="12"/>
      <c r="J125" s="12"/>
      <c r="K125" s="12"/>
      <c r="L125" s="12"/>
      <c r="M125" s="12"/>
      <c r="N125" s="16"/>
      <c r="O125" s="41"/>
      <c r="P125" s="41"/>
      <c r="Q125" s="41"/>
      <c r="R125" s="41"/>
      <c r="S125" s="41"/>
      <c r="T125" s="41"/>
      <c r="U125" s="41"/>
      <c r="V125" s="41"/>
      <c r="W125" s="41"/>
      <c r="X125" s="41"/>
      <c r="Y125" s="41"/>
      <c r="Z125" s="41"/>
    </row>
    <row r="126" spans="1:26" ht="15.75" customHeight="1" x14ac:dyDescent="0.2">
      <c r="A126" s="12"/>
      <c r="B126" s="16"/>
      <c r="C126" s="16"/>
      <c r="D126" s="12"/>
      <c r="E126" s="12"/>
      <c r="F126" s="12"/>
      <c r="G126" s="12"/>
      <c r="H126" s="12"/>
      <c r="I126" s="12"/>
      <c r="J126" s="12"/>
      <c r="K126" s="12"/>
      <c r="L126" s="12"/>
      <c r="M126" s="12"/>
      <c r="N126" s="16"/>
      <c r="O126" s="41"/>
      <c r="P126" s="41"/>
      <c r="Q126" s="41"/>
      <c r="R126" s="41"/>
      <c r="S126" s="41"/>
      <c r="T126" s="41"/>
      <c r="U126" s="41"/>
      <c r="V126" s="41"/>
      <c r="W126" s="41"/>
      <c r="X126" s="41"/>
      <c r="Y126" s="41"/>
      <c r="Z126" s="41"/>
    </row>
    <row r="127" spans="1:26" ht="15.75" customHeight="1" x14ac:dyDescent="0.2">
      <c r="A127" s="12"/>
      <c r="B127" s="16"/>
      <c r="C127" s="16"/>
      <c r="D127" s="12"/>
      <c r="E127" s="12"/>
      <c r="F127" s="12"/>
      <c r="G127" s="12"/>
      <c r="H127" s="12"/>
      <c r="I127" s="12"/>
      <c r="J127" s="12"/>
      <c r="K127" s="12"/>
      <c r="L127" s="12"/>
      <c r="M127" s="12"/>
      <c r="N127" s="16"/>
      <c r="O127" s="41"/>
      <c r="P127" s="41"/>
      <c r="Q127" s="41"/>
      <c r="R127" s="41"/>
      <c r="S127" s="41"/>
      <c r="T127" s="41"/>
      <c r="U127" s="41"/>
      <c r="V127" s="41"/>
      <c r="W127" s="41"/>
      <c r="X127" s="41"/>
      <c r="Y127" s="41"/>
      <c r="Z127" s="41"/>
    </row>
    <row r="128" spans="1:26" ht="15.75" customHeight="1" x14ac:dyDescent="0.2">
      <c r="A128" s="12"/>
      <c r="B128" s="16"/>
      <c r="C128" s="16"/>
      <c r="D128" s="12"/>
      <c r="E128" s="12"/>
      <c r="F128" s="12"/>
      <c r="G128" s="12"/>
      <c r="H128" s="12"/>
      <c r="I128" s="12"/>
      <c r="J128" s="12"/>
      <c r="K128" s="12"/>
      <c r="L128" s="12"/>
      <c r="M128" s="12"/>
      <c r="N128" s="16"/>
      <c r="O128" s="41"/>
      <c r="P128" s="41"/>
      <c r="Q128" s="41"/>
      <c r="R128" s="41"/>
      <c r="S128" s="41"/>
      <c r="T128" s="41"/>
      <c r="U128" s="41"/>
      <c r="V128" s="41"/>
      <c r="W128" s="41"/>
      <c r="X128" s="41"/>
      <c r="Y128" s="41"/>
      <c r="Z128" s="41"/>
    </row>
    <row r="129" spans="1:26" ht="15.75" customHeight="1" x14ac:dyDescent="0.2">
      <c r="A129" s="12"/>
      <c r="B129" s="16"/>
      <c r="C129" s="16"/>
      <c r="D129" s="12"/>
      <c r="E129" s="12"/>
      <c r="F129" s="12"/>
      <c r="G129" s="12"/>
      <c r="H129" s="12"/>
      <c r="I129" s="12"/>
      <c r="J129" s="12"/>
      <c r="K129" s="12"/>
      <c r="L129" s="12"/>
      <c r="M129" s="12"/>
      <c r="N129" s="16"/>
      <c r="O129" s="41"/>
      <c r="P129" s="41"/>
      <c r="Q129" s="41"/>
      <c r="R129" s="41"/>
      <c r="S129" s="41"/>
      <c r="T129" s="41"/>
      <c r="U129" s="41"/>
      <c r="V129" s="41"/>
      <c r="W129" s="41"/>
      <c r="X129" s="41"/>
      <c r="Y129" s="41"/>
      <c r="Z129" s="41"/>
    </row>
    <row r="130" spans="1:26" ht="15.75" customHeight="1" x14ac:dyDescent="0.2">
      <c r="A130" s="12"/>
      <c r="B130" s="16"/>
      <c r="C130" s="16"/>
      <c r="D130" s="12"/>
      <c r="E130" s="12"/>
      <c r="F130" s="12"/>
      <c r="G130" s="12"/>
      <c r="H130" s="12"/>
      <c r="I130" s="12"/>
      <c r="J130" s="12"/>
      <c r="K130" s="12"/>
      <c r="L130" s="12"/>
      <c r="M130" s="12"/>
      <c r="N130" s="16"/>
      <c r="O130" s="41"/>
      <c r="P130" s="41"/>
      <c r="Q130" s="41"/>
      <c r="R130" s="41"/>
      <c r="S130" s="41"/>
      <c r="T130" s="41"/>
      <c r="U130" s="41"/>
      <c r="V130" s="41"/>
      <c r="W130" s="41"/>
      <c r="X130" s="41"/>
      <c r="Y130" s="41"/>
      <c r="Z130" s="41"/>
    </row>
    <row r="131" spans="1:26" ht="15.75" customHeight="1" x14ac:dyDescent="0.2">
      <c r="A131" s="12"/>
      <c r="B131" s="16"/>
      <c r="C131" s="16"/>
      <c r="D131" s="12"/>
      <c r="E131" s="12"/>
      <c r="F131" s="12"/>
      <c r="G131" s="12"/>
      <c r="H131" s="12"/>
      <c r="I131" s="12"/>
      <c r="J131" s="12"/>
      <c r="K131" s="12"/>
      <c r="L131" s="12"/>
      <c r="M131" s="12"/>
      <c r="N131" s="16"/>
      <c r="O131" s="41"/>
      <c r="P131" s="41"/>
      <c r="Q131" s="41"/>
      <c r="R131" s="41"/>
      <c r="S131" s="41"/>
      <c r="T131" s="41"/>
      <c r="U131" s="41"/>
      <c r="V131" s="41"/>
      <c r="W131" s="41"/>
      <c r="X131" s="41"/>
      <c r="Y131" s="41"/>
      <c r="Z131" s="41"/>
    </row>
    <row r="132" spans="1:26" ht="15.75" customHeight="1" x14ac:dyDescent="0.2">
      <c r="A132" s="12"/>
      <c r="B132" s="16"/>
      <c r="C132" s="16"/>
      <c r="D132" s="12"/>
      <c r="E132" s="12"/>
      <c r="F132" s="12"/>
      <c r="G132" s="12"/>
      <c r="H132" s="12"/>
      <c r="I132" s="12"/>
      <c r="J132" s="12"/>
      <c r="K132" s="12"/>
      <c r="L132" s="12"/>
      <c r="M132" s="12"/>
      <c r="N132" s="16"/>
      <c r="O132" s="41"/>
      <c r="P132" s="41"/>
      <c r="Q132" s="41"/>
      <c r="R132" s="41"/>
      <c r="S132" s="41"/>
      <c r="T132" s="41"/>
      <c r="U132" s="41"/>
      <c r="V132" s="41"/>
      <c r="W132" s="41"/>
      <c r="X132" s="41"/>
      <c r="Y132" s="41"/>
      <c r="Z132" s="41"/>
    </row>
    <row r="133" spans="1:26" ht="15.75" customHeight="1" x14ac:dyDescent="0.2">
      <c r="A133" s="12"/>
      <c r="B133" s="16"/>
      <c r="C133" s="16"/>
      <c r="D133" s="12"/>
      <c r="E133" s="12"/>
      <c r="F133" s="12"/>
      <c r="G133" s="12"/>
      <c r="H133" s="12"/>
      <c r="I133" s="12"/>
      <c r="J133" s="12"/>
      <c r="K133" s="12"/>
      <c r="L133" s="12"/>
      <c r="M133" s="12"/>
      <c r="N133" s="16"/>
      <c r="O133" s="41"/>
      <c r="P133" s="41"/>
      <c r="Q133" s="41"/>
      <c r="R133" s="41"/>
      <c r="S133" s="41"/>
      <c r="T133" s="41"/>
      <c r="U133" s="41"/>
      <c r="V133" s="41"/>
      <c r="W133" s="41"/>
      <c r="X133" s="41"/>
      <c r="Y133" s="41"/>
      <c r="Z133" s="41"/>
    </row>
    <row r="134" spans="1:26" ht="15.75" customHeight="1" x14ac:dyDescent="0.2">
      <c r="A134" s="12"/>
      <c r="B134" s="16"/>
      <c r="C134" s="16"/>
      <c r="D134" s="12"/>
      <c r="E134" s="12"/>
      <c r="F134" s="12"/>
      <c r="G134" s="12"/>
      <c r="H134" s="12"/>
      <c r="I134" s="12"/>
      <c r="J134" s="12"/>
      <c r="K134" s="12"/>
      <c r="L134" s="12"/>
      <c r="M134" s="12"/>
      <c r="N134" s="16"/>
      <c r="O134" s="41"/>
      <c r="P134" s="41"/>
      <c r="Q134" s="41"/>
      <c r="R134" s="41"/>
      <c r="S134" s="41"/>
      <c r="T134" s="41"/>
      <c r="U134" s="41"/>
      <c r="V134" s="41"/>
      <c r="W134" s="41"/>
      <c r="X134" s="41"/>
      <c r="Y134" s="41"/>
      <c r="Z134" s="41"/>
    </row>
    <row r="135" spans="1:26" ht="15.75" customHeight="1" x14ac:dyDescent="0.2">
      <c r="A135" s="12"/>
      <c r="B135" s="16"/>
      <c r="C135" s="16"/>
      <c r="D135" s="12"/>
      <c r="E135" s="12"/>
      <c r="F135" s="12"/>
      <c r="G135" s="12"/>
      <c r="H135" s="12"/>
      <c r="I135" s="12"/>
      <c r="J135" s="12"/>
      <c r="K135" s="12"/>
      <c r="L135" s="12"/>
      <c r="M135" s="12"/>
      <c r="N135" s="16"/>
      <c r="O135" s="41"/>
      <c r="P135" s="41"/>
      <c r="Q135" s="41"/>
      <c r="R135" s="41"/>
      <c r="S135" s="41"/>
      <c r="T135" s="41"/>
      <c r="U135" s="41"/>
      <c r="V135" s="41"/>
      <c r="W135" s="41"/>
      <c r="X135" s="41"/>
      <c r="Y135" s="41"/>
      <c r="Z135" s="41"/>
    </row>
    <row r="136" spans="1:26" ht="15.75" customHeight="1" x14ac:dyDescent="0.2">
      <c r="A136" s="12"/>
      <c r="B136" s="16"/>
      <c r="C136" s="16"/>
      <c r="D136" s="12"/>
      <c r="E136" s="12"/>
      <c r="F136" s="12"/>
      <c r="G136" s="12"/>
      <c r="H136" s="12"/>
      <c r="I136" s="12"/>
      <c r="J136" s="12"/>
      <c r="K136" s="12"/>
      <c r="L136" s="12"/>
      <c r="M136" s="12"/>
      <c r="N136" s="16"/>
      <c r="O136" s="41"/>
      <c r="P136" s="41"/>
      <c r="Q136" s="41"/>
      <c r="R136" s="41"/>
      <c r="S136" s="41"/>
      <c r="T136" s="41"/>
      <c r="U136" s="41"/>
      <c r="V136" s="41"/>
      <c r="W136" s="41"/>
      <c r="X136" s="41"/>
      <c r="Y136" s="41"/>
      <c r="Z136" s="41"/>
    </row>
    <row r="137" spans="1:26" ht="15.75" customHeight="1" x14ac:dyDescent="0.2">
      <c r="A137" s="12"/>
      <c r="B137" s="16"/>
      <c r="C137" s="16"/>
      <c r="D137" s="12"/>
      <c r="E137" s="12"/>
      <c r="F137" s="12"/>
      <c r="G137" s="12"/>
      <c r="H137" s="12"/>
      <c r="I137" s="12"/>
      <c r="J137" s="12"/>
      <c r="K137" s="12"/>
      <c r="L137" s="12"/>
      <c r="M137" s="12"/>
      <c r="N137" s="16"/>
      <c r="O137" s="41"/>
      <c r="P137" s="41"/>
      <c r="Q137" s="41"/>
      <c r="R137" s="41"/>
      <c r="S137" s="41"/>
      <c r="T137" s="41"/>
      <c r="U137" s="41"/>
      <c r="V137" s="41"/>
      <c r="W137" s="41"/>
      <c r="X137" s="41"/>
      <c r="Y137" s="41"/>
      <c r="Z137" s="41"/>
    </row>
    <row r="138" spans="1:26" ht="15.75" customHeight="1" x14ac:dyDescent="0.2">
      <c r="A138" s="12"/>
      <c r="B138" s="16"/>
      <c r="C138" s="16"/>
      <c r="D138" s="12"/>
      <c r="E138" s="12"/>
      <c r="F138" s="12"/>
      <c r="G138" s="12"/>
      <c r="H138" s="12"/>
      <c r="I138" s="12"/>
      <c r="J138" s="12"/>
      <c r="K138" s="12"/>
      <c r="L138" s="12"/>
      <c r="M138" s="12"/>
      <c r="N138" s="16"/>
      <c r="O138" s="41"/>
      <c r="P138" s="41"/>
      <c r="Q138" s="41"/>
      <c r="R138" s="41"/>
      <c r="S138" s="41"/>
      <c r="T138" s="41"/>
      <c r="U138" s="41"/>
      <c r="V138" s="41"/>
      <c r="W138" s="41"/>
      <c r="X138" s="41"/>
      <c r="Y138" s="41"/>
      <c r="Z138" s="41"/>
    </row>
    <row r="139" spans="1:26" ht="15.75" customHeight="1" x14ac:dyDescent="0.2">
      <c r="A139" s="12"/>
      <c r="B139" s="16"/>
      <c r="C139" s="16"/>
      <c r="D139" s="12"/>
      <c r="E139" s="12"/>
      <c r="F139" s="12"/>
      <c r="G139" s="12"/>
      <c r="H139" s="12"/>
      <c r="I139" s="12"/>
      <c r="J139" s="12"/>
      <c r="K139" s="12"/>
      <c r="L139" s="12"/>
      <c r="M139" s="12"/>
      <c r="N139" s="16"/>
      <c r="O139" s="41"/>
      <c r="P139" s="41"/>
      <c r="Q139" s="41"/>
      <c r="R139" s="41"/>
      <c r="S139" s="41"/>
      <c r="T139" s="41"/>
      <c r="U139" s="41"/>
      <c r="V139" s="41"/>
      <c r="W139" s="41"/>
      <c r="X139" s="41"/>
      <c r="Y139" s="41"/>
      <c r="Z139" s="41"/>
    </row>
    <row r="140" spans="1:26" ht="15.75" customHeight="1" x14ac:dyDescent="0.2">
      <c r="A140" s="12"/>
      <c r="B140" s="16"/>
      <c r="C140" s="16"/>
      <c r="D140" s="12"/>
      <c r="E140" s="12"/>
      <c r="F140" s="12"/>
      <c r="G140" s="12"/>
      <c r="H140" s="12"/>
      <c r="I140" s="12"/>
      <c r="J140" s="12"/>
      <c r="K140" s="12"/>
      <c r="L140" s="12"/>
      <c r="M140" s="12"/>
      <c r="N140" s="16"/>
      <c r="O140" s="41"/>
      <c r="P140" s="41"/>
      <c r="Q140" s="41"/>
      <c r="R140" s="41"/>
      <c r="S140" s="41"/>
      <c r="T140" s="41"/>
      <c r="U140" s="41"/>
      <c r="V140" s="41"/>
      <c r="W140" s="41"/>
      <c r="X140" s="41"/>
      <c r="Y140" s="41"/>
      <c r="Z140" s="41"/>
    </row>
    <row r="141" spans="1:26" ht="15.75" customHeight="1" x14ac:dyDescent="0.2">
      <c r="A141" s="12"/>
      <c r="B141" s="16"/>
      <c r="C141" s="16"/>
      <c r="D141" s="12"/>
      <c r="E141" s="12"/>
      <c r="F141" s="12"/>
      <c r="G141" s="12"/>
      <c r="H141" s="12"/>
      <c r="I141" s="12"/>
      <c r="J141" s="12"/>
      <c r="K141" s="12"/>
      <c r="L141" s="12"/>
      <c r="M141" s="12"/>
      <c r="N141" s="16"/>
      <c r="O141" s="41"/>
      <c r="P141" s="41"/>
      <c r="Q141" s="41"/>
      <c r="R141" s="41"/>
      <c r="S141" s="41"/>
      <c r="T141" s="41"/>
      <c r="U141" s="41"/>
      <c r="V141" s="41"/>
      <c r="W141" s="41"/>
      <c r="X141" s="41"/>
      <c r="Y141" s="41"/>
      <c r="Z141" s="41"/>
    </row>
    <row r="142" spans="1:26" ht="15.75" customHeight="1" x14ac:dyDescent="0.2">
      <c r="A142" s="12"/>
      <c r="B142" s="16"/>
      <c r="C142" s="16"/>
      <c r="D142" s="12"/>
      <c r="E142" s="12"/>
      <c r="F142" s="12"/>
      <c r="G142" s="12"/>
      <c r="H142" s="12"/>
      <c r="I142" s="12"/>
      <c r="J142" s="12"/>
      <c r="K142" s="12"/>
      <c r="L142" s="12"/>
      <c r="M142" s="12"/>
      <c r="N142" s="16"/>
      <c r="O142" s="41"/>
      <c r="P142" s="41"/>
      <c r="Q142" s="41"/>
      <c r="R142" s="41"/>
      <c r="S142" s="41"/>
      <c r="T142" s="41"/>
      <c r="U142" s="41"/>
      <c r="V142" s="41"/>
      <c r="W142" s="41"/>
      <c r="X142" s="41"/>
      <c r="Y142" s="41"/>
      <c r="Z142" s="41"/>
    </row>
    <row r="143" spans="1:26" ht="15.75" customHeight="1" x14ac:dyDescent="0.2">
      <c r="A143" s="12"/>
      <c r="B143" s="16"/>
      <c r="C143" s="16"/>
      <c r="D143" s="12"/>
      <c r="E143" s="12"/>
      <c r="F143" s="12"/>
      <c r="G143" s="12"/>
      <c r="H143" s="12"/>
      <c r="I143" s="12"/>
      <c r="J143" s="12"/>
      <c r="K143" s="12"/>
      <c r="L143" s="12"/>
      <c r="M143" s="12"/>
      <c r="N143" s="16"/>
      <c r="O143" s="41"/>
      <c r="P143" s="41"/>
      <c r="Q143" s="41"/>
      <c r="R143" s="41"/>
      <c r="S143" s="41"/>
      <c r="T143" s="41"/>
      <c r="U143" s="41"/>
      <c r="V143" s="41"/>
      <c r="W143" s="41"/>
      <c r="X143" s="41"/>
      <c r="Y143" s="41"/>
      <c r="Z143" s="41"/>
    </row>
    <row r="144" spans="1:26" ht="15.75" customHeight="1" x14ac:dyDescent="0.2">
      <c r="A144" s="12"/>
      <c r="B144" s="16"/>
      <c r="C144" s="16"/>
      <c r="D144" s="12"/>
      <c r="E144" s="12"/>
      <c r="F144" s="12"/>
      <c r="G144" s="12"/>
      <c r="H144" s="12"/>
      <c r="I144" s="12"/>
      <c r="J144" s="12"/>
      <c r="K144" s="12"/>
      <c r="L144" s="12"/>
      <c r="M144" s="12"/>
      <c r="N144" s="16"/>
      <c r="O144" s="41"/>
      <c r="P144" s="41"/>
      <c r="Q144" s="41"/>
      <c r="R144" s="41"/>
      <c r="S144" s="41"/>
      <c r="T144" s="41"/>
      <c r="U144" s="41"/>
      <c r="V144" s="41"/>
      <c r="W144" s="41"/>
      <c r="X144" s="41"/>
      <c r="Y144" s="41"/>
      <c r="Z144" s="41"/>
    </row>
    <row r="145" spans="1:26" ht="15.75" customHeight="1" x14ac:dyDescent="0.2">
      <c r="A145" s="12"/>
      <c r="B145" s="16"/>
      <c r="C145" s="16"/>
      <c r="D145" s="12"/>
      <c r="E145" s="12"/>
      <c r="F145" s="12"/>
      <c r="G145" s="12"/>
      <c r="H145" s="12"/>
      <c r="I145" s="12"/>
      <c r="J145" s="12"/>
      <c r="K145" s="12"/>
      <c r="L145" s="12"/>
      <c r="M145" s="12"/>
      <c r="N145" s="16"/>
      <c r="O145" s="41"/>
      <c r="P145" s="41"/>
      <c r="Q145" s="41"/>
      <c r="R145" s="41"/>
      <c r="S145" s="41"/>
      <c r="T145" s="41"/>
      <c r="U145" s="41"/>
      <c r="V145" s="41"/>
      <c r="W145" s="41"/>
      <c r="X145" s="41"/>
      <c r="Y145" s="41"/>
      <c r="Z145" s="41"/>
    </row>
    <row r="146" spans="1:26" ht="15.75" customHeight="1" x14ac:dyDescent="0.2">
      <c r="A146" s="12"/>
      <c r="B146" s="16"/>
      <c r="C146" s="16"/>
      <c r="D146" s="12"/>
      <c r="E146" s="12"/>
      <c r="F146" s="12"/>
      <c r="G146" s="12"/>
      <c r="H146" s="12"/>
      <c r="I146" s="12"/>
      <c r="J146" s="12"/>
      <c r="K146" s="12"/>
      <c r="L146" s="12"/>
      <c r="M146" s="12"/>
      <c r="N146" s="16"/>
      <c r="O146" s="41"/>
      <c r="P146" s="41"/>
      <c r="Q146" s="41"/>
      <c r="R146" s="41"/>
      <c r="S146" s="41"/>
      <c r="T146" s="41"/>
      <c r="U146" s="41"/>
      <c r="V146" s="41"/>
      <c r="W146" s="41"/>
      <c r="X146" s="41"/>
      <c r="Y146" s="41"/>
      <c r="Z146" s="41"/>
    </row>
    <row r="147" spans="1:26" ht="15.75" customHeight="1" x14ac:dyDescent="0.2">
      <c r="A147" s="12"/>
      <c r="B147" s="16"/>
      <c r="C147" s="16"/>
      <c r="D147" s="12"/>
      <c r="E147" s="12"/>
      <c r="F147" s="12"/>
      <c r="G147" s="12"/>
      <c r="H147" s="12"/>
      <c r="I147" s="12"/>
      <c r="J147" s="12"/>
      <c r="K147" s="12"/>
      <c r="L147" s="12"/>
      <c r="M147" s="12"/>
      <c r="N147" s="16"/>
      <c r="O147" s="41"/>
      <c r="P147" s="41"/>
      <c r="Q147" s="41"/>
      <c r="R147" s="41"/>
      <c r="S147" s="41"/>
      <c r="T147" s="41"/>
      <c r="U147" s="41"/>
      <c r="V147" s="41"/>
      <c r="W147" s="41"/>
      <c r="X147" s="41"/>
      <c r="Y147" s="41"/>
      <c r="Z147" s="41"/>
    </row>
    <row r="148" spans="1:26" ht="15.75" customHeight="1" x14ac:dyDescent="0.2">
      <c r="A148" s="12"/>
      <c r="B148" s="16"/>
      <c r="C148" s="16"/>
      <c r="D148" s="12"/>
      <c r="E148" s="12"/>
      <c r="F148" s="12"/>
      <c r="G148" s="12"/>
      <c r="H148" s="12"/>
      <c r="I148" s="12"/>
      <c r="J148" s="12"/>
      <c r="K148" s="12"/>
      <c r="L148" s="12"/>
      <c r="M148" s="12"/>
      <c r="N148" s="16"/>
      <c r="O148" s="41"/>
      <c r="P148" s="41"/>
      <c r="Q148" s="41"/>
      <c r="R148" s="41"/>
      <c r="S148" s="41"/>
      <c r="T148" s="41"/>
      <c r="U148" s="41"/>
      <c r="V148" s="41"/>
      <c r="W148" s="41"/>
      <c r="X148" s="41"/>
      <c r="Y148" s="41"/>
      <c r="Z148" s="41"/>
    </row>
    <row r="149" spans="1:26" ht="15.75" customHeight="1" x14ac:dyDescent="0.2">
      <c r="A149" s="12"/>
      <c r="B149" s="16"/>
      <c r="C149" s="16"/>
      <c r="D149" s="12"/>
      <c r="E149" s="12"/>
      <c r="F149" s="12"/>
      <c r="G149" s="12"/>
      <c r="H149" s="12"/>
      <c r="I149" s="12"/>
      <c r="J149" s="12"/>
      <c r="K149" s="12"/>
      <c r="L149" s="12"/>
      <c r="M149" s="12"/>
      <c r="N149" s="16"/>
      <c r="O149" s="41"/>
      <c r="P149" s="41"/>
      <c r="Q149" s="41"/>
      <c r="R149" s="41"/>
      <c r="S149" s="41"/>
      <c r="T149" s="41"/>
      <c r="U149" s="41"/>
      <c r="V149" s="41"/>
      <c r="W149" s="41"/>
      <c r="X149" s="41"/>
      <c r="Y149" s="41"/>
      <c r="Z149" s="41"/>
    </row>
    <row r="150" spans="1:26" ht="15.75" customHeight="1" x14ac:dyDescent="0.2">
      <c r="A150" s="12"/>
      <c r="B150" s="16"/>
      <c r="C150" s="16"/>
      <c r="D150" s="12"/>
      <c r="E150" s="12"/>
      <c r="F150" s="12"/>
      <c r="G150" s="12"/>
      <c r="H150" s="12"/>
      <c r="I150" s="12"/>
      <c r="J150" s="12"/>
      <c r="K150" s="12"/>
      <c r="L150" s="12"/>
      <c r="M150" s="12"/>
      <c r="N150" s="16"/>
      <c r="O150" s="41"/>
      <c r="P150" s="41"/>
      <c r="Q150" s="41"/>
      <c r="R150" s="41"/>
      <c r="S150" s="41"/>
      <c r="T150" s="41"/>
      <c r="U150" s="41"/>
      <c r="V150" s="41"/>
      <c r="W150" s="41"/>
      <c r="X150" s="41"/>
      <c r="Y150" s="41"/>
      <c r="Z150" s="41"/>
    </row>
    <row r="151" spans="1:26" ht="15.75" customHeight="1" x14ac:dyDescent="0.2">
      <c r="A151" s="12"/>
      <c r="B151" s="16"/>
      <c r="C151" s="16"/>
      <c r="D151" s="12"/>
      <c r="E151" s="12"/>
      <c r="F151" s="12"/>
      <c r="G151" s="12"/>
      <c r="H151" s="12"/>
      <c r="I151" s="12"/>
      <c r="J151" s="12"/>
      <c r="K151" s="12"/>
      <c r="L151" s="12"/>
      <c r="M151" s="12"/>
      <c r="N151" s="16"/>
      <c r="O151" s="41"/>
      <c r="P151" s="41"/>
      <c r="Q151" s="41"/>
      <c r="R151" s="41"/>
      <c r="S151" s="41"/>
      <c r="T151" s="41"/>
      <c r="U151" s="41"/>
      <c r="V151" s="41"/>
      <c r="W151" s="41"/>
      <c r="X151" s="41"/>
      <c r="Y151" s="41"/>
      <c r="Z151" s="41"/>
    </row>
    <row r="152" spans="1:26" ht="15.75" customHeight="1" x14ac:dyDescent="0.2">
      <c r="A152" s="12"/>
      <c r="B152" s="16"/>
      <c r="C152" s="16"/>
      <c r="D152" s="12"/>
      <c r="E152" s="12"/>
      <c r="F152" s="12"/>
      <c r="G152" s="12"/>
      <c r="H152" s="12"/>
      <c r="I152" s="12"/>
      <c r="J152" s="12"/>
      <c r="K152" s="12"/>
      <c r="L152" s="12"/>
      <c r="M152" s="12"/>
      <c r="N152" s="16"/>
      <c r="O152" s="41"/>
      <c r="P152" s="41"/>
      <c r="Q152" s="41"/>
      <c r="R152" s="41"/>
      <c r="S152" s="41"/>
      <c r="T152" s="41"/>
      <c r="U152" s="41"/>
      <c r="V152" s="41"/>
      <c r="W152" s="41"/>
      <c r="X152" s="41"/>
      <c r="Y152" s="41"/>
      <c r="Z152" s="41"/>
    </row>
    <row r="153" spans="1:26" ht="15.75" customHeight="1" x14ac:dyDescent="0.2">
      <c r="A153" s="12"/>
      <c r="B153" s="16"/>
      <c r="C153" s="16"/>
      <c r="D153" s="12"/>
      <c r="E153" s="12"/>
      <c r="F153" s="12"/>
      <c r="G153" s="12"/>
      <c r="H153" s="12"/>
      <c r="I153" s="12"/>
      <c r="J153" s="12"/>
      <c r="K153" s="12"/>
      <c r="L153" s="12"/>
      <c r="M153" s="12"/>
      <c r="N153" s="16"/>
      <c r="O153" s="41"/>
      <c r="P153" s="41"/>
      <c r="Q153" s="41"/>
      <c r="R153" s="41"/>
      <c r="S153" s="41"/>
      <c r="T153" s="41"/>
      <c r="U153" s="41"/>
      <c r="V153" s="41"/>
      <c r="W153" s="41"/>
      <c r="X153" s="41"/>
      <c r="Y153" s="41"/>
      <c r="Z153" s="41"/>
    </row>
    <row r="154" spans="1:26" ht="15.75" customHeight="1" x14ac:dyDescent="0.2">
      <c r="A154" s="12"/>
      <c r="B154" s="16"/>
      <c r="C154" s="16"/>
      <c r="D154" s="12"/>
      <c r="E154" s="12"/>
      <c r="F154" s="12"/>
      <c r="G154" s="12"/>
      <c r="H154" s="12"/>
      <c r="I154" s="12"/>
      <c r="J154" s="12"/>
      <c r="K154" s="12"/>
      <c r="L154" s="12"/>
      <c r="M154" s="12"/>
      <c r="N154" s="16"/>
      <c r="O154" s="41"/>
      <c r="P154" s="41"/>
      <c r="Q154" s="41"/>
      <c r="R154" s="41"/>
      <c r="S154" s="41"/>
      <c r="T154" s="41"/>
      <c r="U154" s="41"/>
      <c r="V154" s="41"/>
      <c r="W154" s="41"/>
      <c r="X154" s="41"/>
      <c r="Y154" s="41"/>
      <c r="Z154" s="41"/>
    </row>
    <row r="155" spans="1:26" ht="15.75" customHeight="1" x14ac:dyDescent="0.2">
      <c r="A155" s="12"/>
      <c r="B155" s="16"/>
      <c r="C155" s="16"/>
      <c r="D155" s="12"/>
      <c r="E155" s="12"/>
      <c r="F155" s="12"/>
      <c r="G155" s="12"/>
      <c r="H155" s="12"/>
      <c r="I155" s="12"/>
      <c r="J155" s="12"/>
      <c r="K155" s="12"/>
      <c r="L155" s="12"/>
      <c r="M155" s="12"/>
      <c r="N155" s="16"/>
      <c r="O155" s="41"/>
      <c r="P155" s="41"/>
      <c r="Q155" s="41"/>
      <c r="R155" s="41"/>
      <c r="S155" s="41"/>
      <c r="T155" s="41"/>
      <c r="U155" s="41"/>
      <c r="V155" s="41"/>
      <c r="W155" s="41"/>
      <c r="X155" s="41"/>
      <c r="Y155" s="41"/>
      <c r="Z155" s="41"/>
    </row>
    <row r="156" spans="1:26" ht="15.75" customHeight="1" x14ac:dyDescent="0.2">
      <c r="A156" s="12"/>
      <c r="B156" s="16"/>
      <c r="C156" s="16"/>
      <c r="D156" s="12"/>
      <c r="E156" s="12"/>
      <c r="F156" s="12"/>
      <c r="G156" s="12"/>
      <c r="H156" s="12"/>
      <c r="I156" s="12"/>
      <c r="J156" s="12"/>
      <c r="K156" s="12"/>
      <c r="L156" s="12"/>
      <c r="M156" s="12"/>
      <c r="N156" s="16"/>
      <c r="O156" s="41"/>
      <c r="P156" s="41"/>
      <c r="Q156" s="41"/>
      <c r="R156" s="41"/>
      <c r="S156" s="41"/>
      <c r="T156" s="41"/>
      <c r="U156" s="41"/>
      <c r="V156" s="41"/>
      <c r="W156" s="41"/>
      <c r="X156" s="41"/>
      <c r="Y156" s="41"/>
      <c r="Z156" s="41"/>
    </row>
    <row r="157" spans="1:26" ht="15.75" customHeight="1" x14ac:dyDescent="0.2">
      <c r="A157" s="12"/>
      <c r="B157" s="16"/>
      <c r="C157" s="16"/>
      <c r="D157" s="12"/>
      <c r="E157" s="12"/>
      <c r="F157" s="12"/>
      <c r="G157" s="12"/>
      <c r="H157" s="12"/>
      <c r="I157" s="12"/>
      <c r="J157" s="12"/>
      <c r="K157" s="12"/>
      <c r="L157" s="12"/>
      <c r="M157" s="12"/>
      <c r="N157" s="16"/>
      <c r="O157" s="41"/>
      <c r="P157" s="41"/>
      <c r="Q157" s="41"/>
      <c r="R157" s="41"/>
      <c r="S157" s="41"/>
      <c r="T157" s="41"/>
      <c r="U157" s="41"/>
      <c r="V157" s="41"/>
      <c r="W157" s="41"/>
      <c r="X157" s="41"/>
      <c r="Y157" s="41"/>
      <c r="Z157" s="41"/>
    </row>
    <row r="158" spans="1:26" ht="15.75" customHeight="1" x14ac:dyDescent="0.2">
      <c r="A158" s="12"/>
      <c r="B158" s="16"/>
      <c r="C158" s="16"/>
      <c r="D158" s="12"/>
      <c r="E158" s="12"/>
      <c r="F158" s="12"/>
      <c r="G158" s="12"/>
      <c r="H158" s="12"/>
      <c r="I158" s="12"/>
      <c r="J158" s="12"/>
      <c r="K158" s="12"/>
      <c r="L158" s="12"/>
      <c r="M158" s="12"/>
      <c r="N158" s="16"/>
      <c r="O158" s="41"/>
      <c r="P158" s="41"/>
      <c r="Q158" s="41"/>
      <c r="R158" s="41"/>
      <c r="S158" s="41"/>
      <c r="T158" s="41"/>
      <c r="U158" s="41"/>
      <c r="V158" s="41"/>
      <c r="W158" s="41"/>
      <c r="X158" s="41"/>
      <c r="Y158" s="41"/>
      <c r="Z158" s="41"/>
    </row>
    <row r="159" spans="1:26" ht="15.75" customHeight="1" x14ac:dyDescent="0.2">
      <c r="A159" s="12"/>
      <c r="B159" s="16"/>
      <c r="C159" s="16"/>
      <c r="D159" s="12"/>
      <c r="E159" s="12"/>
      <c r="F159" s="12"/>
      <c r="G159" s="12"/>
      <c r="H159" s="12"/>
      <c r="I159" s="12"/>
      <c r="J159" s="12"/>
      <c r="K159" s="12"/>
      <c r="L159" s="12"/>
      <c r="M159" s="12"/>
      <c r="N159" s="16"/>
      <c r="O159" s="41"/>
      <c r="P159" s="41"/>
      <c r="Q159" s="41"/>
      <c r="R159" s="41"/>
      <c r="S159" s="41"/>
      <c r="T159" s="41"/>
      <c r="U159" s="41"/>
      <c r="V159" s="41"/>
      <c r="W159" s="41"/>
      <c r="X159" s="41"/>
      <c r="Y159" s="41"/>
      <c r="Z159" s="41"/>
    </row>
    <row r="160" spans="1:26" ht="15.75" customHeight="1" x14ac:dyDescent="0.2">
      <c r="A160" s="12"/>
      <c r="B160" s="16"/>
      <c r="C160" s="16"/>
      <c r="D160" s="12"/>
      <c r="E160" s="12"/>
      <c r="F160" s="12"/>
      <c r="G160" s="12"/>
      <c r="H160" s="12"/>
      <c r="I160" s="12"/>
      <c r="J160" s="12"/>
      <c r="K160" s="12"/>
      <c r="L160" s="12"/>
      <c r="M160" s="12"/>
      <c r="N160" s="16"/>
      <c r="O160" s="41"/>
      <c r="P160" s="41"/>
      <c r="Q160" s="41"/>
      <c r="R160" s="41"/>
      <c r="S160" s="41"/>
      <c r="T160" s="41"/>
      <c r="U160" s="41"/>
      <c r="V160" s="41"/>
      <c r="W160" s="41"/>
      <c r="X160" s="41"/>
      <c r="Y160" s="41"/>
      <c r="Z160" s="41"/>
    </row>
    <row r="161" spans="1:26" ht="15.75" customHeight="1" x14ac:dyDescent="0.2">
      <c r="A161" s="12"/>
      <c r="B161" s="16"/>
      <c r="C161" s="16"/>
      <c r="D161" s="12"/>
      <c r="E161" s="12"/>
      <c r="F161" s="12"/>
      <c r="G161" s="12"/>
      <c r="H161" s="12"/>
      <c r="I161" s="12"/>
      <c r="J161" s="12"/>
      <c r="K161" s="12"/>
      <c r="L161" s="12"/>
      <c r="M161" s="12"/>
      <c r="N161" s="16"/>
      <c r="O161" s="41"/>
      <c r="P161" s="41"/>
      <c r="Q161" s="41"/>
      <c r="R161" s="41"/>
      <c r="S161" s="41"/>
      <c r="T161" s="41"/>
      <c r="U161" s="41"/>
      <c r="V161" s="41"/>
      <c r="W161" s="41"/>
      <c r="X161" s="41"/>
      <c r="Y161" s="41"/>
      <c r="Z161" s="41"/>
    </row>
    <row r="162" spans="1:26" ht="15.75" customHeight="1" x14ac:dyDescent="0.2">
      <c r="A162" s="12"/>
      <c r="B162" s="16"/>
      <c r="C162" s="16"/>
      <c r="D162" s="12"/>
      <c r="E162" s="12"/>
      <c r="F162" s="12"/>
      <c r="G162" s="12"/>
      <c r="H162" s="12"/>
      <c r="I162" s="12"/>
      <c r="J162" s="12"/>
      <c r="K162" s="12"/>
      <c r="L162" s="12"/>
      <c r="M162" s="12"/>
      <c r="N162" s="16"/>
      <c r="O162" s="41"/>
      <c r="P162" s="41"/>
      <c r="Q162" s="41"/>
      <c r="R162" s="41"/>
      <c r="S162" s="41"/>
      <c r="T162" s="41"/>
      <c r="U162" s="41"/>
      <c r="V162" s="41"/>
      <c r="W162" s="41"/>
      <c r="X162" s="41"/>
      <c r="Y162" s="41"/>
      <c r="Z162" s="41"/>
    </row>
    <row r="163" spans="1:26" ht="15.75" customHeight="1" x14ac:dyDescent="0.2">
      <c r="A163" s="12"/>
      <c r="B163" s="16"/>
      <c r="C163" s="16"/>
      <c r="D163" s="12"/>
      <c r="E163" s="12"/>
      <c r="F163" s="12"/>
      <c r="G163" s="12"/>
      <c r="H163" s="12"/>
      <c r="I163" s="12"/>
      <c r="J163" s="12"/>
      <c r="K163" s="12"/>
      <c r="L163" s="12"/>
      <c r="M163" s="12"/>
      <c r="N163" s="16"/>
      <c r="O163" s="41"/>
      <c r="P163" s="41"/>
      <c r="Q163" s="41"/>
      <c r="R163" s="41"/>
      <c r="S163" s="41"/>
      <c r="T163" s="41"/>
      <c r="U163" s="41"/>
      <c r="V163" s="41"/>
      <c r="W163" s="41"/>
      <c r="X163" s="41"/>
      <c r="Y163" s="41"/>
      <c r="Z163" s="41"/>
    </row>
    <row r="164" spans="1:26" ht="15.75" customHeight="1" x14ac:dyDescent="0.2">
      <c r="A164" s="12"/>
      <c r="B164" s="16"/>
      <c r="C164" s="16"/>
      <c r="D164" s="12"/>
      <c r="E164" s="12"/>
      <c r="F164" s="12"/>
      <c r="G164" s="12"/>
      <c r="H164" s="12"/>
      <c r="I164" s="12"/>
      <c r="J164" s="12"/>
      <c r="K164" s="12"/>
      <c r="L164" s="12"/>
      <c r="M164" s="12"/>
      <c r="N164" s="16"/>
      <c r="O164" s="41"/>
      <c r="P164" s="41"/>
      <c r="Q164" s="41"/>
      <c r="R164" s="41"/>
      <c r="S164" s="41"/>
      <c r="T164" s="41"/>
      <c r="U164" s="41"/>
      <c r="V164" s="41"/>
      <c r="W164" s="41"/>
      <c r="X164" s="41"/>
      <c r="Y164" s="41"/>
      <c r="Z164" s="41"/>
    </row>
    <row r="165" spans="1:26" ht="15.75" customHeight="1" x14ac:dyDescent="0.2">
      <c r="A165" s="12"/>
      <c r="B165" s="16"/>
      <c r="C165" s="16"/>
      <c r="D165" s="12"/>
      <c r="E165" s="12"/>
      <c r="F165" s="12"/>
      <c r="G165" s="12"/>
      <c r="H165" s="12"/>
      <c r="I165" s="12"/>
      <c r="J165" s="12"/>
      <c r="K165" s="12"/>
      <c r="L165" s="12"/>
      <c r="M165" s="12"/>
      <c r="N165" s="16"/>
      <c r="O165" s="41"/>
      <c r="P165" s="41"/>
      <c r="Q165" s="41"/>
      <c r="R165" s="41"/>
      <c r="S165" s="41"/>
      <c r="T165" s="41"/>
      <c r="U165" s="41"/>
      <c r="V165" s="41"/>
      <c r="W165" s="41"/>
      <c r="X165" s="41"/>
      <c r="Y165" s="41"/>
      <c r="Z165" s="41"/>
    </row>
    <row r="166" spans="1:26" ht="15.75" customHeight="1" x14ac:dyDescent="0.2">
      <c r="A166" s="12"/>
      <c r="B166" s="16"/>
      <c r="C166" s="16"/>
      <c r="D166" s="12"/>
      <c r="E166" s="12"/>
      <c r="F166" s="12"/>
      <c r="G166" s="12"/>
      <c r="H166" s="12"/>
      <c r="I166" s="12"/>
      <c r="J166" s="12"/>
      <c r="K166" s="12"/>
      <c r="L166" s="12"/>
      <c r="M166" s="12"/>
      <c r="N166" s="16"/>
      <c r="O166" s="41"/>
      <c r="P166" s="41"/>
      <c r="Q166" s="41"/>
      <c r="R166" s="41"/>
      <c r="S166" s="41"/>
      <c r="T166" s="41"/>
      <c r="U166" s="41"/>
      <c r="V166" s="41"/>
      <c r="W166" s="41"/>
      <c r="X166" s="41"/>
      <c r="Y166" s="41"/>
      <c r="Z166" s="41"/>
    </row>
    <row r="167" spans="1:26" ht="15.75" customHeight="1" x14ac:dyDescent="0.2">
      <c r="A167" s="12"/>
      <c r="B167" s="16"/>
      <c r="C167" s="16"/>
      <c r="D167" s="12"/>
      <c r="E167" s="12"/>
      <c r="F167" s="12"/>
      <c r="G167" s="12"/>
      <c r="H167" s="12"/>
      <c r="I167" s="12"/>
      <c r="J167" s="12"/>
      <c r="K167" s="12"/>
      <c r="L167" s="12"/>
      <c r="M167" s="12"/>
      <c r="N167" s="16"/>
      <c r="O167" s="41"/>
      <c r="P167" s="41"/>
      <c r="Q167" s="41"/>
      <c r="R167" s="41"/>
      <c r="S167" s="41"/>
      <c r="T167" s="41"/>
      <c r="U167" s="41"/>
      <c r="V167" s="41"/>
      <c r="W167" s="41"/>
      <c r="X167" s="41"/>
      <c r="Y167" s="41"/>
      <c r="Z167" s="41"/>
    </row>
    <row r="168" spans="1:26" ht="15.75" customHeight="1" x14ac:dyDescent="0.2">
      <c r="A168" s="12"/>
      <c r="B168" s="16"/>
      <c r="C168" s="16"/>
      <c r="D168" s="12"/>
      <c r="E168" s="12"/>
      <c r="F168" s="12"/>
      <c r="G168" s="12"/>
      <c r="H168" s="12"/>
      <c r="I168" s="12"/>
      <c r="J168" s="12"/>
      <c r="K168" s="12"/>
      <c r="L168" s="12"/>
      <c r="M168" s="12"/>
      <c r="N168" s="16"/>
      <c r="O168" s="41"/>
      <c r="P168" s="41"/>
      <c r="Q168" s="41"/>
      <c r="R168" s="41"/>
      <c r="S168" s="41"/>
      <c r="T168" s="41"/>
      <c r="U168" s="41"/>
      <c r="V168" s="41"/>
      <c r="W168" s="41"/>
      <c r="X168" s="41"/>
      <c r="Y168" s="41"/>
      <c r="Z168" s="41"/>
    </row>
    <row r="169" spans="1:26" ht="15.75" customHeight="1" x14ac:dyDescent="0.2">
      <c r="A169" s="12"/>
      <c r="B169" s="16"/>
      <c r="C169" s="16"/>
      <c r="D169" s="12"/>
      <c r="E169" s="12"/>
      <c r="F169" s="12"/>
      <c r="G169" s="12"/>
      <c r="H169" s="12"/>
      <c r="I169" s="12"/>
      <c r="J169" s="12"/>
      <c r="K169" s="12"/>
      <c r="L169" s="12"/>
      <c r="M169" s="12"/>
      <c r="N169" s="16"/>
      <c r="O169" s="41"/>
      <c r="P169" s="41"/>
      <c r="Q169" s="41"/>
      <c r="R169" s="41"/>
      <c r="S169" s="41"/>
      <c r="T169" s="41"/>
      <c r="U169" s="41"/>
      <c r="V169" s="41"/>
      <c r="W169" s="41"/>
      <c r="X169" s="41"/>
      <c r="Y169" s="41"/>
      <c r="Z169" s="41"/>
    </row>
    <row r="170" spans="1:26" ht="15.75" customHeight="1" x14ac:dyDescent="0.2">
      <c r="A170" s="12"/>
      <c r="B170" s="16"/>
      <c r="C170" s="16"/>
      <c r="D170" s="12"/>
      <c r="E170" s="12"/>
      <c r="F170" s="12"/>
      <c r="G170" s="12"/>
      <c r="H170" s="12"/>
      <c r="I170" s="12"/>
      <c r="J170" s="12"/>
      <c r="K170" s="12"/>
      <c r="L170" s="12"/>
      <c r="M170" s="12"/>
      <c r="N170" s="16"/>
      <c r="O170" s="41"/>
      <c r="P170" s="41"/>
      <c r="Q170" s="41"/>
      <c r="R170" s="41"/>
      <c r="S170" s="41"/>
      <c r="T170" s="41"/>
      <c r="U170" s="41"/>
      <c r="V170" s="41"/>
      <c r="W170" s="41"/>
      <c r="X170" s="41"/>
      <c r="Y170" s="41"/>
      <c r="Z170" s="41"/>
    </row>
    <row r="171" spans="1:26" ht="15.75" customHeight="1" x14ac:dyDescent="0.2">
      <c r="A171" s="12"/>
      <c r="B171" s="16"/>
      <c r="C171" s="16"/>
      <c r="D171" s="12"/>
      <c r="E171" s="12"/>
      <c r="F171" s="12"/>
      <c r="G171" s="12"/>
      <c r="H171" s="12"/>
      <c r="I171" s="12"/>
      <c r="J171" s="12"/>
      <c r="K171" s="12"/>
      <c r="L171" s="12"/>
      <c r="M171" s="12"/>
      <c r="N171" s="16"/>
      <c r="O171" s="41"/>
      <c r="P171" s="41"/>
      <c r="Q171" s="41"/>
      <c r="R171" s="41"/>
      <c r="S171" s="41"/>
      <c r="T171" s="41"/>
      <c r="U171" s="41"/>
      <c r="V171" s="41"/>
      <c r="W171" s="41"/>
      <c r="X171" s="41"/>
      <c r="Y171" s="41"/>
      <c r="Z171" s="41"/>
    </row>
    <row r="172" spans="1:26" ht="15.75" customHeight="1" x14ac:dyDescent="0.2">
      <c r="A172" s="12"/>
      <c r="B172" s="16"/>
      <c r="C172" s="16"/>
      <c r="D172" s="12"/>
      <c r="E172" s="12"/>
      <c r="F172" s="12"/>
      <c r="G172" s="12"/>
      <c r="H172" s="12"/>
      <c r="I172" s="12"/>
      <c r="J172" s="12"/>
      <c r="K172" s="12"/>
      <c r="L172" s="12"/>
      <c r="M172" s="12"/>
      <c r="N172" s="16"/>
      <c r="O172" s="41"/>
      <c r="P172" s="41"/>
      <c r="Q172" s="41"/>
      <c r="R172" s="41"/>
      <c r="S172" s="41"/>
      <c r="T172" s="41"/>
      <c r="U172" s="41"/>
      <c r="V172" s="41"/>
      <c r="W172" s="41"/>
      <c r="X172" s="41"/>
      <c r="Y172" s="41"/>
      <c r="Z172" s="41"/>
    </row>
    <row r="173" spans="1:26" ht="15.75" customHeight="1" x14ac:dyDescent="0.2">
      <c r="A173" s="12"/>
      <c r="B173" s="16"/>
      <c r="C173" s="16"/>
      <c r="D173" s="12"/>
      <c r="E173" s="12"/>
      <c r="F173" s="12"/>
      <c r="G173" s="12"/>
      <c r="H173" s="12"/>
      <c r="I173" s="12"/>
      <c r="J173" s="12"/>
      <c r="K173" s="12"/>
      <c r="L173" s="12"/>
      <c r="M173" s="12"/>
      <c r="N173" s="16"/>
      <c r="O173" s="41"/>
      <c r="P173" s="41"/>
      <c r="Q173" s="41"/>
      <c r="R173" s="41"/>
      <c r="S173" s="41"/>
      <c r="T173" s="41"/>
      <c r="U173" s="41"/>
      <c r="V173" s="41"/>
      <c r="W173" s="41"/>
      <c r="X173" s="41"/>
      <c r="Y173" s="41"/>
      <c r="Z173" s="41"/>
    </row>
    <row r="174" spans="1:26" ht="15.75" customHeight="1" x14ac:dyDescent="0.2">
      <c r="A174" s="12"/>
      <c r="B174" s="16"/>
      <c r="C174" s="16"/>
      <c r="D174" s="12"/>
      <c r="E174" s="12"/>
      <c r="F174" s="12"/>
      <c r="G174" s="12"/>
      <c r="H174" s="12"/>
      <c r="I174" s="12"/>
      <c r="J174" s="12"/>
      <c r="K174" s="12"/>
      <c r="L174" s="12"/>
      <c r="M174" s="12"/>
      <c r="N174" s="16"/>
      <c r="O174" s="41"/>
      <c r="P174" s="41"/>
      <c r="Q174" s="41"/>
      <c r="R174" s="41"/>
      <c r="S174" s="41"/>
      <c r="T174" s="41"/>
      <c r="U174" s="41"/>
      <c r="V174" s="41"/>
      <c r="W174" s="41"/>
      <c r="X174" s="41"/>
      <c r="Y174" s="41"/>
      <c r="Z174" s="41"/>
    </row>
    <row r="175" spans="1:26" ht="15.75" customHeight="1" x14ac:dyDescent="0.2">
      <c r="A175" s="12"/>
      <c r="B175" s="16"/>
      <c r="C175" s="16"/>
      <c r="D175" s="12"/>
      <c r="E175" s="12"/>
      <c r="F175" s="12"/>
      <c r="G175" s="12"/>
      <c r="H175" s="12"/>
      <c r="I175" s="12"/>
      <c r="J175" s="12"/>
      <c r="K175" s="12"/>
      <c r="L175" s="12"/>
      <c r="M175" s="12"/>
      <c r="N175" s="16"/>
      <c r="O175" s="41"/>
      <c r="P175" s="41"/>
      <c r="Q175" s="41"/>
      <c r="R175" s="41"/>
      <c r="S175" s="41"/>
      <c r="T175" s="41"/>
      <c r="U175" s="41"/>
      <c r="V175" s="41"/>
      <c r="W175" s="41"/>
      <c r="X175" s="41"/>
      <c r="Y175" s="41"/>
      <c r="Z175" s="41"/>
    </row>
    <row r="176" spans="1:26" ht="15.75" customHeight="1" x14ac:dyDescent="0.2">
      <c r="A176" s="12"/>
      <c r="B176" s="16"/>
      <c r="C176" s="16"/>
      <c r="D176" s="12"/>
      <c r="E176" s="12"/>
      <c r="F176" s="12"/>
      <c r="G176" s="12"/>
      <c r="H176" s="12"/>
      <c r="I176" s="12"/>
      <c r="J176" s="12"/>
      <c r="K176" s="12"/>
      <c r="L176" s="12"/>
      <c r="M176" s="12"/>
      <c r="N176" s="16"/>
      <c r="O176" s="41"/>
      <c r="P176" s="41"/>
      <c r="Q176" s="41"/>
      <c r="R176" s="41"/>
      <c r="S176" s="41"/>
      <c r="T176" s="41"/>
      <c r="U176" s="41"/>
      <c r="V176" s="41"/>
      <c r="W176" s="41"/>
      <c r="X176" s="41"/>
      <c r="Y176" s="41"/>
      <c r="Z176" s="41"/>
    </row>
    <row r="177" spans="1:26" ht="15.75" customHeight="1" x14ac:dyDescent="0.2">
      <c r="A177" s="12"/>
      <c r="B177" s="16"/>
      <c r="C177" s="16"/>
      <c r="D177" s="12"/>
      <c r="E177" s="12"/>
      <c r="F177" s="12"/>
      <c r="G177" s="12"/>
      <c r="H177" s="12"/>
      <c r="I177" s="12"/>
      <c r="J177" s="12"/>
      <c r="K177" s="12"/>
      <c r="L177" s="12"/>
      <c r="M177" s="12"/>
      <c r="N177" s="16"/>
      <c r="O177" s="41"/>
      <c r="P177" s="41"/>
      <c r="Q177" s="41"/>
      <c r="R177" s="41"/>
      <c r="S177" s="41"/>
      <c r="T177" s="41"/>
      <c r="U177" s="41"/>
      <c r="V177" s="41"/>
      <c r="W177" s="41"/>
      <c r="X177" s="41"/>
      <c r="Y177" s="41"/>
      <c r="Z177" s="41"/>
    </row>
    <row r="178" spans="1:26" ht="15.75" customHeight="1" x14ac:dyDescent="0.2">
      <c r="A178" s="12"/>
      <c r="B178" s="16"/>
      <c r="C178" s="16"/>
      <c r="D178" s="12"/>
      <c r="E178" s="12"/>
      <c r="F178" s="12"/>
      <c r="G178" s="12"/>
      <c r="H178" s="12"/>
      <c r="I178" s="12"/>
      <c r="J178" s="12"/>
      <c r="K178" s="12"/>
      <c r="L178" s="12"/>
      <c r="M178" s="12"/>
      <c r="N178" s="16"/>
      <c r="O178" s="41"/>
      <c r="P178" s="41"/>
      <c r="Q178" s="41"/>
      <c r="R178" s="41"/>
      <c r="S178" s="41"/>
      <c r="T178" s="41"/>
      <c r="U178" s="41"/>
      <c r="V178" s="41"/>
      <c r="W178" s="41"/>
      <c r="X178" s="41"/>
      <c r="Y178" s="41"/>
      <c r="Z178" s="41"/>
    </row>
    <row r="179" spans="1:26" ht="15.75" customHeight="1" x14ac:dyDescent="0.2">
      <c r="A179" s="12"/>
      <c r="B179" s="16"/>
      <c r="C179" s="16"/>
      <c r="D179" s="12"/>
      <c r="E179" s="12"/>
      <c r="F179" s="12"/>
      <c r="G179" s="12"/>
      <c r="H179" s="12"/>
      <c r="I179" s="12"/>
      <c r="J179" s="12"/>
      <c r="K179" s="12"/>
      <c r="L179" s="12"/>
      <c r="M179" s="12"/>
      <c r="N179" s="16"/>
      <c r="O179" s="41"/>
      <c r="P179" s="41"/>
      <c r="Q179" s="41"/>
      <c r="R179" s="41"/>
      <c r="S179" s="41"/>
      <c r="T179" s="41"/>
      <c r="U179" s="41"/>
      <c r="V179" s="41"/>
      <c r="W179" s="41"/>
      <c r="X179" s="41"/>
      <c r="Y179" s="41"/>
      <c r="Z179" s="41"/>
    </row>
    <row r="180" spans="1:26" ht="15.75" customHeight="1" x14ac:dyDescent="0.2">
      <c r="A180" s="12"/>
      <c r="B180" s="16"/>
      <c r="C180" s="16"/>
      <c r="D180" s="12"/>
      <c r="E180" s="12"/>
      <c r="F180" s="12"/>
      <c r="G180" s="12"/>
      <c r="H180" s="12"/>
      <c r="I180" s="12"/>
      <c r="J180" s="12"/>
      <c r="K180" s="12"/>
      <c r="L180" s="12"/>
      <c r="M180" s="12"/>
      <c r="N180" s="16"/>
      <c r="O180" s="41"/>
      <c r="P180" s="41"/>
      <c r="Q180" s="41"/>
      <c r="R180" s="41"/>
      <c r="S180" s="41"/>
      <c r="T180" s="41"/>
      <c r="U180" s="41"/>
      <c r="V180" s="41"/>
      <c r="W180" s="41"/>
      <c r="X180" s="41"/>
      <c r="Y180" s="41"/>
      <c r="Z180" s="41"/>
    </row>
    <row r="181" spans="1:26" ht="15.75" customHeight="1" x14ac:dyDescent="0.2">
      <c r="A181" s="12"/>
      <c r="B181" s="16"/>
      <c r="C181" s="16"/>
      <c r="D181" s="12"/>
      <c r="E181" s="12"/>
      <c r="F181" s="12"/>
      <c r="G181" s="12"/>
      <c r="H181" s="12"/>
      <c r="I181" s="12"/>
      <c r="J181" s="12"/>
      <c r="K181" s="12"/>
      <c r="L181" s="12"/>
      <c r="M181" s="12"/>
      <c r="N181" s="16"/>
      <c r="O181" s="41"/>
      <c r="P181" s="41"/>
      <c r="Q181" s="41"/>
      <c r="R181" s="41"/>
      <c r="S181" s="41"/>
      <c r="T181" s="41"/>
      <c r="U181" s="41"/>
      <c r="V181" s="41"/>
      <c r="W181" s="41"/>
      <c r="X181" s="41"/>
      <c r="Y181" s="41"/>
      <c r="Z181" s="41"/>
    </row>
    <row r="182" spans="1:26" ht="15.75" customHeight="1" x14ac:dyDescent="0.2">
      <c r="A182" s="12"/>
      <c r="B182" s="16"/>
      <c r="C182" s="16"/>
      <c r="D182" s="12"/>
      <c r="E182" s="12"/>
      <c r="F182" s="12"/>
      <c r="G182" s="12"/>
      <c r="H182" s="12"/>
      <c r="I182" s="12"/>
      <c r="J182" s="12"/>
      <c r="K182" s="12"/>
      <c r="L182" s="12"/>
      <c r="M182" s="12"/>
      <c r="N182" s="16"/>
      <c r="O182" s="41"/>
      <c r="P182" s="41"/>
      <c r="Q182" s="41"/>
      <c r="R182" s="41"/>
      <c r="S182" s="41"/>
      <c r="T182" s="41"/>
      <c r="U182" s="41"/>
      <c r="V182" s="41"/>
      <c r="W182" s="41"/>
      <c r="X182" s="41"/>
      <c r="Y182" s="41"/>
      <c r="Z182" s="41"/>
    </row>
    <row r="183" spans="1:26" ht="15.75" customHeight="1" x14ac:dyDescent="0.2">
      <c r="A183" s="12"/>
      <c r="B183" s="16"/>
      <c r="C183" s="16"/>
      <c r="D183" s="12"/>
      <c r="E183" s="12"/>
      <c r="F183" s="12"/>
      <c r="G183" s="12"/>
      <c r="H183" s="12"/>
      <c r="I183" s="12"/>
      <c r="J183" s="12"/>
      <c r="K183" s="12"/>
      <c r="L183" s="12"/>
      <c r="M183" s="12"/>
      <c r="N183" s="16"/>
      <c r="O183" s="41"/>
      <c r="P183" s="41"/>
      <c r="Q183" s="41"/>
      <c r="R183" s="41"/>
      <c r="S183" s="41"/>
      <c r="T183" s="41"/>
      <c r="U183" s="41"/>
      <c r="V183" s="41"/>
      <c r="W183" s="41"/>
      <c r="X183" s="41"/>
      <c r="Y183" s="41"/>
      <c r="Z183" s="41"/>
    </row>
    <row r="184" spans="1:26" ht="15.75" customHeight="1" x14ac:dyDescent="0.2">
      <c r="A184" s="12"/>
      <c r="B184" s="16"/>
      <c r="C184" s="16"/>
      <c r="D184" s="12"/>
      <c r="E184" s="12"/>
      <c r="F184" s="12"/>
      <c r="G184" s="12"/>
      <c r="H184" s="12"/>
      <c r="I184" s="12"/>
      <c r="J184" s="12"/>
      <c r="K184" s="12"/>
      <c r="L184" s="12"/>
      <c r="M184" s="12"/>
      <c r="N184" s="16"/>
      <c r="O184" s="41"/>
      <c r="P184" s="41"/>
      <c r="Q184" s="41"/>
      <c r="R184" s="41"/>
      <c r="S184" s="41"/>
      <c r="T184" s="41"/>
      <c r="U184" s="41"/>
      <c r="V184" s="41"/>
      <c r="W184" s="41"/>
      <c r="X184" s="41"/>
      <c r="Y184" s="41"/>
      <c r="Z184" s="41"/>
    </row>
    <row r="185" spans="1:26" ht="15.75" customHeight="1" x14ac:dyDescent="0.2">
      <c r="A185" s="12"/>
      <c r="B185" s="16"/>
      <c r="C185" s="16"/>
      <c r="D185" s="12"/>
      <c r="E185" s="12"/>
      <c r="F185" s="12"/>
      <c r="G185" s="12"/>
      <c r="H185" s="12"/>
      <c r="I185" s="12"/>
      <c r="J185" s="12"/>
      <c r="K185" s="12"/>
      <c r="L185" s="12"/>
      <c r="M185" s="12"/>
      <c r="N185" s="16"/>
      <c r="O185" s="41"/>
      <c r="P185" s="41"/>
      <c r="Q185" s="41"/>
      <c r="R185" s="41"/>
      <c r="S185" s="41"/>
      <c r="T185" s="41"/>
      <c r="U185" s="41"/>
      <c r="V185" s="41"/>
      <c r="W185" s="41"/>
      <c r="X185" s="41"/>
      <c r="Y185" s="41"/>
      <c r="Z185" s="41"/>
    </row>
    <row r="186" spans="1:26" ht="15.75" customHeight="1" x14ac:dyDescent="0.2">
      <c r="A186" s="12"/>
      <c r="B186" s="16"/>
      <c r="C186" s="16"/>
      <c r="D186" s="12"/>
      <c r="E186" s="12"/>
      <c r="F186" s="12"/>
      <c r="G186" s="12"/>
      <c r="H186" s="12"/>
      <c r="I186" s="12"/>
      <c r="J186" s="12"/>
      <c r="K186" s="12"/>
      <c r="L186" s="12"/>
      <c r="M186" s="12"/>
      <c r="N186" s="16"/>
      <c r="O186" s="41"/>
      <c r="P186" s="41"/>
      <c r="Q186" s="41"/>
      <c r="R186" s="41"/>
      <c r="S186" s="41"/>
      <c r="T186" s="41"/>
      <c r="U186" s="41"/>
      <c r="V186" s="41"/>
      <c r="W186" s="41"/>
      <c r="X186" s="41"/>
      <c r="Y186" s="41"/>
      <c r="Z186" s="41"/>
    </row>
    <row r="187" spans="1:26" ht="15.75" customHeight="1" x14ac:dyDescent="0.2">
      <c r="A187" s="12"/>
      <c r="B187" s="16"/>
      <c r="C187" s="16"/>
      <c r="D187" s="12"/>
      <c r="E187" s="12"/>
      <c r="F187" s="12"/>
      <c r="G187" s="12"/>
      <c r="H187" s="12"/>
      <c r="I187" s="12"/>
      <c r="J187" s="12"/>
      <c r="K187" s="12"/>
      <c r="L187" s="12"/>
      <c r="M187" s="12"/>
      <c r="N187" s="16"/>
      <c r="O187" s="41"/>
      <c r="P187" s="41"/>
      <c r="Q187" s="41"/>
      <c r="R187" s="41"/>
      <c r="S187" s="41"/>
      <c r="T187" s="41"/>
      <c r="U187" s="41"/>
      <c r="V187" s="41"/>
      <c r="W187" s="41"/>
      <c r="X187" s="41"/>
      <c r="Y187" s="41"/>
      <c r="Z187" s="41"/>
    </row>
    <row r="188" spans="1:26" ht="15.75" customHeight="1" x14ac:dyDescent="0.2">
      <c r="A188" s="12"/>
      <c r="B188" s="16"/>
      <c r="C188" s="16"/>
      <c r="D188" s="12"/>
      <c r="E188" s="12"/>
      <c r="F188" s="12"/>
      <c r="G188" s="12"/>
      <c r="H188" s="12"/>
      <c r="I188" s="12"/>
      <c r="J188" s="12"/>
      <c r="K188" s="12"/>
      <c r="L188" s="12"/>
      <c r="M188" s="12"/>
      <c r="N188" s="16"/>
      <c r="O188" s="41"/>
      <c r="P188" s="41"/>
      <c r="Q188" s="41"/>
      <c r="R188" s="41"/>
      <c r="S188" s="41"/>
      <c r="T188" s="41"/>
      <c r="U188" s="41"/>
      <c r="V188" s="41"/>
      <c r="W188" s="41"/>
      <c r="X188" s="41"/>
      <c r="Y188" s="41"/>
      <c r="Z188" s="41"/>
    </row>
    <row r="189" spans="1:26" ht="15.75" customHeight="1" x14ac:dyDescent="0.2">
      <c r="A189" s="12"/>
      <c r="B189" s="16"/>
      <c r="C189" s="16"/>
      <c r="D189" s="12"/>
      <c r="E189" s="12"/>
      <c r="F189" s="12"/>
      <c r="G189" s="12"/>
      <c r="H189" s="12"/>
      <c r="I189" s="12"/>
      <c r="J189" s="12"/>
      <c r="K189" s="12"/>
      <c r="L189" s="12"/>
      <c r="M189" s="12"/>
      <c r="N189" s="16"/>
      <c r="O189" s="41"/>
      <c r="P189" s="41"/>
      <c r="Q189" s="41"/>
      <c r="R189" s="41"/>
      <c r="S189" s="41"/>
      <c r="T189" s="41"/>
      <c r="U189" s="41"/>
      <c r="V189" s="41"/>
      <c r="W189" s="41"/>
      <c r="X189" s="41"/>
      <c r="Y189" s="41"/>
      <c r="Z189" s="41"/>
    </row>
    <row r="190" spans="1:26" ht="15.75" customHeight="1" x14ac:dyDescent="0.2">
      <c r="A190" s="12"/>
      <c r="B190" s="16"/>
      <c r="C190" s="16"/>
      <c r="D190" s="12"/>
      <c r="E190" s="12"/>
      <c r="F190" s="12"/>
      <c r="G190" s="12"/>
      <c r="H190" s="12"/>
      <c r="I190" s="12"/>
      <c r="J190" s="12"/>
      <c r="K190" s="12"/>
      <c r="L190" s="12"/>
      <c r="M190" s="12"/>
      <c r="N190" s="16"/>
      <c r="O190" s="41"/>
      <c r="P190" s="41"/>
      <c r="Q190" s="41"/>
      <c r="R190" s="41"/>
      <c r="S190" s="41"/>
      <c r="T190" s="41"/>
      <c r="U190" s="41"/>
      <c r="V190" s="41"/>
      <c r="W190" s="41"/>
      <c r="X190" s="41"/>
      <c r="Y190" s="41"/>
      <c r="Z190" s="41"/>
    </row>
    <row r="191" spans="1:26" ht="15.75" customHeight="1" x14ac:dyDescent="0.2">
      <c r="A191" s="12"/>
      <c r="B191" s="16"/>
      <c r="C191" s="16"/>
      <c r="D191" s="12"/>
      <c r="E191" s="12"/>
      <c r="F191" s="12"/>
      <c r="G191" s="12"/>
      <c r="H191" s="12"/>
      <c r="I191" s="12"/>
      <c r="J191" s="12"/>
      <c r="K191" s="12"/>
      <c r="L191" s="12"/>
      <c r="M191" s="12"/>
      <c r="N191" s="16"/>
      <c r="O191" s="41"/>
      <c r="P191" s="41"/>
      <c r="Q191" s="41"/>
      <c r="R191" s="41"/>
      <c r="S191" s="41"/>
      <c r="T191" s="41"/>
      <c r="U191" s="41"/>
      <c r="V191" s="41"/>
      <c r="W191" s="41"/>
      <c r="X191" s="41"/>
      <c r="Y191" s="41"/>
      <c r="Z191" s="41"/>
    </row>
    <row r="192" spans="1:26" ht="15.75" customHeight="1" x14ac:dyDescent="0.2">
      <c r="A192" s="12"/>
      <c r="B192" s="16"/>
      <c r="C192" s="16"/>
      <c r="D192" s="12"/>
      <c r="E192" s="12"/>
      <c r="F192" s="12"/>
      <c r="G192" s="12"/>
      <c r="H192" s="12"/>
      <c r="I192" s="12"/>
      <c r="J192" s="12"/>
      <c r="K192" s="12"/>
      <c r="L192" s="12"/>
      <c r="M192" s="12"/>
      <c r="N192" s="16"/>
      <c r="O192" s="41"/>
      <c r="P192" s="41"/>
      <c r="Q192" s="41"/>
      <c r="R192" s="41"/>
      <c r="S192" s="41"/>
      <c r="T192" s="41"/>
      <c r="U192" s="41"/>
      <c r="V192" s="41"/>
      <c r="W192" s="41"/>
      <c r="X192" s="41"/>
      <c r="Y192" s="41"/>
      <c r="Z192" s="41"/>
    </row>
    <row r="193" spans="1:26" ht="15.75" customHeight="1" x14ac:dyDescent="0.2">
      <c r="A193" s="12"/>
      <c r="B193" s="16"/>
      <c r="C193" s="16"/>
      <c r="D193" s="12"/>
      <c r="E193" s="12"/>
      <c r="F193" s="12"/>
      <c r="G193" s="12"/>
      <c r="H193" s="12"/>
      <c r="I193" s="12"/>
      <c r="J193" s="12"/>
      <c r="K193" s="12"/>
      <c r="L193" s="12"/>
      <c r="M193" s="12"/>
      <c r="N193" s="16"/>
      <c r="O193" s="41"/>
      <c r="P193" s="41"/>
      <c r="Q193" s="41"/>
      <c r="R193" s="41"/>
      <c r="S193" s="41"/>
      <c r="T193" s="41"/>
      <c r="U193" s="41"/>
      <c r="V193" s="41"/>
      <c r="W193" s="41"/>
      <c r="X193" s="41"/>
      <c r="Y193" s="41"/>
      <c r="Z193" s="41"/>
    </row>
    <row r="194" spans="1:26" ht="15.75" customHeight="1" x14ac:dyDescent="0.2">
      <c r="A194" s="12"/>
      <c r="B194" s="16"/>
      <c r="C194" s="16"/>
      <c r="D194" s="12"/>
      <c r="E194" s="12"/>
      <c r="F194" s="12"/>
      <c r="G194" s="12"/>
      <c r="H194" s="12"/>
      <c r="I194" s="12"/>
      <c r="J194" s="12"/>
      <c r="K194" s="12"/>
      <c r="L194" s="12"/>
      <c r="M194" s="12"/>
      <c r="N194" s="16"/>
      <c r="O194" s="41"/>
      <c r="P194" s="41"/>
      <c r="Q194" s="41"/>
      <c r="R194" s="41"/>
      <c r="S194" s="41"/>
      <c r="T194" s="41"/>
      <c r="U194" s="41"/>
      <c r="V194" s="41"/>
      <c r="W194" s="41"/>
      <c r="X194" s="41"/>
      <c r="Y194" s="41"/>
      <c r="Z194" s="41"/>
    </row>
    <row r="195" spans="1:26" ht="15.75" customHeight="1" x14ac:dyDescent="0.2">
      <c r="A195" s="12"/>
      <c r="B195" s="16"/>
      <c r="C195" s="16"/>
      <c r="D195" s="12"/>
      <c r="E195" s="12"/>
      <c r="F195" s="12"/>
      <c r="G195" s="12"/>
      <c r="H195" s="12"/>
      <c r="I195" s="12"/>
      <c r="J195" s="12"/>
      <c r="K195" s="12"/>
      <c r="L195" s="12"/>
      <c r="M195" s="12"/>
      <c r="N195" s="16"/>
      <c r="O195" s="41"/>
      <c r="P195" s="41"/>
      <c r="Q195" s="41"/>
      <c r="R195" s="41"/>
      <c r="S195" s="41"/>
      <c r="T195" s="41"/>
      <c r="U195" s="41"/>
      <c r="V195" s="41"/>
      <c r="W195" s="41"/>
      <c r="X195" s="41"/>
      <c r="Y195" s="41"/>
      <c r="Z195" s="41"/>
    </row>
    <row r="196" spans="1:26" ht="15.75" customHeight="1" x14ac:dyDescent="0.2">
      <c r="A196" s="12"/>
      <c r="B196" s="16"/>
      <c r="C196" s="16"/>
      <c r="D196" s="12"/>
      <c r="E196" s="12"/>
      <c r="F196" s="12"/>
      <c r="G196" s="12"/>
      <c r="H196" s="12"/>
      <c r="I196" s="12"/>
      <c r="J196" s="12"/>
      <c r="K196" s="12"/>
      <c r="L196" s="12"/>
      <c r="M196" s="12"/>
      <c r="N196" s="16"/>
      <c r="O196" s="41"/>
      <c r="P196" s="41"/>
      <c r="Q196" s="41"/>
      <c r="R196" s="41"/>
      <c r="S196" s="41"/>
      <c r="T196" s="41"/>
      <c r="U196" s="41"/>
      <c r="V196" s="41"/>
      <c r="W196" s="41"/>
      <c r="X196" s="41"/>
      <c r="Y196" s="41"/>
      <c r="Z196" s="41"/>
    </row>
    <row r="197" spans="1:26" ht="15.75" customHeight="1" x14ac:dyDescent="0.2">
      <c r="A197" s="12"/>
      <c r="B197" s="16"/>
      <c r="C197" s="16"/>
      <c r="D197" s="12"/>
      <c r="E197" s="12"/>
      <c r="F197" s="12"/>
      <c r="G197" s="12"/>
      <c r="H197" s="12"/>
      <c r="I197" s="12"/>
      <c r="J197" s="12"/>
      <c r="K197" s="12"/>
      <c r="L197" s="12"/>
      <c r="M197" s="12"/>
      <c r="N197" s="16"/>
      <c r="O197" s="41"/>
      <c r="P197" s="41"/>
      <c r="Q197" s="41"/>
      <c r="R197" s="41"/>
      <c r="S197" s="41"/>
      <c r="T197" s="41"/>
      <c r="U197" s="41"/>
      <c r="V197" s="41"/>
      <c r="W197" s="41"/>
      <c r="X197" s="41"/>
      <c r="Y197" s="41"/>
      <c r="Z197" s="41"/>
    </row>
    <row r="198" spans="1:26" ht="15.75" customHeight="1" x14ac:dyDescent="0.2">
      <c r="A198" s="12"/>
      <c r="B198" s="16"/>
      <c r="C198" s="16"/>
      <c r="D198" s="12"/>
      <c r="E198" s="12"/>
      <c r="F198" s="12"/>
      <c r="G198" s="12"/>
      <c r="H198" s="12"/>
      <c r="I198" s="12"/>
      <c r="J198" s="12"/>
      <c r="K198" s="12"/>
      <c r="L198" s="12"/>
      <c r="M198" s="12"/>
      <c r="N198" s="16"/>
      <c r="O198" s="41"/>
      <c r="P198" s="41"/>
      <c r="Q198" s="41"/>
      <c r="R198" s="41"/>
      <c r="S198" s="41"/>
      <c r="T198" s="41"/>
      <c r="U198" s="41"/>
      <c r="V198" s="41"/>
      <c r="W198" s="41"/>
      <c r="X198" s="41"/>
      <c r="Y198" s="41"/>
      <c r="Z198" s="41"/>
    </row>
    <row r="199" spans="1:26" ht="15.75" customHeight="1" x14ac:dyDescent="0.2">
      <c r="A199" s="12"/>
      <c r="B199" s="16"/>
      <c r="C199" s="16"/>
      <c r="D199" s="12"/>
      <c r="E199" s="12"/>
      <c r="F199" s="12"/>
      <c r="G199" s="12"/>
      <c r="H199" s="12"/>
      <c r="I199" s="12"/>
      <c r="J199" s="12"/>
      <c r="K199" s="12"/>
      <c r="L199" s="12"/>
      <c r="M199" s="12"/>
      <c r="N199" s="16"/>
      <c r="O199" s="41"/>
      <c r="P199" s="41"/>
      <c r="Q199" s="41"/>
      <c r="R199" s="41"/>
      <c r="S199" s="41"/>
      <c r="T199" s="41"/>
      <c r="U199" s="41"/>
      <c r="V199" s="41"/>
      <c r="W199" s="41"/>
      <c r="X199" s="41"/>
      <c r="Y199" s="41"/>
      <c r="Z199" s="41"/>
    </row>
    <row r="200" spans="1:26" ht="15.75" customHeight="1" x14ac:dyDescent="0.2">
      <c r="A200" s="12"/>
      <c r="B200" s="16"/>
      <c r="C200" s="16"/>
      <c r="D200" s="12"/>
      <c r="E200" s="12"/>
      <c r="F200" s="12"/>
      <c r="G200" s="12"/>
      <c r="H200" s="12"/>
      <c r="I200" s="12"/>
      <c r="J200" s="12"/>
      <c r="K200" s="12"/>
      <c r="L200" s="12"/>
      <c r="M200" s="12"/>
      <c r="N200" s="16"/>
      <c r="O200" s="41"/>
      <c r="P200" s="41"/>
      <c r="Q200" s="41"/>
      <c r="R200" s="41"/>
      <c r="S200" s="41"/>
      <c r="T200" s="41"/>
      <c r="U200" s="41"/>
      <c r="V200" s="41"/>
      <c r="W200" s="41"/>
      <c r="X200" s="41"/>
      <c r="Y200" s="41"/>
      <c r="Z200" s="41"/>
    </row>
    <row r="201" spans="1:26" ht="15.75" customHeight="1" x14ac:dyDescent="0.2">
      <c r="A201" s="12"/>
      <c r="B201" s="16"/>
      <c r="C201" s="16"/>
      <c r="D201" s="12"/>
      <c r="E201" s="12"/>
      <c r="F201" s="12"/>
      <c r="G201" s="12"/>
      <c r="H201" s="12"/>
      <c r="I201" s="12"/>
      <c r="J201" s="12"/>
      <c r="K201" s="12"/>
      <c r="L201" s="12"/>
      <c r="M201" s="12"/>
      <c r="N201" s="16"/>
      <c r="O201" s="41"/>
      <c r="P201" s="41"/>
      <c r="Q201" s="41"/>
      <c r="R201" s="41"/>
      <c r="S201" s="41"/>
      <c r="T201" s="41"/>
      <c r="U201" s="41"/>
      <c r="V201" s="41"/>
      <c r="W201" s="41"/>
      <c r="X201" s="41"/>
      <c r="Y201" s="41"/>
      <c r="Z201" s="41"/>
    </row>
    <row r="202" spans="1:26" ht="15.75" customHeight="1" x14ac:dyDescent="0.2">
      <c r="A202" s="12"/>
      <c r="B202" s="16"/>
      <c r="C202" s="16"/>
      <c r="D202" s="12"/>
      <c r="E202" s="12"/>
      <c r="F202" s="12"/>
      <c r="G202" s="12"/>
      <c r="H202" s="12"/>
      <c r="I202" s="12"/>
      <c r="J202" s="12"/>
      <c r="K202" s="12"/>
      <c r="L202" s="12"/>
      <c r="M202" s="12"/>
      <c r="N202" s="16"/>
      <c r="O202" s="41"/>
      <c r="P202" s="41"/>
      <c r="Q202" s="41"/>
      <c r="R202" s="41"/>
      <c r="S202" s="41"/>
      <c r="T202" s="41"/>
      <c r="U202" s="41"/>
      <c r="V202" s="41"/>
      <c r="W202" s="41"/>
      <c r="X202" s="41"/>
      <c r="Y202" s="41"/>
      <c r="Z202" s="41"/>
    </row>
    <row r="203" spans="1:26" ht="15.75" customHeight="1" x14ac:dyDescent="0.2">
      <c r="A203" s="12"/>
      <c r="B203" s="16"/>
      <c r="C203" s="16"/>
      <c r="D203" s="12"/>
      <c r="E203" s="12"/>
      <c r="F203" s="12"/>
      <c r="G203" s="12"/>
      <c r="H203" s="12"/>
      <c r="I203" s="12"/>
      <c r="J203" s="12"/>
      <c r="K203" s="12"/>
      <c r="L203" s="12"/>
      <c r="M203" s="12"/>
      <c r="N203" s="16"/>
      <c r="O203" s="41"/>
      <c r="P203" s="41"/>
      <c r="Q203" s="41"/>
      <c r="R203" s="41"/>
      <c r="S203" s="41"/>
      <c r="T203" s="41"/>
      <c r="U203" s="41"/>
      <c r="V203" s="41"/>
      <c r="W203" s="41"/>
      <c r="X203" s="41"/>
      <c r="Y203" s="41"/>
      <c r="Z203" s="41"/>
    </row>
    <row r="204" spans="1:26" ht="15.75" customHeight="1" x14ac:dyDescent="0.2">
      <c r="A204" s="12"/>
      <c r="B204" s="16"/>
      <c r="C204" s="16"/>
      <c r="D204" s="12"/>
      <c r="E204" s="12"/>
      <c r="F204" s="12"/>
      <c r="G204" s="12"/>
      <c r="H204" s="12"/>
      <c r="I204" s="12"/>
      <c r="J204" s="12"/>
      <c r="K204" s="12"/>
      <c r="L204" s="12"/>
      <c r="M204" s="12"/>
      <c r="N204" s="16"/>
      <c r="O204" s="41"/>
      <c r="P204" s="41"/>
      <c r="Q204" s="41"/>
      <c r="R204" s="41"/>
      <c r="S204" s="41"/>
      <c r="T204" s="41"/>
      <c r="U204" s="41"/>
      <c r="V204" s="41"/>
      <c r="W204" s="41"/>
      <c r="X204" s="41"/>
      <c r="Y204" s="41"/>
      <c r="Z204" s="41"/>
    </row>
    <row r="205" spans="1:26" ht="15.75" customHeight="1" x14ac:dyDescent="0.2">
      <c r="A205" s="12"/>
      <c r="B205" s="16"/>
      <c r="C205" s="16"/>
      <c r="D205" s="12"/>
      <c r="E205" s="12"/>
      <c r="F205" s="12"/>
      <c r="G205" s="12"/>
      <c r="H205" s="12"/>
      <c r="I205" s="12"/>
      <c r="J205" s="12"/>
      <c r="K205" s="12"/>
      <c r="L205" s="12"/>
      <c r="M205" s="12"/>
      <c r="N205" s="16"/>
      <c r="O205" s="41"/>
      <c r="P205" s="41"/>
      <c r="Q205" s="41"/>
      <c r="R205" s="41"/>
      <c r="S205" s="41"/>
      <c r="T205" s="41"/>
      <c r="U205" s="41"/>
      <c r="V205" s="41"/>
      <c r="W205" s="41"/>
      <c r="X205" s="41"/>
      <c r="Y205" s="41"/>
      <c r="Z205" s="41"/>
    </row>
    <row r="206" spans="1:26" ht="15.75" customHeight="1" x14ac:dyDescent="0.2">
      <c r="A206" s="12"/>
      <c r="B206" s="16"/>
      <c r="C206" s="16"/>
      <c r="D206" s="12"/>
      <c r="E206" s="12"/>
      <c r="F206" s="12"/>
      <c r="G206" s="12"/>
      <c r="H206" s="12"/>
      <c r="I206" s="12"/>
      <c r="J206" s="12"/>
      <c r="K206" s="12"/>
      <c r="L206" s="12"/>
      <c r="M206" s="12"/>
      <c r="N206" s="16"/>
      <c r="O206" s="41"/>
      <c r="P206" s="41"/>
      <c r="Q206" s="41"/>
      <c r="R206" s="41"/>
      <c r="S206" s="41"/>
      <c r="T206" s="41"/>
      <c r="U206" s="41"/>
      <c r="V206" s="41"/>
      <c r="W206" s="41"/>
      <c r="X206" s="41"/>
      <c r="Y206" s="41"/>
      <c r="Z206" s="41"/>
    </row>
    <row r="207" spans="1:26" ht="15.75" customHeight="1" x14ac:dyDescent="0.2">
      <c r="A207" s="12"/>
      <c r="B207" s="16"/>
      <c r="C207" s="16"/>
      <c r="D207" s="12"/>
      <c r="E207" s="12"/>
      <c r="F207" s="12"/>
      <c r="G207" s="12"/>
      <c r="H207" s="12"/>
      <c r="I207" s="12"/>
      <c r="J207" s="12"/>
      <c r="K207" s="12"/>
      <c r="L207" s="12"/>
      <c r="M207" s="12"/>
      <c r="N207" s="16"/>
      <c r="O207" s="41"/>
      <c r="P207" s="41"/>
      <c r="Q207" s="41"/>
      <c r="R207" s="41"/>
      <c r="S207" s="41"/>
      <c r="T207" s="41"/>
      <c r="U207" s="41"/>
      <c r="V207" s="41"/>
      <c r="W207" s="41"/>
      <c r="X207" s="41"/>
      <c r="Y207" s="41"/>
      <c r="Z207" s="41"/>
    </row>
    <row r="208" spans="1:26" ht="15.75" customHeight="1" x14ac:dyDescent="0.2">
      <c r="A208" s="12"/>
      <c r="B208" s="16"/>
      <c r="C208" s="16"/>
      <c r="D208" s="12"/>
      <c r="E208" s="12"/>
      <c r="F208" s="12"/>
      <c r="G208" s="12"/>
      <c r="H208" s="12"/>
      <c r="I208" s="12"/>
      <c r="J208" s="12"/>
      <c r="K208" s="12"/>
      <c r="L208" s="12"/>
      <c r="M208" s="12"/>
      <c r="N208" s="16"/>
      <c r="O208" s="41"/>
      <c r="P208" s="41"/>
      <c r="Q208" s="41"/>
      <c r="R208" s="41"/>
      <c r="S208" s="41"/>
      <c r="T208" s="41"/>
      <c r="U208" s="41"/>
      <c r="V208" s="41"/>
      <c r="W208" s="41"/>
      <c r="X208" s="41"/>
      <c r="Y208" s="41"/>
      <c r="Z208" s="41"/>
    </row>
    <row r="209" spans="1:26" ht="15.75" customHeight="1" x14ac:dyDescent="0.2">
      <c r="A209" s="12"/>
      <c r="B209" s="16"/>
      <c r="C209" s="16"/>
      <c r="D209" s="12"/>
      <c r="E209" s="12"/>
      <c r="F209" s="12"/>
      <c r="G209" s="12"/>
      <c r="H209" s="12"/>
      <c r="I209" s="12"/>
      <c r="J209" s="12"/>
      <c r="K209" s="12"/>
      <c r="L209" s="12"/>
      <c r="M209" s="12"/>
      <c r="N209" s="16"/>
      <c r="O209" s="41"/>
      <c r="P209" s="41"/>
      <c r="Q209" s="41"/>
      <c r="R209" s="41"/>
      <c r="S209" s="41"/>
      <c r="T209" s="41"/>
      <c r="U209" s="41"/>
      <c r="V209" s="41"/>
      <c r="W209" s="41"/>
      <c r="X209" s="41"/>
      <c r="Y209" s="41"/>
      <c r="Z209" s="41"/>
    </row>
    <row r="210" spans="1:26" ht="15.75" customHeight="1" x14ac:dyDescent="0.2">
      <c r="A210" s="12"/>
      <c r="B210" s="16"/>
      <c r="C210" s="16"/>
      <c r="D210" s="12"/>
      <c r="E210" s="12"/>
      <c r="F210" s="12"/>
      <c r="G210" s="12"/>
      <c r="H210" s="12"/>
      <c r="I210" s="12"/>
      <c r="J210" s="12"/>
      <c r="K210" s="12"/>
      <c r="L210" s="12"/>
      <c r="M210" s="12"/>
      <c r="N210" s="16"/>
      <c r="O210" s="41"/>
      <c r="P210" s="41"/>
      <c r="Q210" s="41"/>
      <c r="R210" s="41"/>
      <c r="S210" s="41"/>
      <c r="T210" s="41"/>
      <c r="U210" s="41"/>
      <c r="V210" s="41"/>
      <c r="W210" s="41"/>
      <c r="X210" s="41"/>
      <c r="Y210" s="41"/>
      <c r="Z210" s="41"/>
    </row>
    <row r="211" spans="1:26" ht="15.75" customHeight="1" x14ac:dyDescent="0.2">
      <c r="A211" s="12"/>
      <c r="B211" s="16"/>
      <c r="C211" s="16"/>
      <c r="D211" s="12"/>
      <c r="E211" s="12"/>
      <c r="F211" s="12"/>
      <c r="G211" s="12"/>
      <c r="H211" s="12"/>
      <c r="I211" s="12"/>
      <c r="J211" s="12"/>
      <c r="K211" s="12"/>
      <c r="L211" s="12"/>
      <c r="M211" s="12"/>
      <c r="N211" s="16"/>
      <c r="O211" s="41"/>
      <c r="P211" s="41"/>
      <c r="Q211" s="41"/>
      <c r="R211" s="41"/>
      <c r="S211" s="41"/>
      <c r="T211" s="41"/>
      <c r="U211" s="41"/>
      <c r="V211" s="41"/>
      <c r="W211" s="41"/>
      <c r="X211" s="41"/>
      <c r="Y211" s="41"/>
      <c r="Z211" s="41"/>
    </row>
    <row r="212" spans="1:26" ht="15.75" customHeight="1" x14ac:dyDescent="0.2">
      <c r="A212" s="12"/>
      <c r="B212" s="16"/>
      <c r="C212" s="16"/>
      <c r="D212" s="12"/>
      <c r="E212" s="12"/>
      <c r="F212" s="12"/>
      <c r="G212" s="12"/>
      <c r="H212" s="12"/>
      <c r="I212" s="12"/>
      <c r="J212" s="12"/>
      <c r="K212" s="12"/>
      <c r="L212" s="12"/>
      <c r="M212" s="12"/>
      <c r="N212" s="16"/>
      <c r="O212" s="41"/>
      <c r="P212" s="41"/>
      <c r="Q212" s="41"/>
      <c r="R212" s="41"/>
      <c r="S212" s="41"/>
      <c r="T212" s="41"/>
      <c r="U212" s="41"/>
      <c r="V212" s="41"/>
      <c r="W212" s="41"/>
      <c r="X212" s="41"/>
      <c r="Y212" s="41"/>
      <c r="Z212" s="41"/>
    </row>
    <row r="213" spans="1:26" ht="15.75" customHeight="1" x14ac:dyDescent="0.2">
      <c r="A213" s="12"/>
      <c r="B213" s="16"/>
      <c r="C213" s="16"/>
      <c r="D213" s="12"/>
      <c r="E213" s="12"/>
      <c r="F213" s="12"/>
      <c r="G213" s="12"/>
      <c r="H213" s="12"/>
      <c r="I213" s="12"/>
      <c r="J213" s="12"/>
      <c r="K213" s="12"/>
      <c r="L213" s="12"/>
      <c r="M213" s="12"/>
      <c r="N213" s="16"/>
      <c r="O213" s="41"/>
      <c r="P213" s="41"/>
      <c r="Q213" s="41"/>
      <c r="R213" s="41"/>
      <c r="S213" s="41"/>
      <c r="T213" s="41"/>
      <c r="U213" s="41"/>
      <c r="V213" s="41"/>
      <c r="W213" s="41"/>
      <c r="X213" s="41"/>
      <c r="Y213" s="41"/>
      <c r="Z213" s="41"/>
    </row>
    <row r="214" spans="1:26" ht="15.75" customHeight="1" x14ac:dyDescent="0.2">
      <c r="A214" s="12"/>
      <c r="B214" s="16"/>
      <c r="C214" s="16"/>
      <c r="D214" s="12"/>
      <c r="E214" s="12"/>
      <c r="F214" s="12"/>
      <c r="G214" s="12"/>
      <c r="H214" s="12"/>
      <c r="I214" s="12"/>
      <c r="J214" s="12"/>
      <c r="K214" s="12"/>
      <c r="L214" s="12"/>
      <c r="M214" s="12"/>
      <c r="N214" s="16"/>
      <c r="O214" s="41"/>
      <c r="P214" s="41"/>
      <c r="Q214" s="41"/>
      <c r="R214" s="41"/>
      <c r="S214" s="41"/>
      <c r="T214" s="41"/>
      <c r="U214" s="41"/>
      <c r="V214" s="41"/>
      <c r="W214" s="41"/>
      <c r="X214" s="41"/>
      <c r="Y214" s="41"/>
      <c r="Z214" s="41"/>
    </row>
    <row r="215" spans="1:26" ht="15.75" customHeight="1" x14ac:dyDescent="0.2">
      <c r="A215" s="12"/>
      <c r="B215" s="16"/>
      <c r="C215" s="16"/>
      <c r="D215" s="12"/>
      <c r="E215" s="12"/>
      <c r="F215" s="12"/>
      <c r="G215" s="12"/>
      <c r="H215" s="12"/>
      <c r="I215" s="12"/>
      <c r="J215" s="12"/>
      <c r="K215" s="12"/>
      <c r="L215" s="12"/>
      <c r="M215" s="12"/>
      <c r="N215" s="16"/>
      <c r="O215" s="41"/>
      <c r="P215" s="41"/>
      <c r="Q215" s="41"/>
      <c r="R215" s="41"/>
      <c r="S215" s="41"/>
      <c r="T215" s="41"/>
      <c r="U215" s="41"/>
      <c r="V215" s="41"/>
      <c r="W215" s="41"/>
      <c r="X215" s="41"/>
      <c r="Y215" s="41"/>
      <c r="Z215" s="41"/>
    </row>
    <row r="216" spans="1:26" ht="15.75" customHeight="1" x14ac:dyDescent="0.2">
      <c r="A216" s="12"/>
      <c r="B216" s="16"/>
      <c r="C216" s="16"/>
      <c r="D216" s="12"/>
      <c r="E216" s="12"/>
      <c r="F216" s="12"/>
      <c r="G216" s="12"/>
      <c r="H216" s="12"/>
      <c r="I216" s="12"/>
      <c r="J216" s="12"/>
      <c r="K216" s="12"/>
      <c r="L216" s="12"/>
      <c r="M216" s="12"/>
      <c r="N216" s="16"/>
      <c r="O216" s="41"/>
      <c r="P216" s="41"/>
      <c r="Q216" s="41"/>
      <c r="R216" s="41"/>
      <c r="S216" s="41"/>
      <c r="T216" s="41"/>
      <c r="U216" s="41"/>
      <c r="V216" s="41"/>
      <c r="W216" s="41"/>
      <c r="X216" s="41"/>
      <c r="Y216" s="41"/>
      <c r="Z216" s="41"/>
    </row>
    <row r="217" spans="1:26" ht="15.75" customHeight="1" x14ac:dyDescent="0.2">
      <c r="A217" s="12"/>
      <c r="B217" s="16"/>
      <c r="C217" s="16"/>
      <c r="D217" s="12"/>
      <c r="E217" s="12"/>
      <c r="F217" s="12"/>
      <c r="G217" s="12"/>
      <c r="H217" s="12"/>
      <c r="I217" s="12"/>
      <c r="J217" s="12"/>
      <c r="K217" s="12"/>
      <c r="L217" s="12"/>
      <c r="M217" s="12"/>
      <c r="N217" s="16"/>
      <c r="O217" s="41"/>
      <c r="P217" s="41"/>
      <c r="Q217" s="41"/>
      <c r="R217" s="41"/>
      <c r="S217" s="41"/>
      <c r="T217" s="41"/>
      <c r="U217" s="41"/>
      <c r="V217" s="41"/>
      <c r="W217" s="41"/>
      <c r="X217" s="41"/>
      <c r="Y217" s="41"/>
      <c r="Z217" s="41"/>
    </row>
    <row r="218" spans="1:26" ht="15.75" customHeight="1" x14ac:dyDescent="0.2">
      <c r="A218" s="12"/>
      <c r="B218" s="16"/>
      <c r="C218" s="16"/>
      <c r="D218" s="12"/>
      <c r="E218" s="12"/>
      <c r="F218" s="12"/>
      <c r="G218" s="12"/>
      <c r="H218" s="12"/>
      <c r="I218" s="12"/>
      <c r="J218" s="12"/>
      <c r="K218" s="12"/>
      <c r="L218" s="12"/>
      <c r="M218" s="12"/>
      <c r="N218" s="16"/>
      <c r="O218" s="41"/>
      <c r="P218" s="41"/>
      <c r="Q218" s="41"/>
      <c r="R218" s="41"/>
      <c r="S218" s="41"/>
      <c r="T218" s="41"/>
      <c r="U218" s="41"/>
      <c r="V218" s="41"/>
      <c r="W218" s="41"/>
      <c r="X218" s="41"/>
      <c r="Y218" s="41"/>
      <c r="Z218" s="41"/>
    </row>
    <row r="219" spans="1:26" ht="15.75" customHeight="1" x14ac:dyDescent="0.2">
      <c r="A219" s="12"/>
      <c r="B219" s="16"/>
      <c r="C219" s="16"/>
      <c r="D219" s="12"/>
      <c r="E219" s="12"/>
      <c r="F219" s="12"/>
      <c r="G219" s="12"/>
      <c r="H219" s="12"/>
      <c r="I219" s="12"/>
      <c r="J219" s="12"/>
      <c r="K219" s="12"/>
      <c r="L219" s="12"/>
      <c r="M219" s="12"/>
      <c r="N219" s="16"/>
      <c r="O219" s="41"/>
      <c r="P219" s="41"/>
      <c r="Q219" s="41"/>
      <c r="R219" s="41"/>
      <c r="S219" s="41"/>
      <c r="T219" s="41"/>
      <c r="U219" s="41"/>
      <c r="V219" s="41"/>
      <c r="W219" s="41"/>
      <c r="X219" s="41"/>
      <c r="Y219" s="41"/>
      <c r="Z219" s="41"/>
    </row>
    <row r="220" spans="1:26" ht="15.75" customHeight="1" x14ac:dyDescent="0.2">
      <c r="A220" s="12"/>
      <c r="B220" s="16"/>
      <c r="C220" s="16"/>
      <c r="D220" s="12"/>
      <c r="E220" s="12"/>
      <c r="F220" s="12"/>
      <c r="G220" s="12"/>
      <c r="H220" s="12"/>
      <c r="I220" s="12"/>
      <c r="J220" s="12"/>
      <c r="K220" s="12"/>
      <c r="L220" s="12"/>
      <c r="M220" s="12"/>
      <c r="N220" s="16"/>
      <c r="O220" s="41"/>
      <c r="P220" s="41"/>
      <c r="Q220" s="41"/>
      <c r="R220" s="41"/>
      <c r="S220" s="41"/>
      <c r="T220" s="41"/>
      <c r="U220" s="41"/>
      <c r="V220" s="41"/>
      <c r="W220" s="41"/>
      <c r="X220" s="41"/>
      <c r="Y220" s="41"/>
      <c r="Z220" s="41"/>
    </row>
    <row r="221" spans="1:26" ht="15.75" customHeight="1" x14ac:dyDescent="0.2">
      <c r="A221" s="12"/>
      <c r="B221" s="16"/>
      <c r="C221" s="16"/>
      <c r="D221" s="12"/>
      <c r="E221" s="12"/>
      <c r="F221" s="12"/>
      <c r="G221" s="12"/>
      <c r="H221" s="12"/>
      <c r="I221" s="12"/>
      <c r="J221" s="12"/>
      <c r="K221" s="12"/>
      <c r="L221" s="12"/>
      <c r="M221" s="12"/>
      <c r="N221" s="16"/>
      <c r="O221" s="41"/>
      <c r="P221" s="41"/>
      <c r="Q221" s="41"/>
      <c r="R221" s="41"/>
      <c r="S221" s="41"/>
      <c r="T221" s="41"/>
      <c r="U221" s="41"/>
      <c r="V221" s="41"/>
      <c r="W221" s="41"/>
      <c r="X221" s="41"/>
      <c r="Y221" s="41"/>
      <c r="Z221" s="41"/>
    </row>
    <row r="222" spans="1:26" ht="15.75" customHeight="1" x14ac:dyDescent="0.2">
      <c r="A222" s="12"/>
      <c r="B222" s="16"/>
      <c r="C222" s="16"/>
      <c r="D222" s="12"/>
      <c r="E222" s="12"/>
      <c r="F222" s="12"/>
      <c r="G222" s="12"/>
      <c r="H222" s="12"/>
      <c r="I222" s="12"/>
      <c r="J222" s="12"/>
      <c r="K222" s="12"/>
      <c r="L222" s="12"/>
      <c r="M222" s="12"/>
      <c r="N222" s="16"/>
      <c r="O222" s="41"/>
      <c r="P222" s="41"/>
      <c r="Q222" s="41"/>
      <c r="R222" s="41"/>
      <c r="S222" s="41"/>
      <c r="T222" s="41"/>
      <c r="U222" s="41"/>
      <c r="V222" s="41"/>
      <c r="W222" s="41"/>
      <c r="X222" s="41"/>
      <c r="Y222" s="41"/>
      <c r="Z222" s="41"/>
    </row>
    <row r="223" spans="1:26" ht="15.75" customHeight="1" x14ac:dyDescent="0.2">
      <c r="A223" s="12"/>
      <c r="B223" s="16"/>
      <c r="C223" s="16"/>
      <c r="D223" s="12"/>
      <c r="E223" s="12"/>
      <c r="F223" s="12"/>
      <c r="G223" s="12"/>
      <c r="H223" s="12"/>
      <c r="I223" s="12"/>
      <c r="J223" s="12"/>
      <c r="K223" s="12"/>
      <c r="L223" s="12"/>
      <c r="M223" s="12"/>
      <c r="N223" s="16"/>
      <c r="O223" s="41"/>
      <c r="P223" s="41"/>
      <c r="Q223" s="41"/>
      <c r="R223" s="41"/>
      <c r="S223" s="41"/>
      <c r="T223" s="41"/>
      <c r="U223" s="41"/>
      <c r="V223" s="41"/>
      <c r="W223" s="41"/>
      <c r="X223" s="41"/>
      <c r="Y223" s="41"/>
      <c r="Z223" s="41"/>
    </row>
    <row r="224" spans="1:26" ht="15.75" customHeight="1" x14ac:dyDescent="0.2">
      <c r="A224" s="12"/>
      <c r="B224" s="16"/>
      <c r="C224" s="16"/>
      <c r="D224" s="12"/>
      <c r="E224" s="12"/>
      <c r="F224" s="12"/>
      <c r="G224" s="12"/>
      <c r="H224" s="12"/>
      <c r="I224" s="12"/>
      <c r="J224" s="12"/>
      <c r="K224" s="12"/>
      <c r="L224" s="12"/>
      <c r="M224" s="12"/>
      <c r="N224" s="16"/>
      <c r="O224" s="41"/>
      <c r="P224" s="41"/>
      <c r="Q224" s="41"/>
      <c r="R224" s="41"/>
      <c r="S224" s="41"/>
      <c r="T224" s="41"/>
      <c r="U224" s="41"/>
      <c r="V224" s="41"/>
      <c r="W224" s="41"/>
      <c r="X224" s="41"/>
      <c r="Y224" s="41"/>
      <c r="Z224" s="41"/>
    </row>
    <row r="225" spans="1:26" ht="15.75" customHeight="1" x14ac:dyDescent="0.2">
      <c r="A225" s="12"/>
      <c r="B225" s="16"/>
      <c r="C225" s="16"/>
      <c r="D225" s="12"/>
      <c r="E225" s="12"/>
      <c r="F225" s="12"/>
      <c r="G225" s="12"/>
      <c r="H225" s="12"/>
      <c r="I225" s="12"/>
      <c r="J225" s="12"/>
      <c r="K225" s="12"/>
      <c r="L225" s="12"/>
      <c r="M225" s="12"/>
      <c r="N225" s="16"/>
      <c r="O225" s="41"/>
      <c r="P225" s="41"/>
      <c r="Q225" s="41"/>
      <c r="R225" s="41"/>
      <c r="S225" s="41"/>
      <c r="T225" s="41"/>
      <c r="U225" s="41"/>
      <c r="V225" s="41"/>
      <c r="W225" s="41"/>
      <c r="X225" s="41"/>
      <c r="Y225" s="41"/>
      <c r="Z225" s="41"/>
    </row>
    <row r="226" spans="1:26" ht="15.75" customHeight="1" x14ac:dyDescent="0.2">
      <c r="A226" s="12"/>
      <c r="B226" s="16"/>
      <c r="C226" s="16"/>
      <c r="D226" s="12"/>
      <c r="E226" s="12"/>
      <c r="F226" s="12"/>
      <c r="G226" s="12"/>
      <c r="H226" s="12"/>
      <c r="I226" s="12"/>
      <c r="J226" s="12"/>
      <c r="K226" s="12"/>
      <c r="L226" s="12"/>
      <c r="M226" s="12"/>
      <c r="N226" s="16"/>
      <c r="O226" s="41"/>
      <c r="P226" s="41"/>
      <c r="Q226" s="41"/>
      <c r="R226" s="41"/>
      <c r="S226" s="41"/>
      <c r="T226" s="41"/>
      <c r="U226" s="41"/>
      <c r="V226" s="41"/>
      <c r="W226" s="41"/>
      <c r="X226" s="41"/>
      <c r="Y226" s="41"/>
      <c r="Z226" s="41"/>
    </row>
    <row r="227" spans="1:26" ht="15.75" customHeight="1" x14ac:dyDescent="0.2">
      <c r="A227" s="12"/>
      <c r="B227" s="16"/>
      <c r="C227" s="16"/>
      <c r="D227" s="12"/>
      <c r="E227" s="12"/>
      <c r="F227" s="12"/>
      <c r="G227" s="12"/>
      <c r="H227" s="12"/>
      <c r="I227" s="12"/>
      <c r="J227" s="12"/>
      <c r="K227" s="12"/>
      <c r="L227" s="12"/>
      <c r="M227" s="12"/>
      <c r="N227" s="16"/>
      <c r="O227" s="41"/>
      <c r="P227" s="41"/>
      <c r="Q227" s="41"/>
      <c r="R227" s="41"/>
      <c r="S227" s="41"/>
      <c r="T227" s="41"/>
      <c r="U227" s="41"/>
      <c r="V227" s="41"/>
      <c r="W227" s="41"/>
      <c r="X227" s="41"/>
      <c r="Y227" s="41"/>
      <c r="Z227" s="41"/>
    </row>
    <row r="228" spans="1:26" ht="15.75" customHeight="1" x14ac:dyDescent="0.2">
      <c r="A228" s="12"/>
      <c r="B228" s="16"/>
      <c r="C228" s="16"/>
      <c r="D228" s="12"/>
      <c r="E228" s="12"/>
      <c r="F228" s="12"/>
      <c r="G228" s="12"/>
      <c r="H228" s="12"/>
      <c r="I228" s="12"/>
      <c r="J228" s="12"/>
      <c r="K228" s="12"/>
      <c r="L228" s="12"/>
      <c r="M228" s="12"/>
      <c r="N228" s="16"/>
      <c r="O228" s="41"/>
      <c r="P228" s="41"/>
      <c r="Q228" s="41"/>
      <c r="R228" s="41"/>
      <c r="S228" s="41"/>
      <c r="T228" s="41"/>
      <c r="U228" s="41"/>
      <c r="V228" s="41"/>
      <c r="W228" s="41"/>
      <c r="X228" s="41"/>
      <c r="Y228" s="41"/>
      <c r="Z228" s="41"/>
    </row>
    <row r="229" spans="1:26" ht="15.75" customHeight="1" x14ac:dyDescent="0.2">
      <c r="A229" s="12"/>
      <c r="B229" s="16"/>
      <c r="C229" s="16"/>
      <c r="D229" s="12"/>
      <c r="E229" s="12"/>
      <c r="F229" s="12"/>
      <c r="G229" s="12"/>
      <c r="H229" s="12"/>
      <c r="I229" s="12"/>
      <c r="J229" s="12"/>
      <c r="K229" s="12"/>
      <c r="L229" s="12"/>
      <c r="M229" s="12"/>
      <c r="N229" s="16"/>
      <c r="O229" s="41"/>
      <c r="P229" s="41"/>
      <c r="Q229" s="41"/>
      <c r="R229" s="41"/>
      <c r="S229" s="41"/>
      <c r="T229" s="41"/>
      <c r="U229" s="41"/>
      <c r="V229" s="41"/>
      <c r="W229" s="41"/>
      <c r="X229" s="41"/>
      <c r="Y229" s="41"/>
      <c r="Z229" s="41"/>
    </row>
    <row r="230" spans="1:26" ht="15.75" customHeight="1" x14ac:dyDescent="0.2">
      <c r="A230" s="12"/>
      <c r="B230" s="16"/>
      <c r="C230" s="16"/>
      <c r="D230" s="12"/>
      <c r="E230" s="12"/>
      <c r="F230" s="12"/>
      <c r="G230" s="12"/>
      <c r="H230" s="12"/>
      <c r="I230" s="12"/>
      <c r="J230" s="12"/>
      <c r="K230" s="12"/>
      <c r="L230" s="12"/>
      <c r="M230" s="12"/>
      <c r="N230" s="16"/>
      <c r="O230" s="41"/>
      <c r="P230" s="41"/>
      <c r="Q230" s="41"/>
      <c r="R230" s="41"/>
      <c r="S230" s="41"/>
      <c r="T230" s="41"/>
      <c r="U230" s="41"/>
      <c r="V230" s="41"/>
      <c r="W230" s="41"/>
      <c r="X230" s="41"/>
      <c r="Y230" s="41"/>
      <c r="Z230" s="41"/>
    </row>
    <row r="231" spans="1:26" ht="15.75" customHeight="1" x14ac:dyDescent="0.2">
      <c r="A231" s="12"/>
      <c r="B231" s="16"/>
      <c r="C231" s="16"/>
      <c r="D231" s="12"/>
      <c r="E231" s="12"/>
      <c r="F231" s="12"/>
      <c r="G231" s="12"/>
      <c r="H231" s="12"/>
      <c r="I231" s="12"/>
      <c r="J231" s="12"/>
      <c r="K231" s="12"/>
      <c r="L231" s="12"/>
      <c r="M231" s="12"/>
      <c r="N231" s="16"/>
      <c r="O231" s="41"/>
      <c r="P231" s="41"/>
      <c r="Q231" s="41"/>
      <c r="R231" s="41"/>
      <c r="S231" s="41"/>
      <c r="T231" s="41"/>
      <c r="U231" s="41"/>
      <c r="V231" s="41"/>
      <c r="W231" s="41"/>
      <c r="X231" s="41"/>
      <c r="Y231" s="41"/>
      <c r="Z231" s="41"/>
    </row>
    <row r="232" spans="1:26" ht="15.75" customHeight="1" x14ac:dyDescent="0.2">
      <c r="A232" s="12"/>
      <c r="B232" s="16"/>
      <c r="C232" s="16"/>
      <c r="D232" s="12"/>
      <c r="E232" s="12"/>
      <c r="F232" s="12"/>
      <c r="G232" s="12"/>
      <c r="H232" s="12"/>
      <c r="I232" s="12"/>
      <c r="J232" s="12"/>
      <c r="K232" s="12"/>
      <c r="L232" s="12"/>
      <c r="M232" s="12"/>
      <c r="N232" s="16"/>
      <c r="O232" s="41"/>
      <c r="P232" s="41"/>
      <c r="Q232" s="41"/>
      <c r="R232" s="41"/>
      <c r="S232" s="41"/>
      <c r="T232" s="41"/>
      <c r="U232" s="41"/>
      <c r="V232" s="41"/>
      <c r="W232" s="41"/>
      <c r="X232" s="41"/>
      <c r="Y232" s="41"/>
      <c r="Z232" s="41"/>
    </row>
    <row r="233" spans="1:26" ht="15.75" customHeight="1" x14ac:dyDescent="0.2">
      <c r="A233" s="12"/>
      <c r="B233" s="16"/>
      <c r="C233" s="16"/>
      <c r="D233" s="12"/>
      <c r="E233" s="12"/>
      <c r="F233" s="12"/>
      <c r="G233" s="12"/>
      <c r="H233" s="12"/>
      <c r="I233" s="12"/>
      <c r="J233" s="12"/>
      <c r="K233" s="12"/>
      <c r="L233" s="12"/>
      <c r="M233" s="12"/>
      <c r="N233" s="16"/>
      <c r="O233" s="41"/>
      <c r="P233" s="41"/>
      <c r="Q233" s="41"/>
      <c r="R233" s="41"/>
      <c r="S233" s="41"/>
      <c r="T233" s="41"/>
      <c r="U233" s="41"/>
      <c r="V233" s="41"/>
      <c r="W233" s="41"/>
      <c r="X233" s="41"/>
      <c r="Y233" s="41"/>
      <c r="Z233" s="41"/>
    </row>
    <row r="234" spans="1:26" ht="15.75" customHeight="1" x14ac:dyDescent="0.2">
      <c r="A234" s="12"/>
      <c r="B234" s="16"/>
      <c r="C234" s="16"/>
      <c r="D234" s="12"/>
      <c r="E234" s="12"/>
      <c r="F234" s="12"/>
      <c r="G234" s="12"/>
      <c r="H234" s="12"/>
      <c r="I234" s="12"/>
      <c r="J234" s="12"/>
      <c r="K234" s="12"/>
      <c r="L234" s="12"/>
      <c r="M234" s="12"/>
      <c r="N234" s="16"/>
      <c r="O234" s="41"/>
      <c r="P234" s="41"/>
      <c r="Q234" s="41"/>
      <c r="R234" s="41"/>
      <c r="S234" s="41"/>
      <c r="T234" s="41"/>
      <c r="U234" s="41"/>
      <c r="V234" s="41"/>
      <c r="W234" s="41"/>
      <c r="X234" s="41"/>
      <c r="Y234" s="41"/>
      <c r="Z234" s="41"/>
    </row>
    <row r="235" spans="1:26" ht="15.75" customHeight="1" x14ac:dyDescent="0.2">
      <c r="A235" s="12"/>
      <c r="B235" s="16"/>
      <c r="C235" s="16"/>
      <c r="D235" s="12"/>
      <c r="E235" s="12"/>
      <c r="F235" s="12"/>
      <c r="G235" s="12"/>
      <c r="H235" s="12"/>
      <c r="I235" s="12"/>
      <c r="J235" s="12"/>
      <c r="K235" s="12"/>
      <c r="L235" s="12"/>
      <c r="M235" s="12"/>
      <c r="N235" s="16"/>
      <c r="O235" s="41"/>
      <c r="P235" s="41"/>
      <c r="Q235" s="41"/>
      <c r="R235" s="41"/>
      <c r="S235" s="41"/>
      <c r="T235" s="41"/>
      <c r="U235" s="41"/>
      <c r="V235" s="41"/>
      <c r="W235" s="41"/>
      <c r="X235" s="41"/>
      <c r="Y235" s="41"/>
      <c r="Z235" s="41"/>
    </row>
    <row r="236" spans="1:26" ht="15.75" customHeight="1" x14ac:dyDescent="0.2">
      <c r="A236" s="12"/>
      <c r="B236" s="16"/>
      <c r="C236" s="16"/>
      <c r="D236" s="12"/>
      <c r="E236" s="12"/>
      <c r="F236" s="12"/>
      <c r="G236" s="12"/>
      <c r="H236" s="12"/>
      <c r="I236" s="12"/>
      <c r="J236" s="12"/>
      <c r="K236" s="12"/>
      <c r="L236" s="12"/>
      <c r="M236" s="12"/>
      <c r="N236" s="16"/>
      <c r="O236" s="41"/>
      <c r="P236" s="41"/>
      <c r="Q236" s="41"/>
      <c r="R236" s="41"/>
      <c r="S236" s="41"/>
      <c r="T236" s="41"/>
      <c r="U236" s="41"/>
      <c r="V236" s="41"/>
      <c r="W236" s="41"/>
      <c r="X236" s="41"/>
      <c r="Y236" s="41"/>
      <c r="Z236" s="41"/>
    </row>
    <row r="237" spans="1:26" ht="15.75" customHeight="1" x14ac:dyDescent="0.2">
      <c r="A237" s="12"/>
      <c r="B237" s="16"/>
      <c r="C237" s="16"/>
      <c r="D237" s="12"/>
      <c r="E237" s="12"/>
      <c r="F237" s="12"/>
      <c r="G237" s="12"/>
      <c r="H237" s="12"/>
      <c r="I237" s="12"/>
      <c r="J237" s="12"/>
      <c r="K237" s="12"/>
      <c r="L237" s="12"/>
      <c r="M237" s="12"/>
      <c r="N237" s="16"/>
      <c r="O237" s="41"/>
      <c r="P237" s="41"/>
      <c r="Q237" s="41"/>
      <c r="R237" s="41"/>
      <c r="S237" s="41"/>
      <c r="T237" s="41"/>
      <c r="U237" s="41"/>
      <c r="V237" s="41"/>
      <c r="W237" s="41"/>
      <c r="X237" s="41"/>
      <c r="Y237" s="41"/>
      <c r="Z237" s="41"/>
    </row>
    <row r="238" spans="1:26" ht="15.75" customHeight="1" x14ac:dyDescent="0.2">
      <c r="A238" s="12"/>
      <c r="B238" s="16"/>
      <c r="C238" s="16"/>
      <c r="D238" s="12"/>
      <c r="E238" s="12"/>
      <c r="F238" s="12"/>
      <c r="G238" s="12"/>
      <c r="H238" s="12"/>
      <c r="I238" s="12"/>
      <c r="J238" s="12"/>
      <c r="K238" s="12"/>
      <c r="L238" s="12"/>
      <c r="M238" s="12"/>
      <c r="N238" s="16"/>
      <c r="O238" s="41"/>
      <c r="P238" s="41"/>
      <c r="Q238" s="41"/>
      <c r="R238" s="41"/>
      <c r="S238" s="41"/>
      <c r="T238" s="41"/>
      <c r="U238" s="41"/>
      <c r="V238" s="41"/>
      <c r="W238" s="41"/>
      <c r="X238" s="41"/>
      <c r="Y238" s="41"/>
      <c r="Z238" s="41"/>
    </row>
    <row r="239" spans="1:26" ht="15.75" customHeight="1" x14ac:dyDescent="0.2">
      <c r="A239" s="12"/>
      <c r="B239" s="16"/>
      <c r="C239" s="16"/>
      <c r="D239" s="12"/>
      <c r="E239" s="12"/>
      <c r="F239" s="12"/>
      <c r="G239" s="12"/>
      <c r="H239" s="12"/>
      <c r="I239" s="12"/>
      <c r="J239" s="12"/>
      <c r="K239" s="12"/>
      <c r="L239" s="12"/>
      <c r="M239" s="12"/>
      <c r="N239" s="16"/>
      <c r="O239" s="41"/>
      <c r="P239" s="41"/>
      <c r="Q239" s="41"/>
      <c r="R239" s="41"/>
      <c r="S239" s="41"/>
      <c r="T239" s="41"/>
      <c r="U239" s="41"/>
      <c r="V239" s="41"/>
      <c r="W239" s="41"/>
      <c r="X239" s="41"/>
      <c r="Y239" s="41"/>
      <c r="Z239" s="41"/>
    </row>
    <row r="240" spans="1:26" ht="15.75" customHeight="1" x14ac:dyDescent="0.2">
      <c r="A240" s="12"/>
      <c r="B240" s="16"/>
      <c r="C240" s="16"/>
      <c r="D240" s="12"/>
      <c r="E240" s="12"/>
      <c r="F240" s="12"/>
      <c r="G240" s="12"/>
      <c r="H240" s="12"/>
      <c r="I240" s="12"/>
      <c r="J240" s="12"/>
      <c r="K240" s="12"/>
      <c r="L240" s="12"/>
      <c r="M240" s="12"/>
      <c r="N240" s="16"/>
      <c r="O240" s="41"/>
      <c r="P240" s="41"/>
      <c r="Q240" s="41"/>
      <c r="R240" s="41"/>
      <c r="S240" s="41"/>
      <c r="T240" s="41"/>
      <c r="U240" s="41"/>
      <c r="V240" s="41"/>
      <c r="W240" s="41"/>
      <c r="X240" s="41"/>
      <c r="Y240" s="41"/>
      <c r="Z240" s="41"/>
    </row>
    <row r="241" spans="1:26" ht="15.75" customHeight="1" x14ac:dyDescent="0.2">
      <c r="A241" s="12"/>
      <c r="B241" s="16"/>
      <c r="C241" s="16"/>
      <c r="D241" s="12"/>
      <c r="E241" s="12"/>
      <c r="F241" s="12"/>
      <c r="G241" s="12"/>
      <c r="H241" s="12"/>
      <c r="I241" s="12"/>
      <c r="J241" s="12"/>
      <c r="K241" s="12"/>
      <c r="L241" s="12"/>
      <c r="M241" s="12"/>
      <c r="N241" s="16"/>
      <c r="O241" s="41"/>
      <c r="P241" s="41"/>
      <c r="Q241" s="41"/>
      <c r="R241" s="41"/>
      <c r="S241" s="41"/>
      <c r="T241" s="41"/>
      <c r="U241" s="41"/>
      <c r="V241" s="41"/>
      <c r="W241" s="41"/>
      <c r="X241" s="41"/>
      <c r="Y241" s="41"/>
      <c r="Z241" s="41"/>
    </row>
    <row r="242" spans="1:26" ht="15.75" customHeight="1" x14ac:dyDescent="0.2">
      <c r="A242" s="12"/>
      <c r="B242" s="16"/>
      <c r="C242" s="16"/>
      <c r="D242" s="12"/>
      <c r="E242" s="12"/>
      <c r="F242" s="12"/>
      <c r="G242" s="12"/>
      <c r="H242" s="12"/>
      <c r="I242" s="12"/>
      <c r="J242" s="12"/>
      <c r="K242" s="12"/>
      <c r="L242" s="12"/>
      <c r="M242" s="12"/>
      <c r="N242" s="16"/>
      <c r="O242" s="41"/>
      <c r="P242" s="41"/>
      <c r="Q242" s="41"/>
      <c r="R242" s="41"/>
      <c r="S242" s="41"/>
      <c r="T242" s="41"/>
      <c r="U242" s="41"/>
      <c r="V242" s="41"/>
      <c r="W242" s="41"/>
      <c r="X242" s="41"/>
      <c r="Y242" s="41"/>
      <c r="Z242" s="41"/>
    </row>
    <row r="243" spans="1:26" ht="15.75" customHeight="1" x14ac:dyDescent="0.2">
      <c r="A243" s="12"/>
      <c r="B243" s="16"/>
      <c r="C243" s="16"/>
      <c r="D243" s="12"/>
      <c r="E243" s="12"/>
      <c r="F243" s="12"/>
      <c r="G243" s="12"/>
      <c r="H243" s="12"/>
      <c r="I243" s="12"/>
      <c r="J243" s="12"/>
      <c r="K243" s="12"/>
      <c r="L243" s="12"/>
      <c r="M243" s="12"/>
      <c r="N243" s="16"/>
      <c r="O243" s="41"/>
      <c r="P243" s="41"/>
      <c r="Q243" s="41"/>
      <c r="R243" s="41"/>
      <c r="S243" s="41"/>
      <c r="T243" s="41"/>
      <c r="U243" s="41"/>
      <c r="V243" s="41"/>
      <c r="W243" s="41"/>
      <c r="X243" s="41"/>
      <c r="Y243" s="41"/>
      <c r="Z243" s="41"/>
    </row>
    <row r="244" spans="1:26" ht="15.75" customHeight="1" x14ac:dyDescent="0.2">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x14ac:dyDescent="0.2">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x14ac:dyDescent="0.2">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x14ac:dyDescent="0.2">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x14ac:dyDescent="0.2">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x14ac:dyDescent="0.2">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x14ac:dyDescent="0.2">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x14ac:dyDescent="0.2">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x14ac:dyDescent="0.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x14ac:dyDescent="0.2">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x14ac:dyDescent="0.2">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x14ac:dyDescent="0.2">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x14ac:dyDescent="0.2">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x14ac:dyDescent="0.2">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x14ac:dyDescent="0.2">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x14ac:dyDescent="0.2">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x14ac:dyDescent="0.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2">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2">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2">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2">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2">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2">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2">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2">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2">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2">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2">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2">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2">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2">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2">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2">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2">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2">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2">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2">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2">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2">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2">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2">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2">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2">
    <mergeCell ref="A2:C2"/>
    <mergeCell ref="H34:I34"/>
  </mergeCells>
  <hyperlinks>
    <hyperlink ref="A2" r:id="rId1" xr:uid="{00000000-0004-0000-0300-000000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heetViews>
  <sheetFormatPr baseColWidth="10" defaultColWidth="14.5" defaultRowHeight="15" customHeight="1" x14ac:dyDescent="0.15"/>
  <cols>
    <col min="1" max="1" width="15.5" customWidth="1"/>
    <col min="2" max="3" width="20" customWidth="1"/>
    <col min="4" max="4" width="15.5" customWidth="1"/>
    <col min="5" max="6" width="13.5" customWidth="1"/>
    <col min="7" max="7" width="9.1640625" customWidth="1"/>
    <col min="8" max="8" width="35.5" customWidth="1"/>
    <col min="9" max="9" width="15.6640625" customWidth="1"/>
    <col min="10" max="10" width="4.83203125" customWidth="1"/>
    <col min="11" max="11" width="31.5" customWidth="1"/>
    <col min="12" max="12" width="17.1640625" customWidth="1"/>
    <col min="13" max="13" width="6.5" customWidth="1"/>
    <col min="14" max="14" width="83.83203125" customWidth="1"/>
  </cols>
  <sheetData>
    <row r="1" spans="1:26" ht="15.75" customHeight="1" x14ac:dyDescent="0.2">
      <c r="A1" s="38" t="s">
        <v>213</v>
      </c>
      <c r="B1" s="2"/>
      <c r="C1" s="2"/>
      <c r="D1" s="2"/>
      <c r="E1" s="2"/>
      <c r="F1" s="40"/>
      <c r="G1" s="40"/>
      <c r="H1" s="38" t="s">
        <v>214</v>
      </c>
      <c r="I1" s="40"/>
      <c r="J1" s="40"/>
      <c r="K1" s="73"/>
      <c r="L1" s="40"/>
      <c r="M1" s="40"/>
      <c r="N1" s="84"/>
      <c r="O1" s="41"/>
      <c r="P1" s="41"/>
      <c r="Q1" s="41"/>
      <c r="R1" s="41"/>
      <c r="S1" s="41"/>
      <c r="T1" s="41"/>
      <c r="U1" s="41"/>
      <c r="V1" s="41"/>
      <c r="W1" s="41"/>
      <c r="X1" s="41"/>
      <c r="Y1" s="41"/>
      <c r="Z1" s="41"/>
    </row>
    <row r="2" spans="1:26" ht="28.5" customHeight="1" x14ac:dyDescent="0.2">
      <c r="A2" s="218" t="s">
        <v>215</v>
      </c>
      <c r="B2" s="217"/>
      <c r="C2" s="217"/>
      <c r="D2" s="217"/>
      <c r="E2" s="12"/>
      <c r="F2" s="12"/>
      <c r="G2" s="12"/>
      <c r="H2" s="44" t="s">
        <v>73</v>
      </c>
      <c r="I2" s="45"/>
      <c r="J2" s="12"/>
      <c r="K2" s="44" t="s">
        <v>74</v>
      </c>
      <c r="L2" s="45"/>
      <c r="M2" s="12"/>
      <c r="N2" s="46" t="s">
        <v>76</v>
      </c>
      <c r="O2" s="41"/>
      <c r="P2" s="41"/>
      <c r="Q2" s="41"/>
      <c r="R2" s="41"/>
      <c r="S2" s="41"/>
      <c r="T2" s="41"/>
      <c r="U2" s="41"/>
      <c r="V2" s="41"/>
      <c r="W2" s="41"/>
      <c r="X2" s="41"/>
      <c r="Y2" s="41"/>
      <c r="Z2" s="41"/>
    </row>
    <row r="3" spans="1:26" ht="28.5" customHeight="1" x14ac:dyDescent="0.2">
      <c r="A3" s="7" t="s">
        <v>18</v>
      </c>
      <c r="B3" s="7" t="s">
        <v>77</v>
      </c>
      <c r="C3" s="7" t="s">
        <v>78</v>
      </c>
      <c r="D3" s="47" t="s">
        <v>79</v>
      </c>
      <c r="E3" s="47" t="s">
        <v>80</v>
      </c>
      <c r="F3" s="48" t="s">
        <v>81</v>
      </c>
      <c r="G3" s="12"/>
      <c r="H3" s="49" t="s">
        <v>82</v>
      </c>
      <c r="I3" s="85" t="s">
        <v>216</v>
      </c>
      <c r="J3" s="36"/>
      <c r="K3" s="49" t="s">
        <v>84</v>
      </c>
      <c r="L3" s="85" t="s">
        <v>217</v>
      </c>
      <c r="M3" s="12"/>
      <c r="N3" s="57" t="s">
        <v>100</v>
      </c>
      <c r="O3" s="41"/>
      <c r="P3" s="41"/>
      <c r="Q3" s="41"/>
      <c r="R3" s="41"/>
      <c r="S3" s="41"/>
      <c r="T3" s="41"/>
      <c r="U3" s="41"/>
      <c r="V3" s="41"/>
      <c r="W3" s="41"/>
      <c r="X3" s="41"/>
      <c r="Y3" s="41"/>
      <c r="Z3" s="41"/>
    </row>
    <row r="4" spans="1:26" ht="28.5" customHeight="1" x14ac:dyDescent="0.2">
      <c r="A4" s="16">
        <v>0</v>
      </c>
      <c r="B4" s="43" t="s">
        <v>218</v>
      </c>
      <c r="C4" s="43" t="s">
        <v>219</v>
      </c>
      <c r="D4" s="15">
        <f>I32*I38</f>
        <v>1.8212655621600002</v>
      </c>
      <c r="E4" s="15">
        <f>(8*I32)+L16</f>
        <v>1.7226000000000004</v>
      </c>
      <c r="F4" s="15">
        <f t="shared" ref="F4:F39" si="0">IFERROR(D4+E4,"error")</f>
        <v>3.5438655621600006</v>
      </c>
      <c r="G4" s="12"/>
      <c r="H4" s="52" t="s">
        <v>91</v>
      </c>
      <c r="I4" s="77">
        <v>10</v>
      </c>
      <c r="J4" s="12"/>
      <c r="K4" s="52" t="s">
        <v>92</v>
      </c>
      <c r="L4" s="77">
        <v>3</v>
      </c>
      <c r="M4" s="12"/>
      <c r="N4" s="86"/>
      <c r="O4" s="41"/>
      <c r="P4" s="41"/>
      <c r="Q4" s="41"/>
      <c r="R4" s="41"/>
      <c r="S4" s="41"/>
      <c r="T4" s="41"/>
      <c r="U4" s="41"/>
      <c r="V4" s="41"/>
      <c r="W4" s="41"/>
      <c r="X4" s="41"/>
      <c r="Y4" s="41"/>
      <c r="Z4" s="41"/>
    </row>
    <row r="5" spans="1:26" ht="28.5" customHeight="1" x14ac:dyDescent="0.2">
      <c r="A5" s="16">
        <v>1</v>
      </c>
      <c r="B5" s="43" t="s">
        <v>220</v>
      </c>
      <c r="C5" s="43" t="s">
        <v>221</v>
      </c>
      <c r="D5" s="15">
        <f>L16</f>
        <v>0.29700000000000004</v>
      </c>
      <c r="E5" s="15">
        <v>0</v>
      </c>
      <c r="F5" s="15">
        <f t="shared" si="0"/>
        <v>0.29700000000000004</v>
      </c>
      <c r="G5" s="12"/>
      <c r="H5" s="52" t="s">
        <v>97</v>
      </c>
      <c r="I5" s="87">
        <v>0.99</v>
      </c>
      <c r="J5" s="12"/>
      <c r="K5" s="55" t="s">
        <v>98</v>
      </c>
      <c r="L5" s="79">
        <v>13</v>
      </c>
      <c r="M5" s="12"/>
      <c r="N5" s="86"/>
      <c r="O5" s="41"/>
      <c r="P5" s="41"/>
      <c r="Q5" s="41"/>
      <c r="R5" s="41"/>
      <c r="S5" s="41"/>
      <c r="T5" s="41"/>
      <c r="U5" s="41"/>
      <c r="V5" s="41"/>
      <c r="W5" s="41"/>
      <c r="X5" s="41"/>
      <c r="Y5" s="41"/>
      <c r="Z5" s="41"/>
    </row>
    <row r="6" spans="1:26" ht="28.5" customHeight="1" x14ac:dyDescent="0.2">
      <c r="A6" s="16">
        <v>2</v>
      </c>
      <c r="B6" s="43" t="s">
        <v>222</v>
      </c>
      <c r="C6" s="43" t="s">
        <v>223</v>
      </c>
      <c r="D6" s="15">
        <f>L6</f>
        <v>0.42899999999999999</v>
      </c>
      <c r="E6" s="15">
        <f>((I38*L6)/4)</f>
        <v>1.0961320512999999</v>
      </c>
      <c r="F6" s="15">
        <f t="shared" si="0"/>
        <v>1.5251320513</v>
      </c>
      <c r="G6" s="12"/>
      <c r="H6" s="58" t="s">
        <v>104</v>
      </c>
      <c r="I6" s="60">
        <f>I5/I4</f>
        <v>9.9000000000000005E-2</v>
      </c>
      <c r="J6" s="12"/>
      <c r="K6" s="58" t="s">
        <v>104</v>
      </c>
      <c r="L6" s="60">
        <f>L5/L4*$I$6</f>
        <v>0.42899999999999999</v>
      </c>
      <c r="M6" s="12"/>
      <c r="N6" s="88"/>
      <c r="O6" s="41"/>
      <c r="P6" s="41"/>
      <c r="Q6" s="41"/>
      <c r="R6" s="41"/>
      <c r="S6" s="41"/>
      <c r="T6" s="41"/>
      <c r="U6" s="41"/>
      <c r="V6" s="41"/>
      <c r="W6" s="41"/>
      <c r="X6" s="41"/>
      <c r="Y6" s="41"/>
      <c r="Z6" s="41"/>
    </row>
    <row r="7" spans="1:26" ht="28.5" customHeight="1" x14ac:dyDescent="0.2">
      <c r="A7" s="16">
        <v>3</v>
      </c>
      <c r="B7" s="43" t="s">
        <v>224</v>
      </c>
      <c r="C7" s="43" t="s">
        <v>225</v>
      </c>
      <c r="D7" s="15">
        <f>L11</f>
        <v>0.627</v>
      </c>
      <c r="E7" s="15">
        <f>L31</f>
        <v>0.89100000000000001</v>
      </c>
      <c r="F7" s="15">
        <f t="shared" si="0"/>
        <v>1.518</v>
      </c>
      <c r="G7" s="12"/>
      <c r="H7" s="61"/>
      <c r="I7" s="89"/>
      <c r="J7" s="12"/>
      <c r="K7" s="52"/>
      <c r="L7" s="79"/>
      <c r="M7" s="12"/>
      <c r="N7" s="86"/>
      <c r="O7" s="41"/>
      <c r="P7" s="41"/>
      <c r="Q7" s="41"/>
      <c r="R7" s="41"/>
      <c r="S7" s="41"/>
      <c r="T7" s="41"/>
      <c r="U7" s="41"/>
      <c r="V7" s="41"/>
      <c r="W7" s="41"/>
      <c r="X7" s="41"/>
      <c r="Y7" s="41"/>
      <c r="Z7" s="41"/>
    </row>
    <row r="8" spans="1:26" ht="28.5" customHeight="1" x14ac:dyDescent="0.2">
      <c r="A8" s="16">
        <v>4</v>
      </c>
      <c r="B8" s="43" t="s">
        <v>218</v>
      </c>
      <c r="C8" s="43" t="s">
        <v>226</v>
      </c>
      <c r="D8" s="15">
        <f>((I38*I32))</f>
        <v>1.8212655621600002</v>
      </c>
      <c r="E8" s="15">
        <f>60*I11</f>
        <v>0</v>
      </c>
      <c r="F8" s="15">
        <f t="shared" si="0"/>
        <v>1.8212655621600002</v>
      </c>
      <c r="G8" s="12"/>
      <c r="H8" s="49" t="s">
        <v>110</v>
      </c>
      <c r="I8" s="50" t="s">
        <v>227</v>
      </c>
      <c r="J8" s="36"/>
      <c r="K8" s="49" t="s">
        <v>112</v>
      </c>
      <c r="L8" s="83" t="s">
        <v>228</v>
      </c>
      <c r="M8" s="12"/>
      <c r="N8" s="63"/>
      <c r="O8" s="41"/>
      <c r="P8" s="41"/>
      <c r="Q8" s="41"/>
      <c r="R8" s="41"/>
      <c r="S8" s="41"/>
      <c r="T8" s="41"/>
      <c r="U8" s="41"/>
      <c r="V8" s="41"/>
      <c r="W8" s="41"/>
      <c r="X8" s="41"/>
      <c r="Y8" s="41"/>
      <c r="Z8" s="41"/>
    </row>
    <row r="9" spans="1:26" ht="28.5" customHeight="1" x14ac:dyDescent="0.2">
      <c r="A9" s="16">
        <v>5</v>
      </c>
      <c r="B9" s="43" t="s">
        <v>220</v>
      </c>
      <c r="C9" s="43" t="s">
        <v>229</v>
      </c>
      <c r="D9" s="15">
        <f>L16</f>
        <v>0.29700000000000004</v>
      </c>
      <c r="E9" s="15">
        <f>2*L36</f>
        <v>1.254</v>
      </c>
      <c r="F9" s="15">
        <f t="shared" si="0"/>
        <v>1.5510000000000002</v>
      </c>
      <c r="G9" s="12"/>
      <c r="H9" s="52" t="s">
        <v>117</v>
      </c>
      <c r="I9" s="53">
        <v>1</v>
      </c>
      <c r="J9" s="12"/>
      <c r="K9" s="52" t="s">
        <v>92</v>
      </c>
      <c r="L9" s="77">
        <v>3</v>
      </c>
      <c r="M9" s="12"/>
      <c r="N9" s="86"/>
      <c r="O9" s="41"/>
      <c r="P9" s="41"/>
      <c r="Q9" s="41"/>
      <c r="R9" s="41"/>
      <c r="S9" s="41"/>
      <c r="T9" s="41"/>
      <c r="U9" s="41"/>
      <c r="V9" s="41"/>
      <c r="W9" s="41"/>
      <c r="X9" s="41"/>
      <c r="Y9" s="41"/>
      <c r="Z9" s="41"/>
    </row>
    <row r="10" spans="1:26" ht="28.5" customHeight="1" x14ac:dyDescent="0.2">
      <c r="A10" s="16">
        <v>6</v>
      </c>
      <c r="B10" s="43" t="s">
        <v>222</v>
      </c>
      <c r="C10" s="43" t="s">
        <v>230</v>
      </c>
      <c r="D10" s="15">
        <f>L6</f>
        <v>0.42899999999999999</v>
      </c>
      <c r="E10" s="15">
        <v>0</v>
      </c>
      <c r="F10" s="15">
        <f t="shared" si="0"/>
        <v>0.42899999999999999</v>
      </c>
      <c r="G10" s="12"/>
      <c r="H10" s="55" t="s">
        <v>139</v>
      </c>
      <c r="I10" s="56">
        <v>0</v>
      </c>
      <c r="J10" s="12"/>
      <c r="K10" s="55" t="s">
        <v>98</v>
      </c>
      <c r="L10" s="79">
        <v>19</v>
      </c>
      <c r="M10" s="12"/>
      <c r="N10" s="86"/>
      <c r="O10" s="41"/>
      <c r="P10" s="41"/>
      <c r="Q10" s="41"/>
      <c r="R10" s="41"/>
      <c r="S10" s="41"/>
      <c r="T10" s="41"/>
      <c r="U10" s="41"/>
      <c r="V10" s="41"/>
      <c r="W10" s="41"/>
      <c r="X10" s="41"/>
      <c r="Y10" s="41"/>
      <c r="Z10" s="41"/>
    </row>
    <row r="11" spans="1:26" ht="28.5" customHeight="1" x14ac:dyDescent="0.2">
      <c r="A11" s="16">
        <v>7</v>
      </c>
      <c r="B11" s="43" t="s">
        <v>224</v>
      </c>
      <c r="C11" s="43" t="s">
        <v>231</v>
      </c>
      <c r="D11" s="15">
        <f>L11</f>
        <v>0.627</v>
      </c>
      <c r="E11" s="15">
        <f>30*I16</f>
        <v>0</v>
      </c>
      <c r="F11" s="15">
        <f t="shared" si="0"/>
        <v>0.627</v>
      </c>
      <c r="G11" s="12"/>
      <c r="H11" s="58" t="s">
        <v>104</v>
      </c>
      <c r="I11" s="60">
        <f>IF(I9="N/A","N/A",I10/I9)</f>
        <v>0</v>
      </c>
      <c r="J11" s="12"/>
      <c r="K11" s="58" t="s">
        <v>104</v>
      </c>
      <c r="L11" s="60">
        <f>L10/L9*$I$6</f>
        <v>0.627</v>
      </c>
      <c r="M11" s="12"/>
      <c r="N11" s="86"/>
      <c r="O11" s="41"/>
      <c r="P11" s="41"/>
      <c r="Q11" s="41"/>
      <c r="R11" s="41"/>
      <c r="S11" s="41"/>
      <c r="T11" s="41"/>
      <c r="U11" s="41"/>
      <c r="V11" s="41"/>
      <c r="W11" s="41"/>
      <c r="X11" s="41"/>
      <c r="Y11" s="41"/>
      <c r="Z11" s="41"/>
    </row>
    <row r="12" spans="1:26" ht="28.5" customHeight="1" x14ac:dyDescent="0.2">
      <c r="A12" s="16">
        <v>8</v>
      </c>
      <c r="B12" s="43" t="s">
        <v>232</v>
      </c>
      <c r="C12" s="43" t="s">
        <v>233</v>
      </c>
      <c r="D12" s="15">
        <f>((I38*I32)*2)</f>
        <v>3.6425311243200005</v>
      </c>
      <c r="E12" s="15">
        <f>2*L21</f>
        <v>1.254</v>
      </c>
      <c r="F12" s="15">
        <f t="shared" si="0"/>
        <v>4.8965311243200009</v>
      </c>
      <c r="G12" s="12"/>
      <c r="H12" s="52"/>
      <c r="I12" s="79"/>
      <c r="J12" s="12"/>
      <c r="K12" s="52"/>
      <c r="L12" s="90"/>
      <c r="M12" s="12"/>
      <c r="N12" s="86"/>
      <c r="O12" s="41"/>
      <c r="P12" s="41"/>
      <c r="Q12" s="41"/>
      <c r="R12" s="41"/>
      <c r="S12" s="41"/>
      <c r="T12" s="41"/>
      <c r="U12" s="41"/>
      <c r="V12" s="41"/>
      <c r="W12" s="41"/>
      <c r="X12" s="41"/>
      <c r="Y12" s="41"/>
      <c r="Z12" s="41"/>
    </row>
    <row r="13" spans="1:26" ht="28.5" customHeight="1" x14ac:dyDescent="0.2">
      <c r="A13" s="16">
        <v>9</v>
      </c>
      <c r="B13" s="43" t="s">
        <v>234</v>
      </c>
      <c r="C13" s="43" t="s">
        <v>235</v>
      </c>
      <c r="D13" s="15">
        <f>L16</f>
        <v>0.29700000000000004</v>
      </c>
      <c r="E13" s="15">
        <f>((I38*L16)/2)</f>
        <v>1.5177213018000002</v>
      </c>
      <c r="F13" s="15">
        <f t="shared" si="0"/>
        <v>1.8147213018000001</v>
      </c>
      <c r="G13" s="12"/>
      <c r="H13" s="49" t="s">
        <v>236</v>
      </c>
      <c r="I13" s="50" t="s">
        <v>237</v>
      </c>
      <c r="J13" s="36"/>
      <c r="K13" s="49" t="s">
        <v>131</v>
      </c>
      <c r="L13" s="85" t="s">
        <v>238</v>
      </c>
      <c r="M13" s="12"/>
      <c r="N13" s="88"/>
      <c r="O13" s="41"/>
      <c r="P13" s="41"/>
      <c r="Q13" s="41"/>
      <c r="R13" s="41"/>
      <c r="S13" s="41"/>
      <c r="T13" s="41"/>
      <c r="U13" s="41"/>
      <c r="V13" s="41"/>
      <c r="W13" s="41"/>
      <c r="X13" s="41"/>
      <c r="Y13" s="41"/>
      <c r="Z13" s="41"/>
    </row>
    <row r="14" spans="1:26" ht="28.5" customHeight="1" x14ac:dyDescent="0.2">
      <c r="A14" s="16">
        <v>10</v>
      </c>
      <c r="B14" s="43" t="s">
        <v>239</v>
      </c>
      <c r="C14" s="43" t="s">
        <v>240</v>
      </c>
      <c r="D14" s="15">
        <v>0</v>
      </c>
      <c r="E14" s="15">
        <v>0</v>
      </c>
      <c r="F14" s="15">
        <f t="shared" si="0"/>
        <v>0</v>
      </c>
      <c r="G14" s="12"/>
      <c r="H14" s="52" t="s">
        <v>117</v>
      </c>
      <c r="I14" s="53">
        <v>1</v>
      </c>
      <c r="J14" s="12"/>
      <c r="K14" s="52" t="s">
        <v>92</v>
      </c>
      <c r="L14" s="77">
        <v>3</v>
      </c>
      <c r="M14" s="12"/>
      <c r="N14" s="91"/>
      <c r="O14" s="41"/>
      <c r="P14" s="41"/>
      <c r="Q14" s="41"/>
      <c r="R14" s="41"/>
      <c r="S14" s="41"/>
      <c r="T14" s="41"/>
      <c r="U14" s="41"/>
      <c r="V14" s="41"/>
      <c r="W14" s="41"/>
      <c r="X14" s="41"/>
      <c r="Y14" s="41"/>
      <c r="Z14" s="41"/>
    </row>
    <row r="15" spans="1:26" ht="28.5" customHeight="1" x14ac:dyDescent="0.2">
      <c r="A15" s="16">
        <v>11</v>
      </c>
      <c r="B15" s="43" t="s">
        <v>222</v>
      </c>
      <c r="C15" s="43" t="s">
        <v>241</v>
      </c>
      <c r="D15" s="15">
        <f>L6</f>
        <v>0.42899999999999999</v>
      </c>
      <c r="E15" s="15">
        <f>L26</f>
        <v>1.617</v>
      </c>
      <c r="F15" s="15">
        <f t="shared" si="0"/>
        <v>2.0459999999999998</v>
      </c>
      <c r="G15" s="12"/>
      <c r="H15" s="55" t="s">
        <v>139</v>
      </c>
      <c r="I15" s="56">
        <v>0</v>
      </c>
      <c r="J15" s="12"/>
      <c r="K15" s="55" t="s">
        <v>98</v>
      </c>
      <c r="L15" s="79">
        <v>9</v>
      </c>
      <c r="M15" s="12"/>
      <c r="N15" s="22"/>
      <c r="O15" s="41"/>
      <c r="P15" s="41"/>
      <c r="Q15" s="41"/>
      <c r="R15" s="41"/>
      <c r="S15" s="41"/>
      <c r="T15" s="41"/>
      <c r="U15" s="41"/>
      <c r="V15" s="41"/>
      <c r="W15" s="41"/>
      <c r="X15" s="41"/>
      <c r="Y15" s="41"/>
      <c r="Z15" s="41"/>
    </row>
    <row r="16" spans="1:26" ht="28.5" customHeight="1" x14ac:dyDescent="0.2">
      <c r="A16" s="16">
        <v>12</v>
      </c>
      <c r="B16" s="43" t="s">
        <v>224</v>
      </c>
      <c r="C16" s="43" t="s">
        <v>242</v>
      </c>
      <c r="D16" s="15">
        <f>L11</f>
        <v>0.627</v>
      </c>
      <c r="E16" s="15">
        <f>10*I11</f>
        <v>0</v>
      </c>
      <c r="F16" s="15">
        <f t="shared" si="0"/>
        <v>0.627</v>
      </c>
      <c r="G16" s="12"/>
      <c r="H16" s="58" t="s">
        <v>104</v>
      </c>
      <c r="I16" s="59">
        <f>IF(I14="N/A","N/A",I15/I14)</f>
        <v>0</v>
      </c>
      <c r="J16" s="12"/>
      <c r="K16" s="58" t="s">
        <v>104</v>
      </c>
      <c r="L16" s="60">
        <f>L15/L14*$I$6</f>
        <v>0.29700000000000004</v>
      </c>
      <c r="M16" s="12"/>
      <c r="N16" s="22"/>
      <c r="O16" s="41"/>
      <c r="P16" s="41"/>
      <c r="Q16" s="41"/>
      <c r="R16" s="41"/>
      <c r="S16" s="41"/>
      <c r="T16" s="41"/>
      <c r="U16" s="41"/>
      <c r="V16" s="41"/>
      <c r="W16" s="41"/>
      <c r="X16" s="41"/>
      <c r="Y16" s="41"/>
      <c r="Z16" s="41"/>
    </row>
    <row r="17" spans="1:26" ht="28.5" customHeight="1" x14ac:dyDescent="0.2">
      <c r="A17" s="16">
        <v>13</v>
      </c>
      <c r="B17" s="43" t="s">
        <v>232</v>
      </c>
      <c r="C17" s="43" t="s">
        <v>223</v>
      </c>
      <c r="D17" s="15">
        <f>((I38*I32)*2)</f>
        <v>3.6425311243200005</v>
      </c>
      <c r="E17" s="15">
        <f>((I38*L6)/4)</f>
        <v>1.0961320512999999</v>
      </c>
      <c r="F17" s="15">
        <f t="shared" si="0"/>
        <v>4.7386631756200002</v>
      </c>
      <c r="G17" s="12"/>
      <c r="H17" s="52"/>
      <c r="I17" s="90"/>
      <c r="J17" s="12"/>
      <c r="K17" s="12"/>
      <c r="L17" s="87"/>
      <c r="M17" s="12"/>
      <c r="N17" s="22"/>
      <c r="O17" s="41"/>
      <c r="P17" s="41"/>
      <c r="Q17" s="41"/>
      <c r="R17" s="41"/>
      <c r="S17" s="41"/>
      <c r="T17" s="41"/>
      <c r="U17" s="41"/>
      <c r="V17" s="41"/>
      <c r="W17" s="41"/>
      <c r="X17" s="41"/>
      <c r="Y17" s="41"/>
      <c r="Z17" s="41"/>
    </row>
    <row r="18" spans="1:26" ht="28.5" customHeight="1" x14ac:dyDescent="0.2">
      <c r="A18" s="16">
        <v>14</v>
      </c>
      <c r="B18" s="43" t="s">
        <v>220</v>
      </c>
      <c r="C18" s="43" t="s">
        <v>229</v>
      </c>
      <c r="D18" s="15">
        <f>L16</f>
        <v>0.29700000000000004</v>
      </c>
      <c r="E18" s="15">
        <f>2*L36</f>
        <v>1.254</v>
      </c>
      <c r="F18" s="15">
        <f t="shared" si="0"/>
        <v>1.5510000000000002</v>
      </c>
      <c r="G18" s="12"/>
      <c r="H18" s="49" t="s">
        <v>236</v>
      </c>
      <c r="I18" s="50" t="s">
        <v>243</v>
      </c>
      <c r="J18" s="36"/>
      <c r="K18" s="49" t="s">
        <v>143</v>
      </c>
      <c r="L18" s="83" t="s">
        <v>244</v>
      </c>
      <c r="M18" s="12"/>
      <c r="N18" s="22"/>
      <c r="O18" s="41"/>
      <c r="P18" s="41"/>
      <c r="Q18" s="41"/>
      <c r="R18" s="41"/>
      <c r="S18" s="41"/>
      <c r="T18" s="41"/>
      <c r="U18" s="41"/>
      <c r="V18" s="41"/>
      <c r="W18" s="41"/>
      <c r="X18" s="41"/>
      <c r="Y18" s="41"/>
      <c r="Z18" s="41"/>
    </row>
    <row r="19" spans="1:26" ht="28.5" customHeight="1" x14ac:dyDescent="0.2">
      <c r="A19" s="16">
        <v>15</v>
      </c>
      <c r="B19" s="43" t="s">
        <v>245</v>
      </c>
      <c r="C19" s="43" t="s">
        <v>246</v>
      </c>
      <c r="D19" s="15">
        <f>L36</f>
        <v>0.627</v>
      </c>
      <c r="E19" s="15">
        <f>2*L31</f>
        <v>1.782</v>
      </c>
      <c r="F19" s="15">
        <f t="shared" si="0"/>
        <v>2.4089999999999998</v>
      </c>
      <c r="G19" s="12"/>
      <c r="H19" s="52" t="s">
        <v>117</v>
      </c>
      <c r="I19" s="53">
        <v>1</v>
      </c>
      <c r="J19" s="12"/>
      <c r="K19" s="52" t="s">
        <v>92</v>
      </c>
      <c r="L19" s="77">
        <v>3</v>
      </c>
      <c r="M19" s="12"/>
      <c r="N19" s="22"/>
      <c r="O19" s="41"/>
      <c r="P19" s="41"/>
      <c r="Q19" s="41"/>
      <c r="R19" s="41"/>
      <c r="S19" s="41"/>
      <c r="T19" s="41"/>
      <c r="U19" s="41"/>
      <c r="V19" s="41"/>
      <c r="W19" s="41"/>
      <c r="X19" s="41"/>
      <c r="Y19" s="41"/>
      <c r="Z19" s="41"/>
    </row>
    <row r="20" spans="1:26" ht="28.5" customHeight="1" x14ac:dyDescent="0.2">
      <c r="A20" s="16">
        <v>16</v>
      </c>
      <c r="B20" s="43" t="s">
        <v>222</v>
      </c>
      <c r="C20" s="43" t="s">
        <v>247</v>
      </c>
      <c r="D20" s="15">
        <f>L6</f>
        <v>0.42899999999999999</v>
      </c>
      <c r="E20" s="15">
        <f>100*I11</f>
        <v>0</v>
      </c>
      <c r="F20" s="15">
        <f t="shared" si="0"/>
        <v>0.42899999999999999</v>
      </c>
      <c r="G20" s="12"/>
      <c r="H20" s="55" t="s">
        <v>139</v>
      </c>
      <c r="I20" s="56">
        <v>0</v>
      </c>
      <c r="J20" s="12"/>
      <c r="K20" s="55" t="s">
        <v>98</v>
      </c>
      <c r="L20" s="79">
        <v>19</v>
      </c>
      <c r="M20" s="12"/>
      <c r="N20" s="22"/>
      <c r="O20" s="41"/>
      <c r="P20" s="41"/>
      <c r="Q20" s="41"/>
      <c r="R20" s="41"/>
      <c r="S20" s="41"/>
      <c r="T20" s="41"/>
      <c r="U20" s="41"/>
      <c r="V20" s="41"/>
      <c r="W20" s="41"/>
      <c r="X20" s="41"/>
      <c r="Y20" s="41"/>
      <c r="Z20" s="41"/>
    </row>
    <row r="21" spans="1:26" ht="28.5" customHeight="1" x14ac:dyDescent="0.2">
      <c r="A21" s="16">
        <v>17</v>
      </c>
      <c r="B21" s="43" t="s">
        <v>224</v>
      </c>
      <c r="C21" s="43" t="s">
        <v>233</v>
      </c>
      <c r="D21" s="15">
        <f>L11</f>
        <v>0.627</v>
      </c>
      <c r="E21" s="15">
        <f>2*L21</f>
        <v>1.254</v>
      </c>
      <c r="F21" s="15">
        <f t="shared" si="0"/>
        <v>1.881</v>
      </c>
      <c r="G21" s="12"/>
      <c r="H21" s="58" t="s">
        <v>104</v>
      </c>
      <c r="I21" s="59">
        <f>IF(I19="N/A","N/A",I20/I19)</f>
        <v>0</v>
      </c>
      <c r="J21" s="12"/>
      <c r="K21" s="58" t="s">
        <v>104</v>
      </c>
      <c r="L21" s="60">
        <f>L20/L19*$I$6</f>
        <v>0.627</v>
      </c>
      <c r="M21" s="68"/>
      <c r="N21" s="22"/>
      <c r="O21" s="41"/>
      <c r="P21" s="41"/>
      <c r="Q21" s="41"/>
      <c r="R21" s="41"/>
      <c r="S21" s="41"/>
      <c r="T21" s="41"/>
      <c r="U21" s="41"/>
      <c r="V21" s="41"/>
      <c r="W21" s="41"/>
      <c r="X21" s="41"/>
      <c r="Y21" s="41"/>
      <c r="Z21" s="41"/>
    </row>
    <row r="22" spans="1:26" ht="28.5" customHeight="1" x14ac:dyDescent="0.2">
      <c r="A22" s="16">
        <v>18</v>
      </c>
      <c r="B22" s="43" t="s">
        <v>232</v>
      </c>
      <c r="C22" s="43" t="s">
        <v>248</v>
      </c>
      <c r="D22" s="15">
        <f>((I38*I32)*2)</f>
        <v>3.6425311243200005</v>
      </c>
      <c r="E22" s="15">
        <v>0</v>
      </c>
      <c r="F22" s="15">
        <f t="shared" si="0"/>
        <v>3.6425311243200005</v>
      </c>
      <c r="G22" s="12"/>
      <c r="H22" s="12"/>
      <c r="I22" s="87"/>
      <c r="J22" s="12"/>
      <c r="K22" s="64"/>
      <c r="L22" s="92"/>
      <c r="M22" s="68"/>
      <c r="N22" s="22"/>
      <c r="O22" s="41"/>
      <c r="P22" s="41"/>
      <c r="Q22" s="41"/>
      <c r="R22" s="41"/>
      <c r="S22" s="41"/>
      <c r="T22" s="41"/>
      <c r="U22" s="41"/>
      <c r="V22" s="41"/>
      <c r="W22" s="41"/>
      <c r="X22" s="41"/>
      <c r="Y22" s="41"/>
      <c r="Z22" s="41"/>
    </row>
    <row r="23" spans="1:26" ht="28.5" customHeight="1" x14ac:dyDescent="0.2">
      <c r="A23" s="16">
        <v>19</v>
      </c>
      <c r="B23" s="43" t="s">
        <v>220</v>
      </c>
      <c r="C23" s="43" t="s">
        <v>235</v>
      </c>
      <c r="D23" s="15">
        <f>L16</f>
        <v>0.29700000000000004</v>
      </c>
      <c r="E23" s="15">
        <f>((I38*L16)/2)</f>
        <v>1.5177213018000002</v>
      </c>
      <c r="F23" s="15">
        <f t="shared" si="0"/>
        <v>1.8147213018000001</v>
      </c>
      <c r="G23" s="12"/>
      <c r="H23" s="49" t="s">
        <v>236</v>
      </c>
      <c r="I23" s="85" t="s">
        <v>111</v>
      </c>
      <c r="J23" s="36"/>
      <c r="K23" s="49" t="s">
        <v>211</v>
      </c>
      <c r="L23" s="85" t="s">
        <v>249</v>
      </c>
      <c r="M23" s="68"/>
      <c r="N23" s="22"/>
      <c r="O23" s="41"/>
      <c r="P23" s="41"/>
      <c r="Q23" s="41"/>
      <c r="R23" s="41"/>
      <c r="S23" s="41"/>
      <c r="T23" s="41"/>
      <c r="U23" s="41"/>
      <c r="V23" s="41"/>
      <c r="W23" s="41"/>
      <c r="X23" s="41"/>
      <c r="Y23" s="41"/>
      <c r="Z23" s="41"/>
    </row>
    <row r="24" spans="1:26" ht="28.5" customHeight="1" x14ac:dyDescent="0.2">
      <c r="A24" s="16">
        <v>20</v>
      </c>
      <c r="B24" s="43" t="s">
        <v>250</v>
      </c>
      <c r="C24" s="43" t="s">
        <v>240</v>
      </c>
      <c r="D24" s="15">
        <v>0</v>
      </c>
      <c r="E24" s="15">
        <v>0</v>
      </c>
      <c r="F24" s="15">
        <f t="shared" si="0"/>
        <v>0</v>
      </c>
      <c r="G24" s="12"/>
      <c r="H24" s="52" t="s">
        <v>117</v>
      </c>
      <c r="I24" s="77" t="s">
        <v>111</v>
      </c>
      <c r="J24" s="12"/>
      <c r="K24" s="52" t="s">
        <v>92</v>
      </c>
      <c r="L24" s="77">
        <v>3</v>
      </c>
      <c r="M24" s="68"/>
      <c r="N24" s="22"/>
      <c r="O24" s="41"/>
      <c r="P24" s="41"/>
      <c r="Q24" s="41"/>
      <c r="R24" s="41"/>
      <c r="S24" s="41"/>
      <c r="T24" s="41"/>
      <c r="U24" s="41"/>
      <c r="V24" s="41"/>
      <c r="W24" s="41"/>
      <c r="X24" s="41"/>
      <c r="Y24" s="41"/>
      <c r="Z24" s="41"/>
    </row>
    <row r="25" spans="1:26" ht="28.5" customHeight="1" x14ac:dyDescent="0.2">
      <c r="A25" s="16">
        <v>21</v>
      </c>
      <c r="B25" s="43" t="s">
        <v>222</v>
      </c>
      <c r="C25" s="43" t="s">
        <v>241</v>
      </c>
      <c r="D25" s="15">
        <f>L6</f>
        <v>0.42899999999999999</v>
      </c>
      <c r="E25" s="15">
        <f>L26</f>
        <v>1.617</v>
      </c>
      <c r="F25" s="15">
        <f t="shared" si="0"/>
        <v>2.0459999999999998</v>
      </c>
      <c r="G25" s="12"/>
      <c r="H25" s="55" t="s">
        <v>139</v>
      </c>
      <c r="I25" s="79" t="s">
        <v>111</v>
      </c>
      <c r="J25" s="12"/>
      <c r="K25" s="55" t="s">
        <v>98</v>
      </c>
      <c r="L25" s="79">
        <v>49</v>
      </c>
      <c r="M25" s="68"/>
      <c r="N25" s="22"/>
      <c r="O25" s="41"/>
      <c r="P25" s="41"/>
      <c r="Q25" s="41"/>
      <c r="R25" s="41"/>
      <c r="S25" s="41"/>
      <c r="T25" s="41"/>
      <c r="U25" s="41"/>
      <c r="V25" s="41"/>
      <c r="W25" s="41"/>
      <c r="X25" s="41"/>
      <c r="Y25" s="41"/>
      <c r="Z25" s="41"/>
    </row>
    <row r="26" spans="1:26" ht="28.5" customHeight="1" x14ac:dyDescent="0.2">
      <c r="A26" s="16">
        <v>22</v>
      </c>
      <c r="B26" s="43" t="s">
        <v>224</v>
      </c>
      <c r="C26" s="43" t="s">
        <v>251</v>
      </c>
      <c r="D26" s="15">
        <f>L11</f>
        <v>0.627</v>
      </c>
      <c r="E26" s="15">
        <f>50*I16</f>
        <v>0</v>
      </c>
      <c r="F26" s="15">
        <f t="shared" si="0"/>
        <v>0.627</v>
      </c>
      <c r="G26" s="12"/>
      <c r="H26" s="58" t="s">
        <v>104</v>
      </c>
      <c r="I26" s="59" t="str">
        <f>IF(I24="N/A","N/A",I25/I24)</f>
        <v>N/A</v>
      </c>
      <c r="J26" s="12"/>
      <c r="K26" s="58" t="s">
        <v>104</v>
      </c>
      <c r="L26" s="60">
        <f>IFERROR(L25/L24*$I$6,"")</f>
        <v>1.617</v>
      </c>
      <c r="M26" s="12"/>
      <c r="N26" s="22"/>
      <c r="O26" s="41"/>
      <c r="P26" s="41"/>
      <c r="Q26" s="41"/>
      <c r="R26" s="41"/>
      <c r="S26" s="41"/>
      <c r="T26" s="41"/>
      <c r="U26" s="41"/>
      <c r="V26" s="41"/>
      <c r="W26" s="41"/>
      <c r="X26" s="41"/>
      <c r="Y26" s="41"/>
      <c r="Z26" s="41"/>
    </row>
    <row r="27" spans="1:26" ht="28.5" customHeight="1" x14ac:dyDescent="0.2">
      <c r="A27" s="16">
        <v>23</v>
      </c>
      <c r="B27" s="43" t="s">
        <v>232</v>
      </c>
      <c r="C27" s="43" t="s">
        <v>252</v>
      </c>
      <c r="D27" s="15">
        <f>((I38*I32)*2)</f>
        <v>3.6425311243200005</v>
      </c>
      <c r="E27" s="15">
        <f>((I38*L6)/2)</f>
        <v>2.1922641025999998</v>
      </c>
      <c r="F27" s="15">
        <f t="shared" si="0"/>
        <v>5.8347952269200007</v>
      </c>
      <c r="G27" s="12"/>
      <c r="H27" s="12"/>
      <c r="I27" s="12"/>
      <c r="J27" s="12"/>
      <c r="K27" s="12"/>
      <c r="L27" s="82"/>
      <c r="M27" s="12"/>
      <c r="N27" s="22"/>
      <c r="O27" s="41"/>
      <c r="P27" s="41"/>
      <c r="Q27" s="41"/>
      <c r="R27" s="41"/>
      <c r="S27" s="41"/>
      <c r="T27" s="41"/>
      <c r="U27" s="41"/>
      <c r="V27" s="41"/>
      <c r="W27" s="41"/>
      <c r="X27" s="41"/>
      <c r="Y27" s="41"/>
      <c r="Z27" s="41"/>
    </row>
    <row r="28" spans="1:26" ht="28.5" customHeight="1" x14ac:dyDescent="0.2">
      <c r="A28" s="16">
        <v>24</v>
      </c>
      <c r="B28" s="43" t="s">
        <v>220</v>
      </c>
      <c r="C28" s="43" t="s">
        <v>229</v>
      </c>
      <c r="D28" s="15">
        <f>L16</f>
        <v>0.29700000000000004</v>
      </c>
      <c r="E28" s="15">
        <f>2*L36</f>
        <v>1.254</v>
      </c>
      <c r="F28" s="15">
        <f t="shared" si="0"/>
        <v>1.5510000000000002</v>
      </c>
      <c r="G28" s="12"/>
      <c r="H28" s="44" t="s">
        <v>130</v>
      </c>
      <c r="I28" s="45"/>
      <c r="J28" s="12"/>
      <c r="K28" s="49" t="s">
        <v>161</v>
      </c>
      <c r="L28" s="85" t="s">
        <v>154</v>
      </c>
      <c r="M28" s="12"/>
      <c r="N28" s="22"/>
      <c r="O28" s="41"/>
      <c r="P28" s="41"/>
      <c r="Q28" s="41"/>
      <c r="R28" s="41"/>
      <c r="S28" s="41"/>
      <c r="T28" s="41"/>
      <c r="U28" s="41"/>
      <c r="V28" s="41"/>
      <c r="W28" s="41"/>
      <c r="X28" s="41"/>
      <c r="Y28" s="41"/>
      <c r="Z28" s="41"/>
    </row>
    <row r="29" spans="1:26" ht="28.5" customHeight="1" x14ac:dyDescent="0.2">
      <c r="A29" s="16">
        <v>25</v>
      </c>
      <c r="B29" s="43" t="s">
        <v>253</v>
      </c>
      <c r="C29" s="43" t="s">
        <v>240</v>
      </c>
      <c r="D29" s="15">
        <f>L21</f>
        <v>0.627</v>
      </c>
      <c r="E29" s="15">
        <v>0</v>
      </c>
      <c r="F29" s="15">
        <f t="shared" si="0"/>
        <v>0.627</v>
      </c>
      <c r="G29" s="12"/>
      <c r="H29" s="49" t="s">
        <v>135</v>
      </c>
      <c r="I29" s="85" t="s">
        <v>136</v>
      </c>
      <c r="J29" s="12"/>
      <c r="K29" s="52" t="s">
        <v>92</v>
      </c>
      <c r="L29" s="77">
        <v>1</v>
      </c>
      <c r="M29" s="12"/>
      <c r="N29" s="22"/>
      <c r="O29" s="41"/>
      <c r="P29" s="41"/>
      <c r="Q29" s="41"/>
      <c r="R29" s="41"/>
      <c r="S29" s="41"/>
      <c r="T29" s="41"/>
      <c r="U29" s="41"/>
      <c r="V29" s="41"/>
      <c r="W29" s="41"/>
      <c r="X29" s="41"/>
      <c r="Y29" s="41"/>
      <c r="Z29" s="41"/>
    </row>
    <row r="30" spans="1:26" ht="28.5" customHeight="1" x14ac:dyDescent="0.2">
      <c r="A30" s="16">
        <v>26</v>
      </c>
      <c r="B30" s="43" t="s">
        <v>222</v>
      </c>
      <c r="C30" s="43" t="s">
        <v>254</v>
      </c>
      <c r="D30" s="15">
        <f>L6</f>
        <v>0.42899999999999999</v>
      </c>
      <c r="E30" s="15">
        <f>((I38*L11)/2)</f>
        <v>3.2040783037999998</v>
      </c>
      <c r="F30" s="15">
        <f t="shared" si="0"/>
        <v>3.6330783037999996</v>
      </c>
      <c r="G30" s="12"/>
      <c r="H30" s="52" t="s">
        <v>117</v>
      </c>
      <c r="I30" s="77">
        <v>5</v>
      </c>
      <c r="J30" s="12"/>
      <c r="K30" s="55" t="s">
        <v>98</v>
      </c>
      <c r="L30" s="79">
        <v>9</v>
      </c>
      <c r="M30" s="12"/>
      <c r="N30" s="22"/>
      <c r="O30" s="41"/>
      <c r="P30" s="41"/>
      <c r="Q30" s="41"/>
      <c r="R30" s="41"/>
      <c r="S30" s="41"/>
      <c r="T30" s="41"/>
      <c r="U30" s="41"/>
      <c r="V30" s="41"/>
      <c r="W30" s="41"/>
      <c r="X30" s="41"/>
      <c r="Y30" s="41"/>
      <c r="Z30" s="41"/>
    </row>
    <row r="31" spans="1:26" ht="28.5" customHeight="1" x14ac:dyDescent="0.2">
      <c r="A31" s="16">
        <v>27</v>
      </c>
      <c r="B31" s="43" t="s">
        <v>224</v>
      </c>
      <c r="C31" s="43" t="s">
        <v>255</v>
      </c>
      <c r="D31" s="15">
        <f>L11</f>
        <v>0.627</v>
      </c>
      <c r="E31" s="15">
        <f>30*I11</f>
        <v>0</v>
      </c>
      <c r="F31" s="15">
        <f t="shared" si="0"/>
        <v>0.627</v>
      </c>
      <c r="G31" s="12"/>
      <c r="H31" s="52" t="s">
        <v>139</v>
      </c>
      <c r="I31" s="77">
        <v>9</v>
      </c>
      <c r="J31" s="12"/>
      <c r="K31" s="58" t="s">
        <v>104</v>
      </c>
      <c r="L31" s="60">
        <f>IFERROR(L30/L29*$I$6,"")</f>
        <v>0.89100000000000001</v>
      </c>
      <c r="M31" s="12"/>
      <c r="N31" s="22"/>
      <c r="O31" s="41"/>
      <c r="P31" s="41"/>
      <c r="Q31" s="41"/>
      <c r="R31" s="41"/>
      <c r="S31" s="41"/>
      <c r="T31" s="41"/>
      <c r="U31" s="41"/>
      <c r="V31" s="41"/>
      <c r="W31" s="41"/>
      <c r="X31" s="41"/>
      <c r="Y31" s="41"/>
      <c r="Z31" s="41"/>
    </row>
    <row r="32" spans="1:26" ht="28.5" customHeight="1" x14ac:dyDescent="0.2">
      <c r="A32" s="16">
        <v>28</v>
      </c>
      <c r="B32" s="43" t="s">
        <v>232</v>
      </c>
      <c r="C32" s="43" t="s">
        <v>256</v>
      </c>
      <c r="D32" s="15">
        <f>((I38*I32)*2)</f>
        <v>3.6425311243200005</v>
      </c>
      <c r="E32" s="15">
        <f>3*L21</f>
        <v>1.881</v>
      </c>
      <c r="F32" s="15">
        <f t="shared" si="0"/>
        <v>5.5235311243200007</v>
      </c>
      <c r="G32" s="12"/>
      <c r="H32" s="58" t="s">
        <v>104</v>
      </c>
      <c r="I32" s="60">
        <f>I31/I30*I6</f>
        <v>0.17820000000000003</v>
      </c>
      <c r="J32" s="12"/>
      <c r="K32" s="12"/>
      <c r="L32" s="82"/>
      <c r="M32" s="12"/>
      <c r="N32" s="22"/>
      <c r="O32" s="41"/>
      <c r="P32" s="41"/>
      <c r="Q32" s="41"/>
      <c r="R32" s="41"/>
      <c r="S32" s="41"/>
      <c r="T32" s="41"/>
      <c r="U32" s="41"/>
      <c r="V32" s="41"/>
      <c r="W32" s="41"/>
      <c r="X32" s="41"/>
      <c r="Y32" s="41"/>
      <c r="Z32" s="41"/>
    </row>
    <row r="33" spans="1:26" ht="28.5" customHeight="1" x14ac:dyDescent="0.2">
      <c r="A33" s="16">
        <v>29</v>
      </c>
      <c r="B33" s="43" t="s">
        <v>220</v>
      </c>
      <c r="C33" s="43" t="s">
        <v>257</v>
      </c>
      <c r="D33" s="15">
        <f>L16</f>
        <v>0.29700000000000004</v>
      </c>
      <c r="E33" s="15">
        <f>((I38*L16))</f>
        <v>3.0354426036000004</v>
      </c>
      <c r="F33" s="15">
        <f t="shared" si="0"/>
        <v>3.3324426036000006</v>
      </c>
      <c r="G33" s="12"/>
      <c r="H33" s="41"/>
      <c r="I33" s="41"/>
      <c r="J33" s="12"/>
      <c r="K33" s="49" t="s">
        <v>209</v>
      </c>
      <c r="L33" s="85" t="s">
        <v>258</v>
      </c>
      <c r="M33" s="12"/>
      <c r="N33" s="22"/>
      <c r="O33" s="41"/>
      <c r="P33" s="41"/>
      <c r="Q33" s="41"/>
      <c r="R33" s="41"/>
      <c r="S33" s="41"/>
      <c r="T33" s="41"/>
      <c r="U33" s="41"/>
      <c r="V33" s="41"/>
      <c r="W33" s="41"/>
      <c r="X33" s="41"/>
      <c r="Y33" s="41"/>
      <c r="Z33" s="41"/>
    </row>
    <row r="34" spans="1:26" ht="28.5" customHeight="1" x14ac:dyDescent="0.2">
      <c r="A34" s="16">
        <v>30</v>
      </c>
      <c r="B34" s="43" t="s">
        <v>230</v>
      </c>
      <c r="C34" s="43" t="s">
        <v>259</v>
      </c>
      <c r="D34" s="15">
        <v>0</v>
      </c>
      <c r="E34" s="15">
        <v>0</v>
      </c>
      <c r="F34" s="15">
        <f t="shared" si="0"/>
        <v>0</v>
      </c>
      <c r="G34" s="12"/>
      <c r="H34" s="44" t="s">
        <v>147</v>
      </c>
      <c r="I34" s="45"/>
      <c r="J34" s="12"/>
      <c r="K34" s="52" t="s">
        <v>92</v>
      </c>
      <c r="L34" s="77">
        <v>3</v>
      </c>
      <c r="M34" s="12"/>
      <c r="N34" s="22"/>
      <c r="O34" s="41"/>
      <c r="P34" s="41"/>
      <c r="Q34" s="41"/>
      <c r="R34" s="41"/>
      <c r="S34" s="41"/>
      <c r="T34" s="41"/>
      <c r="U34" s="41"/>
      <c r="V34" s="41"/>
      <c r="W34" s="41"/>
      <c r="X34" s="41"/>
      <c r="Y34" s="41"/>
      <c r="Z34" s="41"/>
    </row>
    <row r="35" spans="1:26" ht="28.5" customHeight="1" x14ac:dyDescent="0.2">
      <c r="A35" s="16">
        <v>31</v>
      </c>
      <c r="B35" s="43" t="s">
        <v>222</v>
      </c>
      <c r="C35" s="43" t="s">
        <v>260</v>
      </c>
      <c r="D35" s="15">
        <f>L6</f>
        <v>0.42899999999999999</v>
      </c>
      <c r="E35" s="15">
        <f>((I38*L6))</f>
        <v>4.3845282051999996</v>
      </c>
      <c r="F35" s="15">
        <f t="shared" si="0"/>
        <v>4.8135282051999999</v>
      </c>
      <c r="G35" s="12"/>
      <c r="H35" s="12" t="s">
        <v>148</v>
      </c>
      <c r="I35" s="23">
        <f>'Usage Data (cvs)'!C3</f>
        <v>10.220345466666666</v>
      </c>
      <c r="J35" s="12"/>
      <c r="K35" s="55" t="s">
        <v>98</v>
      </c>
      <c r="L35" s="79">
        <v>19</v>
      </c>
      <c r="M35" s="12"/>
      <c r="N35" s="22"/>
      <c r="O35" s="41"/>
      <c r="P35" s="41"/>
      <c r="Q35" s="41"/>
      <c r="R35" s="41"/>
      <c r="S35" s="41"/>
      <c r="T35" s="41"/>
      <c r="U35" s="41"/>
      <c r="V35" s="41"/>
      <c r="W35" s="41"/>
      <c r="X35" s="41"/>
      <c r="Y35" s="41"/>
      <c r="Z35" s="41"/>
    </row>
    <row r="36" spans="1:26" ht="28.5" customHeight="1" x14ac:dyDescent="0.2">
      <c r="A36" s="16">
        <v>32</v>
      </c>
      <c r="B36" s="43" t="s">
        <v>224</v>
      </c>
      <c r="C36" s="43" t="s">
        <v>241</v>
      </c>
      <c r="D36" s="15">
        <f>L11</f>
        <v>0.627</v>
      </c>
      <c r="E36" s="15">
        <f>L26</f>
        <v>1.617</v>
      </c>
      <c r="F36" s="15">
        <f t="shared" si="0"/>
        <v>2.2439999999999998</v>
      </c>
      <c r="G36" s="12"/>
      <c r="H36" s="12" t="s">
        <v>149</v>
      </c>
      <c r="I36" s="23">
        <f>'Usage Data (cvs)'!B3</f>
        <v>4.1097759999999992</v>
      </c>
      <c r="J36" s="12"/>
      <c r="K36" s="58" t="s">
        <v>104</v>
      </c>
      <c r="L36" s="60">
        <f>IFERROR(L35/L34*$I$6,"")</f>
        <v>0.627</v>
      </c>
      <c r="M36" s="12"/>
      <c r="N36" s="22"/>
      <c r="O36" s="41"/>
      <c r="P36" s="41"/>
      <c r="Q36" s="41"/>
      <c r="R36" s="41"/>
      <c r="S36" s="41"/>
      <c r="T36" s="41"/>
      <c r="U36" s="41"/>
      <c r="V36" s="41"/>
      <c r="W36" s="41"/>
      <c r="X36" s="41"/>
      <c r="Y36" s="41"/>
      <c r="Z36" s="41"/>
    </row>
    <row r="37" spans="1:26" ht="28.5" customHeight="1" x14ac:dyDescent="0.2">
      <c r="A37" s="16">
        <v>33</v>
      </c>
      <c r="B37" s="43" t="s">
        <v>261</v>
      </c>
      <c r="C37" s="43" t="s">
        <v>262</v>
      </c>
      <c r="D37" s="15">
        <f>((I38*I32)*3)</f>
        <v>5.4637966864800003</v>
      </c>
      <c r="E37" s="15">
        <f>((I38*L11))</f>
        <v>6.4081566075999996</v>
      </c>
      <c r="F37" s="15">
        <f t="shared" si="0"/>
        <v>11.871953294080001</v>
      </c>
      <c r="G37" s="12"/>
      <c r="H37" s="12" t="s">
        <v>150</v>
      </c>
      <c r="I37" s="13">
        <v>2</v>
      </c>
      <c r="J37" s="12"/>
      <c r="K37" s="12"/>
      <c r="L37" s="82"/>
      <c r="M37" s="12"/>
      <c r="N37" s="22"/>
      <c r="O37" s="41"/>
      <c r="P37" s="41"/>
      <c r="Q37" s="41"/>
      <c r="R37" s="41"/>
      <c r="S37" s="41"/>
      <c r="T37" s="41"/>
      <c r="U37" s="41"/>
      <c r="V37" s="41"/>
      <c r="W37" s="41"/>
      <c r="X37" s="41"/>
      <c r="Y37" s="41"/>
      <c r="Z37" s="41"/>
    </row>
    <row r="38" spans="1:26" ht="28.5" customHeight="1" x14ac:dyDescent="0.2">
      <c r="A38" s="16">
        <v>34</v>
      </c>
      <c r="B38" s="43" t="s">
        <v>241</v>
      </c>
      <c r="C38" s="43" t="s">
        <v>263</v>
      </c>
      <c r="D38" s="15">
        <f>L26</f>
        <v>1.617</v>
      </c>
      <c r="E38" s="15">
        <v>0</v>
      </c>
      <c r="F38" s="15">
        <f t="shared" si="0"/>
        <v>1.617</v>
      </c>
      <c r="G38" s="12"/>
      <c r="H38" s="58" t="s">
        <v>152</v>
      </c>
      <c r="I38" s="70">
        <f>I35</f>
        <v>10.220345466666666</v>
      </c>
      <c r="J38" s="12"/>
      <c r="K38" s="58" t="s">
        <v>168</v>
      </c>
      <c r="L38" s="60">
        <f>AVERAGE(L6,L11,L16,L21,L26,L31,L36)</f>
        <v>0.73071428571428576</v>
      </c>
      <c r="M38" s="12"/>
      <c r="N38" s="22"/>
      <c r="O38" s="41"/>
      <c r="P38" s="41"/>
      <c r="Q38" s="41"/>
      <c r="R38" s="41"/>
      <c r="S38" s="41"/>
      <c r="T38" s="41"/>
      <c r="U38" s="41"/>
      <c r="V38" s="41"/>
      <c r="W38" s="41"/>
      <c r="X38" s="41"/>
      <c r="Y38" s="41"/>
      <c r="Z38" s="41"/>
    </row>
    <row r="39" spans="1:26" ht="28.5" customHeight="1" x14ac:dyDescent="0.2">
      <c r="A39" s="16">
        <v>35</v>
      </c>
      <c r="B39" s="43" t="s">
        <v>264</v>
      </c>
      <c r="C39" s="43" t="s">
        <v>265</v>
      </c>
      <c r="D39" s="15">
        <v>0</v>
      </c>
      <c r="E39" s="15">
        <f>3*L31</f>
        <v>2.673</v>
      </c>
      <c r="F39" s="15">
        <f t="shared" si="0"/>
        <v>2.673</v>
      </c>
      <c r="G39" s="12"/>
      <c r="H39" s="58" t="s">
        <v>156</v>
      </c>
      <c r="I39" s="71">
        <f>I35*I36/I37</f>
        <v>21.001665255307728</v>
      </c>
      <c r="J39" s="12"/>
      <c r="K39" s="12"/>
      <c r="L39" s="12"/>
      <c r="M39" s="12"/>
      <c r="N39" s="22"/>
      <c r="O39" s="41"/>
      <c r="P39" s="41"/>
      <c r="Q39" s="41"/>
      <c r="R39" s="41"/>
      <c r="S39" s="41"/>
      <c r="T39" s="41"/>
      <c r="U39" s="41"/>
      <c r="V39" s="41"/>
      <c r="W39" s="41"/>
      <c r="X39" s="41"/>
      <c r="Y39" s="41"/>
      <c r="Z39" s="41"/>
    </row>
    <row r="40" spans="1:26" ht="28.5" customHeight="1" x14ac:dyDescent="0.2">
      <c r="A40" s="28" t="s">
        <v>81</v>
      </c>
      <c r="B40" s="32"/>
      <c r="C40" s="32"/>
      <c r="D40" s="72">
        <f t="shared" ref="D40:F40" si="1">SUM(D4:D39)</f>
        <v>39.660983432400002</v>
      </c>
      <c r="E40" s="72">
        <f t="shared" si="1"/>
        <v>44.522776528999998</v>
      </c>
      <c r="F40" s="72">
        <f t="shared" si="1"/>
        <v>84.183759961400014</v>
      </c>
      <c r="G40" s="12"/>
      <c r="H40" s="41"/>
      <c r="I40" s="41"/>
      <c r="J40" s="12"/>
      <c r="K40" s="12"/>
      <c r="L40" s="12"/>
      <c r="M40" s="12"/>
      <c r="N40" s="22"/>
      <c r="O40" s="41"/>
      <c r="P40" s="41"/>
      <c r="Q40" s="41"/>
      <c r="R40" s="41"/>
      <c r="S40" s="41"/>
      <c r="T40" s="41"/>
      <c r="U40" s="41"/>
      <c r="V40" s="41"/>
      <c r="W40" s="41"/>
      <c r="X40" s="41"/>
      <c r="Y40" s="41"/>
      <c r="Z40" s="41"/>
    </row>
    <row r="41" spans="1:26" ht="28.5" customHeight="1" x14ac:dyDescent="0.2">
      <c r="A41" s="34" t="s">
        <v>174</v>
      </c>
      <c r="B41" s="34"/>
      <c r="C41" s="34"/>
      <c r="D41" s="34">
        <f t="shared" ref="D41:F41" si="2">AVERAGE(D2:D39)</f>
        <v>1.1016939842333333</v>
      </c>
      <c r="E41" s="34">
        <f t="shared" si="2"/>
        <v>1.2367437924722222</v>
      </c>
      <c r="F41" s="34">
        <f t="shared" si="2"/>
        <v>2.3384377767055557</v>
      </c>
      <c r="G41" s="12"/>
      <c r="H41" s="41"/>
      <c r="I41" s="41"/>
      <c r="J41" s="12"/>
      <c r="K41" s="12"/>
      <c r="L41" s="12"/>
      <c r="M41" s="12"/>
      <c r="N41" s="22"/>
      <c r="O41" s="41"/>
      <c r="P41" s="41"/>
      <c r="Q41" s="41"/>
      <c r="R41" s="41"/>
      <c r="S41" s="41"/>
      <c r="T41" s="41"/>
      <c r="U41" s="41"/>
      <c r="V41" s="41"/>
      <c r="W41" s="41"/>
      <c r="X41" s="41"/>
      <c r="Y41" s="41"/>
      <c r="Z41" s="41"/>
    </row>
    <row r="42" spans="1:26" ht="15.75" customHeight="1" x14ac:dyDescent="0.2">
      <c r="A42" s="12"/>
      <c r="B42" s="16"/>
      <c r="C42" s="16"/>
      <c r="D42" s="12"/>
      <c r="E42" s="12"/>
      <c r="F42" s="12"/>
      <c r="G42" s="12"/>
      <c r="H42" s="216"/>
      <c r="I42" s="217"/>
      <c r="J42" s="12"/>
      <c r="K42" s="12"/>
      <c r="L42" s="82"/>
      <c r="M42" s="12"/>
      <c r="N42" s="22"/>
      <c r="O42" s="41"/>
      <c r="P42" s="41"/>
      <c r="Q42" s="41"/>
      <c r="R42" s="41"/>
      <c r="S42" s="41"/>
      <c r="T42" s="41"/>
      <c r="U42" s="41"/>
      <c r="V42" s="41"/>
      <c r="W42" s="41"/>
      <c r="X42" s="41"/>
      <c r="Y42" s="41"/>
      <c r="Z42" s="41"/>
    </row>
    <row r="43" spans="1:26" ht="15.75" customHeight="1" x14ac:dyDescent="0.2">
      <c r="A43" s="12"/>
      <c r="B43" s="16"/>
      <c r="C43" s="16"/>
      <c r="D43" s="12"/>
      <c r="E43" s="12"/>
      <c r="F43" s="12"/>
      <c r="G43" s="12"/>
      <c r="H43" s="12"/>
      <c r="I43" s="12"/>
      <c r="J43" s="12"/>
      <c r="K43" s="12"/>
      <c r="L43" s="12"/>
      <c r="M43" s="12"/>
      <c r="N43" s="22"/>
      <c r="O43" s="41"/>
      <c r="P43" s="41"/>
      <c r="Q43" s="41"/>
      <c r="R43" s="41"/>
      <c r="S43" s="41"/>
      <c r="T43" s="41"/>
      <c r="U43" s="41"/>
      <c r="V43" s="41"/>
      <c r="W43" s="41"/>
      <c r="X43" s="41"/>
      <c r="Y43" s="41"/>
      <c r="Z43" s="41"/>
    </row>
    <row r="44" spans="1:26" ht="15.75" customHeight="1" x14ac:dyDescent="0.2">
      <c r="A44" s="12"/>
      <c r="B44" s="16"/>
      <c r="C44" s="16"/>
      <c r="D44" s="12"/>
      <c r="E44" s="12"/>
      <c r="F44" s="12"/>
      <c r="G44" s="12"/>
      <c r="H44" s="12"/>
      <c r="I44" s="12"/>
      <c r="J44" s="12"/>
      <c r="K44" s="12"/>
      <c r="L44" s="12"/>
      <c r="M44" s="12"/>
      <c r="N44" s="22"/>
      <c r="O44" s="41"/>
      <c r="P44" s="41"/>
      <c r="Q44" s="41"/>
      <c r="R44" s="41"/>
      <c r="S44" s="41"/>
      <c r="T44" s="41"/>
      <c r="U44" s="41"/>
      <c r="V44" s="41"/>
      <c r="W44" s="41"/>
      <c r="X44" s="41"/>
      <c r="Y44" s="41"/>
      <c r="Z44" s="41"/>
    </row>
    <row r="45" spans="1:26" ht="15.75" customHeight="1" x14ac:dyDescent="0.2">
      <c r="A45" s="12"/>
      <c r="B45" s="16"/>
      <c r="C45" s="16"/>
      <c r="D45" s="12"/>
      <c r="E45" s="12"/>
      <c r="F45" s="12"/>
      <c r="G45" s="12"/>
      <c r="H45" s="12"/>
      <c r="I45" s="12"/>
      <c r="J45" s="12"/>
      <c r="K45" s="12"/>
      <c r="L45" s="12"/>
      <c r="M45" s="12"/>
      <c r="N45" s="22"/>
      <c r="O45" s="41"/>
      <c r="P45" s="41"/>
      <c r="Q45" s="41"/>
      <c r="R45" s="41"/>
      <c r="S45" s="41"/>
      <c r="T45" s="41"/>
      <c r="U45" s="41"/>
      <c r="V45" s="41"/>
      <c r="W45" s="41"/>
      <c r="X45" s="41"/>
      <c r="Y45" s="41"/>
      <c r="Z45" s="41"/>
    </row>
    <row r="46" spans="1:26" ht="15.75" customHeight="1" x14ac:dyDescent="0.2">
      <c r="A46" s="12"/>
      <c r="B46" s="16"/>
      <c r="C46" s="16"/>
      <c r="D46" s="12"/>
      <c r="E46" s="12"/>
      <c r="F46" s="12"/>
      <c r="G46" s="12"/>
      <c r="H46" s="220"/>
      <c r="I46" s="217"/>
      <c r="J46" s="217"/>
      <c r="K46" s="217"/>
      <c r="L46" s="12"/>
      <c r="M46" s="12"/>
      <c r="N46" s="22"/>
      <c r="O46" s="41"/>
      <c r="P46" s="41"/>
      <c r="Q46" s="41"/>
      <c r="R46" s="41"/>
      <c r="S46" s="41"/>
      <c r="T46" s="41"/>
      <c r="U46" s="41"/>
      <c r="V46" s="41"/>
      <c r="W46" s="41"/>
      <c r="X46" s="41"/>
      <c r="Y46" s="41"/>
      <c r="Z46" s="41"/>
    </row>
    <row r="47" spans="1:26" ht="15.75" customHeight="1" x14ac:dyDescent="0.2">
      <c r="A47" s="12"/>
      <c r="B47" s="16"/>
      <c r="C47" s="16"/>
      <c r="D47" s="12"/>
      <c r="E47" s="12"/>
      <c r="F47" s="12"/>
      <c r="G47" s="12"/>
      <c r="H47" s="12"/>
      <c r="I47" s="12"/>
      <c r="J47" s="12"/>
      <c r="K47" s="12"/>
      <c r="L47" s="12"/>
      <c r="M47" s="12"/>
      <c r="N47" s="22"/>
      <c r="O47" s="41"/>
      <c r="P47" s="41"/>
      <c r="Q47" s="41"/>
      <c r="R47" s="41"/>
      <c r="S47" s="41"/>
      <c r="T47" s="41"/>
      <c r="U47" s="41"/>
      <c r="V47" s="41"/>
      <c r="W47" s="41"/>
      <c r="X47" s="41"/>
      <c r="Y47" s="41"/>
      <c r="Z47" s="41"/>
    </row>
    <row r="48" spans="1:26" ht="15.75" customHeight="1" x14ac:dyDescent="0.2">
      <c r="A48" s="12"/>
      <c r="B48" s="16"/>
      <c r="C48" s="16"/>
      <c r="D48" s="12"/>
      <c r="E48" s="12"/>
      <c r="F48" s="12"/>
      <c r="G48" s="12"/>
      <c r="H48" s="12"/>
      <c r="I48" s="12"/>
      <c r="J48" s="12"/>
      <c r="K48" s="12"/>
      <c r="L48" s="12"/>
      <c r="M48" s="12"/>
      <c r="N48" s="22"/>
      <c r="O48" s="41"/>
      <c r="P48" s="41"/>
      <c r="Q48" s="41"/>
      <c r="R48" s="41"/>
      <c r="S48" s="41"/>
      <c r="T48" s="41"/>
      <c r="U48" s="41"/>
      <c r="V48" s="41"/>
      <c r="W48" s="41"/>
      <c r="X48" s="41"/>
      <c r="Y48" s="41"/>
      <c r="Z48" s="41"/>
    </row>
    <row r="49" spans="1:26" ht="15.75" customHeight="1" x14ac:dyDescent="0.2">
      <c r="A49" s="12"/>
      <c r="B49" s="16"/>
      <c r="C49" s="16"/>
      <c r="D49" s="12"/>
      <c r="E49" s="12"/>
      <c r="F49" s="12"/>
      <c r="G49" s="12"/>
      <c r="H49" s="12"/>
      <c r="I49" s="12"/>
      <c r="J49" s="12"/>
      <c r="K49" s="12"/>
      <c r="L49" s="12"/>
      <c r="M49" s="12"/>
      <c r="N49" s="22"/>
      <c r="O49" s="41"/>
      <c r="P49" s="41"/>
      <c r="Q49" s="41"/>
      <c r="R49" s="41"/>
      <c r="S49" s="41"/>
      <c r="T49" s="41"/>
      <c r="U49" s="41"/>
      <c r="V49" s="41"/>
      <c r="W49" s="41"/>
      <c r="X49" s="41"/>
      <c r="Y49" s="41"/>
      <c r="Z49" s="41"/>
    </row>
    <row r="50" spans="1:26" ht="15.75" customHeight="1" x14ac:dyDescent="0.2">
      <c r="A50" s="12"/>
      <c r="B50" s="16"/>
      <c r="C50" s="16"/>
      <c r="D50" s="12"/>
      <c r="E50" s="12"/>
      <c r="F50" s="12"/>
      <c r="G50" s="12"/>
      <c r="H50" s="12"/>
      <c r="I50" s="12"/>
      <c r="J50" s="12"/>
      <c r="K50" s="12"/>
      <c r="L50" s="12"/>
      <c r="M50" s="12"/>
      <c r="N50" s="22"/>
      <c r="O50" s="41"/>
      <c r="P50" s="41"/>
      <c r="Q50" s="41"/>
      <c r="R50" s="41"/>
      <c r="S50" s="41"/>
      <c r="T50" s="41"/>
      <c r="U50" s="41"/>
      <c r="V50" s="41"/>
      <c r="W50" s="41"/>
      <c r="X50" s="41"/>
      <c r="Y50" s="41"/>
      <c r="Z50" s="41"/>
    </row>
    <row r="51" spans="1:26" ht="15.75" customHeight="1" x14ac:dyDescent="0.2">
      <c r="A51" s="12"/>
      <c r="B51" s="16"/>
      <c r="C51" s="16"/>
      <c r="D51" s="12"/>
      <c r="E51" s="12"/>
      <c r="F51" s="12"/>
      <c r="G51" s="12"/>
      <c r="H51" s="12"/>
      <c r="I51" s="12"/>
      <c r="J51" s="12"/>
      <c r="K51" s="12"/>
      <c r="L51" s="12"/>
      <c r="M51" s="12"/>
      <c r="N51" s="22"/>
      <c r="O51" s="41"/>
      <c r="P51" s="41"/>
      <c r="Q51" s="41"/>
      <c r="R51" s="41"/>
      <c r="S51" s="41"/>
      <c r="T51" s="41"/>
      <c r="U51" s="41"/>
      <c r="V51" s="41"/>
      <c r="W51" s="41"/>
      <c r="X51" s="41"/>
      <c r="Y51" s="41"/>
      <c r="Z51" s="41"/>
    </row>
    <row r="52" spans="1:26" ht="15.75" customHeight="1" x14ac:dyDescent="0.2">
      <c r="A52" s="12"/>
      <c r="B52" s="16"/>
      <c r="C52" s="16"/>
      <c r="D52" s="12"/>
      <c r="E52" s="12"/>
      <c r="F52" s="12"/>
      <c r="G52" s="12"/>
      <c r="H52" s="12"/>
      <c r="I52" s="12"/>
      <c r="J52" s="12"/>
      <c r="K52" s="12"/>
      <c r="L52" s="12"/>
      <c r="M52" s="12"/>
      <c r="N52" s="22"/>
      <c r="O52" s="41"/>
      <c r="P52" s="41"/>
      <c r="Q52" s="41"/>
      <c r="R52" s="41"/>
      <c r="S52" s="41"/>
      <c r="T52" s="41"/>
      <c r="U52" s="41"/>
      <c r="V52" s="41"/>
      <c r="W52" s="41"/>
      <c r="X52" s="41"/>
      <c r="Y52" s="41"/>
      <c r="Z52" s="41"/>
    </row>
    <row r="53" spans="1:26" ht="15.75" customHeight="1" x14ac:dyDescent="0.2">
      <c r="A53" s="12"/>
      <c r="B53" s="16"/>
      <c r="C53" s="16"/>
      <c r="D53" s="12"/>
      <c r="E53" s="12"/>
      <c r="F53" s="12"/>
      <c r="G53" s="12"/>
      <c r="H53" s="12"/>
      <c r="I53" s="12"/>
      <c r="J53" s="12"/>
      <c r="K53" s="12"/>
      <c r="L53" s="12"/>
      <c r="M53" s="12"/>
      <c r="N53" s="22"/>
      <c r="O53" s="41"/>
      <c r="P53" s="41"/>
      <c r="Q53" s="41"/>
      <c r="R53" s="41"/>
      <c r="S53" s="41"/>
      <c r="T53" s="41"/>
      <c r="U53" s="41"/>
      <c r="V53" s="41"/>
      <c r="W53" s="41"/>
      <c r="X53" s="41"/>
      <c r="Y53" s="41"/>
      <c r="Z53" s="41"/>
    </row>
    <row r="54" spans="1:26" ht="15.75" customHeight="1" x14ac:dyDescent="0.2">
      <c r="A54" s="12"/>
      <c r="B54" s="16"/>
      <c r="C54" s="16"/>
      <c r="D54" s="12"/>
      <c r="E54" s="12"/>
      <c r="F54" s="12"/>
      <c r="G54" s="12"/>
      <c r="H54" s="12"/>
      <c r="I54" s="12"/>
      <c r="J54" s="12"/>
      <c r="K54" s="12"/>
      <c r="L54" s="12"/>
      <c r="M54" s="12"/>
      <c r="N54" s="22"/>
      <c r="O54" s="41"/>
      <c r="P54" s="41"/>
      <c r="Q54" s="41"/>
      <c r="R54" s="41"/>
      <c r="S54" s="41"/>
      <c r="T54" s="41"/>
      <c r="U54" s="41"/>
      <c r="V54" s="41"/>
      <c r="W54" s="41"/>
      <c r="X54" s="41"/>
      <c r="Y54" s="41"/>
      <c r="Z54" s="41"/>
    </row>
    <row r="55" spans="1:26" ht="15.75" customHeight="1" x14ac:dyDescent="0.2">
      <c r="A55" s="12"/>
      <c r="B55" s="16"/>
      <c r="C55" s="16"/>
      <c r="D55" s="12"/>
      <c r="E55" s="12"/>
      <c r="F55" s="12"/>
      <c r="G55" s="12"/>
      <c r="H55" s="12"/>
      <c r="I55" s="12"/>
      <c r="J55" s="12"/>
      <c r="K55" s="12"/>
      <c r="L55" s="12"/>
      <c r="M55" s="12"/>
      <c r="N55" s="22"/>
      <c r="O55" s="41"/>
      <c r="P55" s="41"/>
      <c r="Q55" s="41"/>
      <c r="R55" s="41"/>
      <c r="S55" s="41"/>
      <c r="T55" s="41"/>
      <c r="U55" s="41"/>
      <c r="V55" s="41"/>
      <c r="W55" s="41"/>
      <c r="X55" s="41"/>
      <c r="Y55" s="41"/>
      <c r="Z55" s="41"/>
    </row>
    <row r="56" spans="1:26" ht="15.75" customHeight="1" x14ac:dyDescent="0.2">
      <c r="A56" s="12"/>
      <c r="B56" s="16"/>
      <c r="C56" s="16"/>
      <c r="D56" s="12"/>
      <c r="E56" s="12"/>
      <c r="F56" s="12"/>
      <c r="G56" s="12"/>
      <c r="H56" s="12"/>
      <c r="I56" s="12"/>
      <c r="J56" s="12"/>
      <c r="K56" s="12"/>
      <c r="L56" s="12"/>
      <c r="M56" s="12"/>
      <c r="N56" s="22"/>
      <c r="O56" s="41"/>
      <c r="P56" s="41"/>
      <c r="Q56" s="41"/>
      <c r="R56" s="41"/>
      <c r="S56" s="41"/>
      <c r="T56" s="41"/>
      <c r="U56" s="41"/>
      <c r="V56" s="41"/>
      <c r="W56" s="41"/>
      <c r="X56" s="41"/>
      <c r="Y56" s="41"/>
      <c r="Z56" s="41"/>
    </row>
    <row r="57" spans="1:26" ht="15.75" customHeight="1" x14ac:dyDescent="0.2">
      <c r="A57" s="12"/>
      <c r="B57" s="16"/>
      <c r="C57" s="16"/>
      <c r="D57" s="12"/>
      <c r="E57" s="12"/>
      <c r="F57" s="12"/>
      <c r="G57" s="12"/>
      <c r="H57" s="12"/>
      <c r="I57" s="12"/>
      <c r="J57" s="12"/>
      <c r="K57" s="12"/>
      <c r="L57" s="12"/>
      <c r="M57" s="12"/>
      <c r="N57" s="22"/>
      <c r="O57" s="41"/>
      <c r="P57" s="41"/>
      <c r="Q57" s="41"/>
      <c r="R57" s="41"/>
      <c r="S57" s="41"/>
      <c r="T57" s="41"/>
      <c r="U57" s="41"/>
      <c r="V57" s="41"/>
      <c r="W57" s="41"/>
      <c r="X57" s="41"/>
      <c r="Y57" s="41"/>
      <c r="Z57" s="41"/>
    </row>
    <row r="58" spans="1:26" ht="15.75" customHeight="1" x14ac:dyDescent="0.2">
      <c r="A58" s="12"/>
      <c r="B58" s="16"/>
      <c r="C58" s="16"/>
      <c r="D58" s="12"/>
      <c r="E58" s="12"/>
      <c r="F58" s="12"/>
      <c r="G58" s="12"/>
      <c r="H58" s="12"/>
      <c r="I58" s="12"/>
      <c r="J58" s="12"/>
      <c r="K58" s="12"/>
      <c r="L58" s="12"/>
      <c r="M58" s="12"/>
      <c r="N58" s="22"/>
      <c r="O58" s="41"/>
      <c r="P58" s="41"/>
      <c r="Q58" s="41"/>
      <c r="R58" s="41"/>
      <c r="S58" s="41"/>
      <c r="T58" s="41"/>
      <c r="U58" s="41"/>
      <c r="V58" s="41"/>
      <c r="W58" s="41"/>
      <c r="X58" s="41"/>
      <c r="Y58" s="41"/>
      <c r="Z58" s="41"/>
    </row>
    <row r="59" spans="1:26" ht="15.75" customHeight="1" x14ac:dyDescent="0.2">
      <c r="A59" s="12"/>
      <c r="B59" s="16"/>
      <c r="C59" s="16"/>
      <c r="D59" s="12"/>
      <c r="E59" s="12"/>
      <c r="F59" s="12"/>
      <c r="G59" s="12"/>
      <c r="H59" s="12"/>
      <c r="I59" s="12"/>
      <c r="J59" s="12"/>
      <c r="K59" s="12"/>
      <c r="L59" s="12"/>
      <c r="M59" s="12"/>
      <c r="N59" s="22"/>
      <c r="O59" s="41"/>
      <c r="P59" s="41"/>
      <c r="Q59" s="41"/>
      <c r="R59" s="41"/>
      <c r="S59" s="41"/>
      <c r="T59" s="41"/>
      <c r="U59" s="41"/>
      <c r="V59" s="41"/>
      <c r="W59" s="41"/>
      <c r="X59" s="41"/>
      <c r="Y59" s="41"/>
      <c r="Z59" s="41"/>
    </row>
    <row r="60" spans="1:26" ht="15.75" customHeight="1" x14ac:dyDescent="0.2">
      <c r="A60" s="12"/>
      <c r="B60" s="16"/>
      <c r="C60" s="16"/>
      <c r="D60" s="12"/>
      <c r="E60" s="12"/>
      <c r="F60" s="12"/>
      <c r="G60" s="12"/>
      <c r="H60" s="12"/>
      <c r="I60" s="12"/>
      <c r="J60" s="12"/>
      <c r="K60" s="12"/>
      <c r="L60" s="12"/>
      <c r="M60" s="12"/>
      <c r="N60" s="22"/>
      <c r="O60" s="41"/>
      <c r="P60" s="41"/>
      <c r="Q60" s="41"/>
      <c r="R60" s="41"/>
      <c r="S60" s="41"/>
      <c r="T60" s="41"/>
      <c r="U60" s="41"/>
      <c r="V60" s="41"/>
      <c r="W60" s="41"/>
      <c r="X60" s="41"/>
      <c r="Y60" s="41"/>
      <c r="Z60" s="41"/>
    </row>
    <row r="61" spans="1:26" ht="15.75" customHeight="1" x14ac:dyDescent="0.2">
      <c r="A61" s="12"/>
      <c r="B61" s="16"/>
      <c r="C61" s="16"/>
      <c r="D61" s="12"/>
      <c r="E61" s="12"/>
      <c r="F61" s="12"/>
      <c r="G61" s="12"/>
      <c r="H61" s="12"/>
      <c r="I61" s="12"/>
      <c r="J61" s="12"/>
      <c r="K61" s="12"/>
      <c r="L61" s="12"/>
      <c r="M61" s="12"/>
      <c r="N61" s="22"/>
      <c r="O61" s="41"/>
      <c r="P61" s="41"/>
      <c r="Q61" s="41"/>
      <c r="R61" s="41"/>
      <c r="S61" s="41"/>
      <c r="T61" s="41"/>
      <c r="U61" s="41"/>
      <c r="V61" s="41"/>
      <c r="W61" s="41"/>
      <c r="X61" s="41"/>
      <c r="Y61" s="41"/>
      <c r="Z61" s="41"/>
    </row>
    <row r="62" spans="1:26" ht="15.75" customHeight="1" x14ac:dyDescent="0.2">
      <c r="A62" s="12"/>
      <c r="B62" s="16"/>
      <c r="C62" s="16"/>
      <c r="D62" s="12"/>
      <c r="E62" s="12"/>
      <c r="F62" s="12"/>
      <c r="G62" s="12"/>
      <c r="H62" s="12"/>
      <c r="I62" s="12"/>
      <c r="J62" s="12"/>
      <c r="K62" s="12"/>
      <c r="L62" s="12"/>
      <c r="M62" s="12"/>
      <c r="N62" s="22"/>
      <c r="O62" s="41"/>
      <c r="P62" s="41"/>
      <c r="Q62" s="41"/>
      <c r="R62" s="41"/>
      <c r="S62" s="41"/>
      <c r="T62" s="41"/>
      <c r="U62" s="41"/>
      <c r="V62" s="41"/>
      <c r="W62" s="41"/>
      <c r="X62" s="41"/>
      <c r="Y62" s="41"/>
      <c r="Z62" s="41"/>
    </row>
    <row r="63" spans="1:26" ht="15.75" customHeight="1" x14ac:dyDescent="0.2">
      <c r="A63" s="12"/>
      <c r="B63" s="16"/>
      <c r="C63" s="16"/>
      <c r="D63" s="12"/>
      <c r="E63" s="12"/>
      <c r="F63" s="12"/>
      <c r="G63" s="12"/>
      <c r="H63" s="12"/>
      <c r="I63" s="12"/>
      <c r="J63" s="12"/>
      <c r="K63" s="12"/>
      <c r="L63" s="12"/>
      <c r="M63" s="12"/>
      <c r="N63" s="22"/>
      <c r="O63" s="41"/>
      <c r="P63" s="41"/>
      <c r="Q63" s="41"/>
      <c r="R63" s="41"/>
      <c r="S63" s="41"/>
      <c r="T63" s="41"/>
      <c r="U63" s="41"/>
      <c r="V63" s="41"/>
      <c r="W63" s="41"/>
      <c r="X63" s="41"/>
      <c r="Y63" s="41"/>
      <c r="Z63" s="41"/>
    </row>
    <row r="64" spans="1:26" ht="15.75" customHeight="1" x14ac:dyDescent="0.2">
      <c r="A64" s="12"/>
      <c r="B64" s="16"/>
      <c r="C64" s="16"/>
      <c r="D64" s="12"/>
      <c r="E64" s="12"/>
      <c r="F64" s="12"/>
      <c r="G64" s="12"/>
      <c r="H64" s="12"/>
      <c r="I64" s="12"/>
      <c r="J64" s="12"/>
      <c r="K64" s="12"/>
      <c r="L64" s="12"/>
      <c r="M64" s="12"/>
      <c r="N64" s="22"/>
      <c r="O64" s="41"/>
      <c r="P64" s="41"/>
      <c r="Q64" s="41"/>
      <c r="R64" s="41"/>
      <c r="S64" s="41"/>
      <c r="T64" s="41"/>
      <c r="U64" s="41"/>
      <c r="V64" s="41"/>
      <c r="W64" s="41"/>
      <c r="X64" s="41"/>
      <c r="Y64" s="41"/>
      <c r="Z64" s="41"/>
    </row>
    <row r="65" spans="1:26" ht="15.75" customHeight="1" x14ac:dyDescent="0.2">
      <c r="A65" s="12"/>
      <c r="B65" s="16"/>
      <c r="C65" s="16"/>
      <c r="D65" s="12"/>
      <c r="E65" s="12"/>
      <c r="F65" s="12"/>
      <c r="G65" s="12"/>
      <c r="H65" s="12"/>
      <c r="I65" s="12"/>
      <c r="J65" s="12"/>
      <c r="K65" s="12"/>
      <c r="L65" s="12"/>
      <c r="M65" s="12"/>
      <c r="N65" s="22"/>
      <c r="O65" s="41"/>
      <c r="P65" s="41"/>
      <c r="Q65" s="41"/>
      <c r="R65" s="41"/>
      <c r="S65" s="41"/>
      <c r="T65" s="41"/>
      <c r="U65" s="41"/>
      <c r="V65" s="41"/>
      <c r="W65" s="41"/>
      <c r="X65" s="41"/>
      <c r="Y65" s="41"/>
      <c r="Z65" s="41"/>
    </row>
    <row r="66" spans="1:26" ht="15.75" customHeight="1" x14ac:dyDescent="0.2">
      <c r="A66" s="12"/>
      <c r="B66" s="16"/>
      <c r="C66" s="16"/>
      <c r="D66" s="12"/>
      <c r="E66" s="12"/>
      <c r="F66" s="12"/>
      <c r="G66" s="12"/>
      <c r="H66" s="12"/>
      <c r="I66" s="12"/>
      <c r="J66" s="12"/>
      <c r="K66" s="12"/>
      <c r="L66" s="12"/>
      <c r="M66" s="12"/>
      <c r="N66" s="22"/>
      <c r="O66" s="41"/>
      <c r="P66" s="41"/>
      <c r="Q66" s="41"/>
      <c r="R66" s="41"/>
      <c r="S66" s="41"/>
      <c r="T66" s="41"/>
      <c r="U66" s="41"/>
      <c r="V66" s="41"/>
      <c r="W66" s="41"/>
      <c r="X66" s="41"/>
      <c r="Y66" s="41"/>
      <c r="Z66" s="41"/>
    </row>
    <row r="67" spans="1:26" ht="15.75" customHeight="1" x14ac:dyDescent="0.2">
      <c r="A67" s="12"/>
      <c r="B67" s="16"/>
      <c r="C67" s="16"/>
      <c r="D67" s="12"/>
      <c r="E67" s="12"/>
      <c r="F67" s="12"/>
      <c r="G67" s="12"/>
      <c r="H67" s="12"/>
      <c r="I67" s="12"/>
      <c r="J67" s="12"/>
      <c r="K67" s="12"/>
      <c r="L67" s="12"/>
      <c r="M67" s="12"/>
      <c r="N67" s="22"/>
      <c r="O67" s="41"/>
      <c r="P67" s="41"/>
      <c r="Q67" s="41"/>
      <c r="R67" s="41"/>
      <c r="S67" s="41"/>
      <c r="T67" s="41"/>
      <c r="U67" s="41"/>
      <c r="V67" s="41"/>
      <c r="W67" s="41"/>
      <c r="X67" s="41"/>
      <c r="Y67" s="41"/>
      <c r="Z67" s="41"/>
    </row>
    <row r="68" spans="1:26" ht="15.75" customHeight="1" x14ac:dyDescent="0.2">
      <c r="A68" s="12"/>
      <c r="B68" s="16"/>
      <c r="C68" s="16"/>
      <c r="D68" s="12"/>
      <c r="E68" s="12"/>
      <c r="F68" s="12"/>
      <c r="G68" s="12"/>
      <c r="H68" s="12"/>
      <c r="I68" s="12"/>
      <c r="J68" s="12"/>
      <c r="K68" s="12"/>
      <c r="L68" s="12"/>
      <c r="M68" s="12"/>
      <c r="N68" s="22"/>
      <c r="O68" s="41"/>
      <c r="P68" s="41"/>
      <c r="Q68" s="41"/>
      <c r="R68" s="41"/>
      <c r="S68" s="41"/>
      <c r="T68" s="41"/>
      <c r="U68" s="41"/>
      <c r="V68" s="41"/>
      <c r="W68" s="41"/>
      <c r="X68" s="41"/>
      <c r="Y68" s="41"/>
      <c r="Z68" s="41"/>
    </row>
    <row r="69" spans="1:26" ht="15.75" customHeight="1" x14ac:dyDescent="0.2">
      <c r="A69" s="12"/>
      <c r="B69" s="16"/>
      <c r="C69" s="16"/>
      <c r="D69" s="12"/>
      <c r="E69" s="12"/>
      <c r="F69" s="12"/>
      <c r="G69" s="12"/>
      <c r="H69" s="12"/>
      <c r="I69" s="12"/>
      <c r="J69" s="12"/>
      <c r="K69" s="12"/>
      <c r="L69" s="12"/>
      <c r="M69" s="12"/>
      <c r="N69" s="22"/>
      <c r="O69" s="41"/>
      <c r="P69" s="41"/>
      <c r="Q69" s="41"/>
      <c r="R69" s="41"/>
      <c r="S69" s="41"/>
      <c r="T69" s="41"/>
      <c r="U69" s="41"/>
      <c r="V69" s="41"/>
      <c r="W69" s="41"/>
      <c r="X69" s="41"/>
      <c r="Y69" s="41"/>
      <c r="Z69" s="41"/>
    </row>
    <row r="70" spans="1:26" ht="15.75" customHeight="1" x14ac:dyDescent="0.2">
      <c r="A70" s="12"/>
      <c r="B70" s="16"/>
      <c r="C70" s="16"/>
      <c r="D70" s="12"/>
      <c r="E70" s="12"/>
      <c r="F70" s="12"/>
      <c r="G70" s="12"/>
      <c r="H70" s="12"/>
      <c r="I70" s="12"/>
      <c r="J70" s="12"/>
      <c r="K70" s="12"/>
      <c r="L70" s="12"/>
      <c r="M70" s="12"/>
      <c r="N70" s="22"/>
      <c r="O70" s="41"/>
      <c r="P70" s="41"/>
      <c r="Q70" s="41"/>
      <c r="R70" s="41"/>
      <c r="S70" s="41"/>
      <c r="T70" s="41"/>
      <c r="U70" s="41"/>
      <c r="V70" s="41"/>
      <c r="W70" s="41"/>
      <c r="X70" s="41"/>
      <c r="Y70" s="41"/>
      <c r="Z70" s="41"/>
    </row>
    <row r="71" spans="1:26" ht="15.75" customHeight="1" x14ac:dyDescent="0.2">
      <c r="A71" s="12"/>
      <c r="B71" s="16"/>
      <c r="C71" s="16"/>
      <c r="D71" s="12"/>
      <c r="E71" s="12"/>
      <c r="F71" s="12"/>
      <c r="G71" s="12"/>
      <c r="H71" s="12"/>
      <c r="I71" s="12"/>
      <c r="J71" s="12"/>
      <c r="K71" s="12"/>
      <c r="L71" s="12"/>
      <c r="M71" s="12"/>
      <c r="N71" s="22"/>
      <c r="O71" s="41"/>
      <c r="P71" s="41"/>
      <c r="Q71" s="41"/>
      <c r="R71" s="41"/>
      <c r="S71" s="41"/>
      <c r="T71" s="41"/>
      <c r="U71" s="41"/>
      <c r="V71" s="41"/>
      <c r="W71" s="41"/>
      <c r="X71" s="41"/>
      <c r="Y71" s="41"/>
      <c r="Z71" s="41"/>
    </row>
    <row r="72" spans="1:26" ht="15.75" customHeight="1" x14ac:dyDescent="0.2">
      <c r="A72" s="12"/>
      <c r="B72" s="16"/>
      <c r="C72" s="16"/>
      <c r="D72" s="12"/>
      <c r="E72" s="12"/>
      <c r="F72" s="12"/>
      <c r="G72" s="12"/>
      <c r="H72" s="12"/>
      <c r="I72" s="12"/>
      <c r="J72" s="12"/>
      <c r="K72" s="12"/>
      <c r="L72" s="12"/>
      <c r="M72" s="12"/>
      <c r="N72" s="22"/>
      <c r="O72" s="41"/>
      <c r="P72" s="41"/>
      <c r="Q72" s="41"/>
      <c r="R72" s="41"/>
      <c r="S72" s="41"/>
      <c r="T72" s="41"/>
      <c r="U72" s="41"/>
      <c r="V72" s="41"/>
      <c r="W72" s="41"/>
      <c r="X72" s="41"/>
      <c r="Y72" s="41"/>
      <c r="Z72" s="41"/>
    </row>
    <row r="73" spans="1:26" ht="15.75" customHeight="1" x14ac:dyDescent="0.2">
      <c r="A73" s="12"/>
      <c r="B73" s="16"/>
      <c r="C73" s="16"/>
      <c r="D73" s="12"/>
      <c r="E73" s="12"/>
      <c r="F73" s="12"/>
      <c r="G73" s="12"/>
      <c r="H73" s="12"/>
      <c r="I73" s="12"/>
      <c r="J73" s="12"/>
      <c r="K73" s="12"/>
      <c r="L73" s="12"/>
      <c r="M73" s="12"/>
      <c r="N73" s="22"/>
      <c r="O73" s="41"/>
      <c r="P73" s="41"/>
      <c r="Q73" s="41"/>
      <c r="R73" s="41"/>
      <c r="S73" s="41"/>
      <c r="T73" s="41"/>
      <c r="U73" s="41"/>
      <c r="V73" s="41"/>
      <c r="W73" s="41"/>
      <c r="X73" s="41"/>
      <c r="Y73" s="41"/>
      <c r="Z73" s="41"/>
    </row>
    <row r="74" spans="1:26" ht="15.75" customHeight="1" x14ac:dyDescent="0.2">
      <c r="A74" s="12"/>
      <c r="B74" s="16"/>
      <c r="C74" s="16"/>
      <c r="D74" s="12"/>
      <c r="E74" s="12"/>
      <c r="F74" s="12"/>
      <c r="G74" s="12"/>
      <c r="H74" s="12"/>
      <c r="I74" s="12"/>
      <c r="J74" s="12"/>
      <c r="K74" s="12"/>
      <c r="L74" s="12"/>
      <c r="M74" s="12"/>
      <c r="N74" s="22"/>
      <c r="O74" s="41"/>
      <c r="P74" s="41"/>
      <c r="Q74" s="41"/>
      <c r="R74" s="41"/>
      <c r="S74" s="41"/>
      <c r="T74" s="41"/>
      <c r="U74" s="41"/>
      <c r="V74" s="41"/>
      <c r="W74" s="41"/>
      <c r="X74" s="41"/>
      <c r="Y74" s="41"/>
      <c r="Z74" s="41"/>
    </row>
    <row r="75" spans="1:26" ht="15.75" customHeight="1" x14ac:dyDescent="0.2">
      <c r="A75" s="12"/>
      <c r="B75" s="16"/>
      <c r="C75" s="16"/>
      <c r="D75" s="12"/>
      <c r="E75" s="12"/>
      <c r="F75" s="12"/>
      <c r="G75" s="12"/>
      <c r="H75" s="12"/>
      <c r="I75" s="12"/>
      <c r="J75" s="12"/>
      <c r="K75" s="12"/>
      <c r="L75" s="12"/>
      <c r="M75" s="12"/>
      <c r="N75" s="22"/>
      <c r="O75" s="41"/>
      <c r="P75" s="41"/>
      <c r="Q75" s="41"/>
      <c r="R75" s="41"/>
      <c r="S75" s="41"/>
      <c r="T75" s="41"/>
      <c r="U75" s="41"/>
      <c r="V75" s="41"/>
      <c r="W75" s="41"/>
      <c r="X75" s="41"/>
      <c r="Y75" s="41"/>
      <c r="Z75" s="41"/>
    </row>
    <row r="76" spans="1:26" ht="15.75" customHeight="1" x14ac:dyDescent="0.2">
      <c r="A76" s="12"/>
      <c r="B76" s="16"/>
      <c r="C76" s="16"/>
      <c r="D76" s="12"/>
      <c r="E76" s="12"/>
      <c r="F76" s="12"/>
      <c r="G76" s="12"/>
      <c r="H76" s="12"/>
      <c r="I76" s="12"/>
      <c r="J76" s="12"/>
      <c r="K76" s="12"/>
      <c r="L76" s="12"/>
      <c r="M76" s="12"/>
      <c r="N76" s="22"/>
      <c r="O76" s="41"/>
      <c r="P76" s="41"/>
      <c r="Q76" s="41"/>
      <c r="R76" s="41"/>
      <c r="S76" s="41"/>
      <c r="T76" s="41"/>
      <c r="U76" s="41"/>
      <c r="V76" s="41"/>
      <c r="W76" s="41"/>
      <c r="X76" s="41"/>
      <c r="Y76" s="41"/>
      <c r="Z76" s="41"/>
    </row>
    <row r="77" spans="1:26" ht="15.75" customHeight="1" x14ac:dyDescent="0.2">
      <c r="A77" s="12"/>
      <c r="B77" s="16"/>
      <c r="C77" s="16"/>
      <c r="D77" s="12"/>
      <c r="E77" s="12"/>
      <c r="F77" s="12"/>
      <c r="G77" s="12"/>
      <c r="H77" s="12"/>
      <c r="I77" s="12"/>
      <c r="J77" s="12"/>
      <c r="K77" s="12"/>
      <c r="L77" s="12"/>
      <c r="M77" s="12"/>
      <c r="N77" s="22"/>
      <c r="O77" s="41"/>
      <c r="P77" s="41"/>
      <c r="Q77" s="41"/>
      <c r="R77" s="41"/>
      <c r="S77" s="41"/>
      <c r="T77" s="41"/>
      <c r="U77" s="41"/>
      <c r="V77" s="41"/>
      <c r="W77" s="41"/>
      <c r="X77" s="41"/>
      <c r="Y77" s="41"/>
      <c r="Z77" s="41"/>
    </row>
    <row r="78" spans="1:26" ht="15.75" customHeight="1" x14ac:dyDescent="0.2">
      <c r="A78" s="12"/>
      <c r="B78" s="16"/>
      <c r="C78" s="16"/>
      <c r="D78" s="12"/>
      <c r="E78" s="12"/>
      <c r="F78" s="12"/>
      <c r="G78" s="12"/>
      <c r="H78" s="12"/>
      <c r="I78" s="12"/>
      <c r="J78" s="12"/>
      <c r="K78" s="12"/>
      <c r="L78" s="12"/>
      <c r="M78" s="12"/>
      <c r="N78" s="22"/>
      <c r="O78" s="41"/>
      <c r="P78" s="41"/>
      <c r="Q78" s="41"/>
      <c r="R78" s="41"/>
      <c r="S78" s="41"/>
      <c r="T78" s="41"/>
      <c r="U78" s="41"/>
      <c r="V78" s="41"/>
      <c r="W78" s="41"/>
      <c r="X78" s="41"/>
      <c r="Y78" s="41"/>
      <c r="Z78" s="41"/>
    </row>
    <row r="79" spans="1:26" ht="15.75" customHeight="1" x14ac:dyDescent="0.2">
      <c r="A79" s="12"/>
      <c r="B79" s="16"/>
      <c r="C79" s="16"/>
      <c r="D79" s="12"/>
      <c r="E79" s="12"/>
      <c r="F79" s="12"/>
      <c r="G79" s="12"/>
      <c r="H79" s="12"/>
      <c r="I79" s="12"/>
      <c r="J79" s="12"/>
      <c r="K79" s="12"/>
      <c r="L79" s="12"/>
      <c r="M79" s="12"/>
      <c r="N79" s="22"/>
      <c r="O79" s="41"/>
      <c r="P79" s="41"/>
      <c r="Q79" s="41"/>
      <c r="R79" s="41"/>
      <c r="S79" s="41"/>
      <c r="T79" s="41"/>
      <c r="U79" s="41"/>
      <c r="V79" s="41"/>
      <c r="W79" s="41"/>
      <c r="X79" s="41"/>
      <c r="Y79" s="41"/>
      <c r="Z79" s="41"/>
    </row>
    <row r="80" spans="1:26" ht="15.75" customHeight="1" x14ac:dyDescent="0.2">
      <c r="A80" s="12"/>
      <c r="B80" s="16"/>
      <c r="C80" s="16"/>
      <c r="D80" s="12"/>
      <c r="E80" s="12"/>
      <c r="F80" s="12"/>
      <c r="G80" s="12"/>
      <c r="H80" s="12"/>
      <c r="I80" s="12"/>
      <c r="J80" s="12"/>
      <c r="K80" s="12"/>
      <c r="L80" s="12"/>
      <c r="M80" s="12"/>
      <c r="N80" s="22"/>
      <c r="O80" s="41"/>
      <c r="P80" s="41"/>
      <c r="Q80" s="41"/>
      <c r="R80" s="41"/>
      <c r="S80" s="41"/>
      <c r="T80" s="41"/>
      <c r="U80" s="41"/>
      <c r="V80" s="41"/>
      <c r="W80" s="41"/>
      <c r="X80" s="41"/>
      <c r="Y80" s="41"/>
      <c r="Z80" s="41"/>
    </row>
    <row r="81" spans="1:26" ht="15.75" customHeight="1" x14ac:dyDescent="0.2">
      <c r="A81" s="12"/>
      <c r="B81" s="16"/>
      <c r="C81" s="16"/>
      <c r="D81" s="12"/>
      <c r="E81" s="12"/>
      <c r="F81" s="12"/>
      <c r="G81" s="12"/>
      <c r="H81" s="12"/>
      <c r="I81" s="12"/>
      <c r="J81" s="12"/>
      <c r="K81" s="12"/>
      <c r="L81" s="12"/>
      <c r="M81" s="12"/>
      <c r="N81" s="22"/>
      <c r="O81" s="41"/>
      <c r="P81" s="41"/>
      <c r="Q81" s="41"/>
      <c r="R81" s="41"/>
      <c r="S81" s="41"/>
      <c r="T81" s="41"/>
      <c r="U81" s="41"/>
      <c r="V81" s="41"/>
      <c r="W81" s="41"/>
      <c r="X81" s="41"/>
      <c r="Y81" s="41"/>
      <c r="Z81" s="41"/>
    </row>
    <row r="82" spans="1:26" ht="15.75" customHeight="1" x14ac:dyDescent="0.2">
      <c r="A82" s="12"/>
      <c r="B82" s="16"/>
      <c r="C82" s="16"/>
      <c r="D82" s="12"/>
      <c r="E82" s="12"/>
      <c r="F82" s="12"/>
      <c r="G82" s="12"/>
      <c r="H82" s="12"/>
      <c r="I82" s="12"/>
      <c r="J82" s="12"/>
      <c r="K82" s="12"/>
      <c r="L82" s="12"/>
      <c r="M82" s="12"/>
      <c r="N82" s="22"/>
      <c r="O82" s="41"/>
      <c r="P82" s="41"/>
      <c r="Q82" s="41"/>
      <c r="R82" s="41"/>
      <c r="S82" s="41"/>
      <c r="T82" s="41"/>
      <c r="U82" s="41"/>
      <c r="V82" s="41"/>
      <c r="W82" s="41"/>
      <c r="X82" s="41"/>
      <c r="Y82" s="41"/>
      <c r="Z82" s="41"/>
    </row>
    <row r="83" spans="1:26" ht="15.75" customHeight="1" x14ac:dyDescent="0.2">
      <c r="A83" s="12"/>
      <c r="B83" s="16"/>
      <c r="C83" s="16"/>
      <c r="D83" s="12"/>
      <c r="E83" s="12"/>
      <c r="F83" s="12"/>
      <c r="G83" s="12"/>
      <c r="H83" s="12"/>
      <c r="I83" s="12"/>
      <c r="J83" s="12"/>
      <c r="K83" s="12"/>
      <c r="L83" s="12"/>
      <c r="M83" s="12"/>
      <c r="N83" s="22"/>
      <c r="O83" s="41"/>
      <c r="P83" s="41"/>
      <c r="Q83" s="41"/>
      <c r="R83" s="41"/>
      <c r="S83" s="41"/>
      <c r="T83" s="41"/>
      <c r="U83" s="41"/>
      <c r="V83" s="41"/>
      <c r="W83" s="41"/>
      <c r="X83" s="41"/>
      <c r="Y83" s="41"/>
      <c r="Z83" s="41"/>
    </row>
    <row r="84" spans="1:26" ht="15.75" customHeight="1" x14ac:dyDescent="0.2">
      <c r="A84" s="12"/>
      <c r="B84" s="16"/>
      <c r="C84" s="16"/>
      <c r="D84" s="12"/>
      <c r="E84" s="12"/>
      <c r="F84" s="12"/>
      <c r="G84" s="12"/>
      <c r="H84" s="12"/>
      <c r="I84" s="12"/>
      <c r="J84" s="12"/>
      <c r="K84" s="12"/>
      <c r="L84" s="12"/>
      <c r="M84" s="12"/>
      <c r="N84" s="22"/>
      <c r="O84" s="41"/>
      <c r="P84" s="41"/>
      <c r="Q84" s="41"/>
      <c r="R84" s="41"/>
      <c r="S84" s="41"/>
      <c r="T84" s="41"/>
      <c r="U84" s="41"/>
      <c r="V84" s="41"/>
      <c r="W84" s="41"/>
      <c r="X84" s="41"/>
      <c r="Y84" s="41"/>
      <c r="Z84" s="41"/>
    </row>
    <row r="85" spans="1:26" ht="15.75" customHeight="1" x14ac:dyDescent="0.2">
      <c r="A85" s="12"/>
      <c r="B85" s="16"/>
      <c r="C85" s="16"/>
      <c r="D85" s="12"/>
      <c r="E85" s="12"/>
      <c r="F85" s="12"/>
      <c r="G85" s="12"/>
      <c r="H85" s="12"/>
      <c r="I85" s="12"/>
      <c r="J85" s="12"/>
      <c r="K85" s="12"/>
      <c r="L85" s="12"/>
      <c r="M85" s="12"/>
      <c r="N85" s="22"/>
      <c r="O85" s="41"/>
      <c r="P85" s="41"/>
      <c r="Q85" s="41"/>
      <c r="R85" s="41"/>
      <c r="S85" s="41"/>
      <c r="T85" s="41"/>
      <c r="U85" s="41"/>
      <c r="V85" s="41"/>
      <c r="W85" s="41"/>
      <c r="X85" s="41"/>
      <c r="Y85" s="41"/>
      <c r="Z85" s="41"/>
    </row>
    <row r="86" spans="1:26" ht="15.75" customHeight="1" x14ac:dyDescent="0.2">
      <c r="A86" s="12"/>
      <c r="B86" s="16"/>
      <c r="C86" s="16"/>
      <c r="D86" s="12"/>
      <c r="E86" s="12"/>
      <c r="F86" s="12"/>
      <c r="G86" s="12"/>
      <c r="H86" s="12"/>
      <c r="I86" s="12"/>
      <c r="J86" s="12"/>
      <c r="K86" s="12"/>
      <c r="L86" s="12"/>
      <c r="M86" s="12"/>
      <c r="N86" s="22"/>
      <c r="O86" s="41"/>
      <c r="P86" s="41"/>
      <c r="Q86" s="41"/>
      <c r="R86" s="41"/>
      <c r="S86" s="41"/>
      <c r="T86" s="41"/>
      <c r="U86" s="41"/>
      <c r="V86" s="41"/>
      <c r="W86" s="41"/>
      <c r="X86" s="41"/>
      <c r="Y86" s="41"/>
      <c r="Z86" s="41"/>
    </row>
    <row r="87" spans="1:26" ht="15.75" customHeight="1" x14ac:dyDescent="0.2">
      <c r="A87" s="12"/>
      <c r="B87" s="16"/>
      <c r="C87" s="16"/>
      <c r="D87" s="12"/>
      <c r="E87" s="12"/>
      <c r="F87" s="12"/>
      <c r="G87" s="12"/>
      <c r="H87" s="12"/>
      <c r="I87" s="12"/>
      <c r="J87" s="12"/>
      <c r="K87" s="12"/>
      <c r="L87" s="12"/>
      <c r="M87" s="12"/>
      <c r="N87" s="22"/>
      <c r="O87" s="41"/>
      <c r="P87" s="41"/>
      <c r="Q87" s="41"/>
      <c r="R87" s="41"/>
      <c r="S87" s="41"/>
      <c r="T87" s="41"/>
      <c r="U87" s="41"/>
      <c r="V87" s="41"/>
      <c r="W87" s="41"/>
      <c r="X87" s="41"/>
      <c r="Y87" s="41"/>
      <c r="Z87" s="41"/>
    </row>
    <row r="88" spans="1:26" ht="15.75" customHeight="1" x14ac:dyDescent="0.2">
      <c r="A88" s="12"/>
      <c r="B88" s="16"/>
      <c r="C88" s="16"/>
      <c r="D88" s="12"/>
      <c r="E88" s="12"/>
      <c r="F88" s="12"/>
      <c r="G88" s="12"/>
      <c r="H88" s="12"/>
      <c r="I88" s="12"/>
      <c r="J88" s="12"/>
      <c r="K88" s="12"/>
      <c r="L88" s="12"/>
      <c r="M88" s="12"/>
      <c r="N88" s="22"/>
      <c r="O88" s="41"/>
      <c r="P88" s="41"/>
      <c r="Q88" s="41"/>
      <c r="R88" s="41"/>
      <c r="S88" s="41"/>
      <c r="T88" s="41"/>
      <c r="U88" s="41"/>
      <c r="V88" s="41"/>
      <c r="W88" s="41"/>
      <c r="X88" s="41"/>
      <c r="Y88" s="41"/>
      <c r="Z88" s="41"/>
    </row>
    <row r="89" spans="1:26" ht="15.75" customHeight="1" x14ac:dyDescent="0.2">
      <c r="A89" s="12"/>
      <c r="B89" s="16"/>
      <c r="C89" s="16"/>
      <c r="D89" s="12"/>
      <c r="E89" s="12"/>
      <c r="F89" s="12"/>
      <c r="G89" s="12"/>
      <c r="H89" s="12"/>
      <c r="I89" s="12"/>
      <c r="J89" s="12"/>
      <c r="K89" s="12"/>
      <c r="L89" s="12"/>
      <c r="M89" s="12"/>
      <c r="N89" s="22"/>
      <c r="O89" s="41"/>
      <c r="P89" s="41"/>
      <c r="Q89" s="41"/>
      <c r="R89" s="41"/>
      <c r="S89" s="41"/>
      <c r="T89" s="41"/>
      <c r="U89" s="41"/>
      <c r="V89" s="41"/>
      <c r="W89" s="41"/>
      <c r="X89" s="41"/>
      <c r="Y89" s="41"/>
      <c r="Z89" s="41"/>
    </row>
    <row r="90" spans="1:26" ht="15.75" customHeight="1" x14ac:dyDescent="0.2">
      <c r="A90" s="12"/>
      <c r="B90" s="16"/>
      <c r="C90" s="16"/>
      <c r="D90" s="12"/>
      <c r="E90" s="12"/>
      <c r="F90" s="12"/>
      <c r="G90" s="12"/>
      <c r="H90" s="12"/>
      <c r="I90" s="12"/>
      <c r="J90" s="12"/>
      <c r="K90" s="12"/>
      <c r="L90" s="12"/>
      <c r="M90" s="12"/>
      <c r="N90" s="22"/>
      <c r="O90" s="41"/>
      <c r="P90" s="41"/>
      <c r="Q90" s="41"/>
      <c r="R90" s="41"/>
      <c r="S90" s="41"/>
      <c r="T90" s="41"/>
      <c r="U90" s="41"/>
      <c r="V90" s="41"/>
      <c r="W90" s="41"/>
      <c r="X90" s="41"/>
      <c r="Y90" s="41"/>
      <c r="Z90" s="41"/>
    </row>
    <row r="91" spans="1:26" ht="15.75" customHeight="1" x14ac:dyDescent="0.2">
      <c r="A91" s="12"/>
      <c r="B91" s="16"/>
      <c r="C91" s="16"/>
      <c r="D91" s="12"/>
      <c r="E91" s="12"/>
      <c r="F91" s="12"/>
      <c r="G91" s="12"/>
      <c r="H91" s="12"/>
      <c r="I91" s="12"/>
      <c r="J91" s="12"/>
      <c r="K91" s="12"/>
      <c r="L91" s="12"/>
      <c r="M91" s="12"/>
      <c r="N91" s="22"/>
      <c r="O91" s="41"/>
      <c r="P91" s="41"/>
      <c r="Q91" s="41"/>
      <c r="R91" s="41"/>
      <c r="S91" s="41"/>
      <c r="T91" s="41"/>
      <c r="U91" s="41"/>
      <c r="V91" s="41"/>
      <c r="W91" s="41"/>
      <c r="X91" s="41"/>
      <c r="Y91" s="41"/>
      <c r="Z91" s="41"/>
    </row>
    <row r="92" spans="1:26" ht="15.75" customHeight="1" x14ac:dyDescent="0.2">
      <c r="A92" s="12"/>
      <c r="B92" s="16"/>
      <c r="C92" s="16"/>
      <c r="D92" s="12"/>
      <c r="E92" s="12"/>
      <c r="F92" s="12"/>
      <c r="G92" s="12"/>
      <c r="H92" s="12"/>
      <c r="I92" s="12"/>
      <c r="J92" s="12"/>
      <c r="K92" s="12"/>
      <c r="L92" s="12"/>
      <c r="M92" s="12"/>
      <c r="N92" s="22"/>
      <c r="O92" s="41"/>
      <c r="P92" s="41"/>
      <c r="Q92" s="41"/>
      <c r="R92" s="41"/>
      <c r="S92" s="41"/>
      <c r="T92" s="41"/>
      <c r="U92" s="41"/>
      <c r="V92" s="41"/>
      <c r="W92" s="41"/>
      <c r="X92" s="41"/>
      <c r="Y92" s="41"/>
      <c r="Z92" s="41"/>
    </row>
    <row r="93" spans="1:26" ht="15.75" customHeight="1" x14ac:dyDescent="0.2">
      <c r="A93" s="12"/>
      <c r="B93" s="16"/>
      <c r="C93" s="16"/>
      <c r="D93" s="12"/>
      <c r="E93" s="12"/>
      <c r="F93" s="12"/>
      <c r="G93" s="12"/>
      <c r="H93" s="12"/>
      <c r="I93" s="12"/>
      <c r="J93" s="12"/>
      <c r="K93" s="12"/>
      <c r="L93" s="12"/>
      <c r="M93" s="12"/>
      <c r="N93" s="22"/>
      <c r="O93" s="41"/>
      <c r="P93" s="41"/>
      <c r="Q93" s="41"/>
      <c r="R93" s="41"/>
      <c r="S93" s="41"/>
      <c r="T93" s="41"/>
      <c r="U93" s="41"/>
      <c r="V93" s="41"/>
      <c r="W93" s="41"/>
      <c r="X93" s="41"/>
      <c r="Y93" s="41"/>
      <c r="Z93" s="41"/>
    </row>
    <row r="94" spans="1:26" ht="15.75" customHeight="1" x14ac:dyDescent="0.2">
      <c r="A94" s="12"/>
      <c r="B94" s="16"/>
      <c r="C94" s="16"/>
      <c r="D94" s="12"/>
      <c r="E94" s="12"/>
      <c r="F94" s="12"/>
      <c r="G94" s="12"/>
      <c r="H94" s="12"/>
      <c r="I94" s="12"/>
      <c r="J94" s="12"/>
      <c r="K94" s="12"/>
      <c r="L94" s="12"/>
      <c r="M94" s="12"/>
      <c r="N94" s="22"/>
      <c r="O94" s="41"/>
      <c r="P94" s="41"/>
      <c r="Q94" s="41"/>
      <c r="R94" s="41"/>
      <c r="S94" s="41"/>
      <c r="T94" s="41"/>
      <c r="U94" s="41"/>
      <c r="V94" s="41"/>
      <c r="W94" s="41"/>
      <c r="X94" s="41"/>
      <c r="Y94" s="41"/>
      <c r="Z94" s="41"/>
    </row>
    <row r="95" spans="1:26" ht="15.75" customHeight="1" x14ac:dyDescent="0.2">
      <c r="A95" s="12"/>
      <c r="B95" s="16"/>
      <c r="C95" s="16"/>
      <c r="D95" s="12"/>
      <c r="E95" s="12"/>
      <c r="F95" s="12"/>
      <c r="G95" s="12"/>
      <c r="H95" s="12"/>
      <c r="I95" s="12"/>
      <c r="J95" s="12"/>
      <c r="K95" s="12"/>
      <c r="L95" s="12"/>
      <c r="M95" s="12"/>
      <c r="N95" s="22"/>
      <c r="O95" s="41"/>
      <c r="P95" s="41"/>
      <c r="Q95" s="41"/>
      <c r="R95" s="41"/>
      <c r="S95" s="41"/>
      <c r="T95" s="41"/>
      <c r="U95" s="41"/>
      <c r="V95" s="41"/>
      <c r="W95" s="41"/>
      <c r="X95" s="41"/>
      <c r="Y95" s="41"/>
      <c r="Z95" s="41"/>
    </row>
    <row r="96" spans="1:26" ht="15.75" customHeight="1" x14ac:dyDescent="0.2">
      <c r="A96" s="12"/>
      <c r="B96" s="16"/>
      <c r="C96" s="16"/>
      <c r="D96" s="12"/>
      <c r="E96" s="12"/>
      <c r="F96" s="12"/>
      <c r="G96" s="12"/>
      <c r="H96" s="12"/>
      <c r="I96" s="12"/>
      <c r="J96" s="12"/>
      <c r="K96" s="12"/>
      <c r="L96" s="12"/>
      <c r="M96" s="12"/>
      <c r="N96" s="22"/>
      <c r="O96" s="41"/>
      <c r="P96" s="41"/>
      <c r="Q96" s="41"/>
      <c r="R96" s="41"/>
      <c r="S96" s="41"/>
      <c r="T96" s="41"/>
      <c r="U96" s="41"/>
      <c r="V96" s="41"/>
      <c r="W96" s="41"/>
      <c r="X96" s="41"/>
      <c r="Y96" s="41"/>
      <c r="Z96" s="41"/>
    </row>
    <row r="97" spans="1:26" ht="15.75" customHeight="1" x14ac:dyDescent="0.2">
      <c r="A97" s="12"/>
      <c r="B97" s="16"/>
      <c r="C97" s="16"/>
      <c r="D97" s="12"/>
      <c r="E97" s="12"/>
      <c r="F97" s="12"/>
      <c r="G97" s="12"/>
      <c r="H97" s="12"/>
      <c r="I97" s="12"/>
      <c r="J97" s="12"/>
      <c r="K97" s="12"/>
      <c r="L97" s="12"/>
      <c r="M97" s="12"/>
      <c r="N97" s="22"/>
      <c r="O97" s="41"/>
      <c r="P97" s="41"/>
      <c r="Q97" s="41"/>
      <c r="R97" s="41"/>
      <c r="S97" s="41"/>
      <c r="T97" s="41"/>
      <c r="U97" s="41"/>
      <c r="V97" s="41"/>
      <c r="W97" s="41"/>
      <c r="X97" s="41"/>
      <c r="Y97" s="41"/>
      <c r="Z97" s="41"/>
    </row>
    <row r="98" spans="1:26" ht="15.75" customHeight="1" x14ac:dyDescent="0.2">
      <c r="A98" s="12"/>
      <c r="B98" s="16"/>
      <c r="C98" s="16"/>
      <c r="D98" s="12"/>
      <c r="E98" s="12"/>
      <c r="F98" s="12"/>
      <c r="G98" s="12"/>
      <c r="H98" s="12"/>
      <c r="I98" s="12"/>
      <c r="J98" s="12"/>
      <c r="K98" s="12"/>
      <c r="L98" s="12"/>
      <c r="M98" s="12"/>
      <c r="N98" s="22"/>
      <c r="O98" s="41"/>
      <c r="P98" s="41"/>
      <c r="Q98" s="41"/>
      <c r="R98" s="41"/>
      <c r="S98" s="41"/>
      <c r="T98" s="41"/>
      <c r="U98" s="41"/>
      <c r="V98" s="41"/>
      <c r="W98" s="41"/>
      <c r="X98" s="41"/>
      <c r="Y98" s="41"/>
      <c r="Z98" s="41"/>
    </row>
    <row r="99" spans="1:26" ht="15.75" customHeight="1" x14ac:dyDescent="0.2">
      <c r="A99" s="12"/>
      <c r="B99" s="16"/>
      <c r="C99" s="16"/>
      <c r="D99" s="12"/>
      <c r="E99" s="12"/>
      <c r="F99" s="12"/>
      <c r="G99" s="12"/>
      <c r="H99" s="12"/>
      <c r="I99" s="12"/>
      <c r="J99" s="12"/>
      <c r="K99" s="12"/>
      <c r="L99" s="12"/>
      <c r="M99" s="12"/>
      <c r="N99" s="22"/>
      <c r="O99" s="41"/>
      <c r="P99" s="41"/>
      <c r="Q99" s="41"/>
      <c r="R99" s="41"/>
      <c r="S99" s="41"/>
      <c r="T99" s="41"/>
      <c r="U99" s="41"/>
      <c r="V99" s="41"/>
      <c r="W99" s="41"/>
      <c r="X99" s="41"/>
      <c r="Y99" s="41"/>
      <c r="Z99" s="41"/>
    </row>
    <row r="100" spans="1:26" ht="15.75" customHeight="1" x14ac:dyDescent="0.2">
      <c r="A100" s="12"/>
      <c r="B100" s="16"/>
      <c r="C100" s="16"/>
      <c r="D100" s="12"/>
      <c r="E100" s="12"/>
      <c r="F100" s="12"/>
      <c r="G100" s="12"/>
      <c r="H100" s="12"/>
      <c r="I100" s="12"/>
      <c r="J100" s="12"/>
      <c r="K100" s="12"/>
      <c r="L100" s="12"/>
      <c r="M100" s="12"/>
      <c r="N100" s="22"/>
      <c r="O100" s="41"/>
      <c r="P100" s="41"/>
      <c r="Q100" s="41"/>
      <c r="R100" s="41"/>
      <c r="S100" s="41"/>
      <c r="T100" s="41"/>
      <c r="U100" s="41"/>
      <c r="V100" s="41"/>
      <c r="W100" s="41"/>
      <c r="X100" s="41"/>
      <c r="Y100" s="41"/>
      <c r="Z100" s="41"/>
    </row>
    <row r="101" spans="1:26" ht="15.75" customHeight="1" x14ac:dyDescent="0.2">
      <c r="A101" s="12"/>
      <c r="B101" s="16"/>
      <c r="C101" s="16"/>
      <c r="D101" s="12"/>
      <c r="E101" s="12"/>
      <c r="F101" s="12"/>
      <c r="G101" s="12"/>
      <c r="H101" s="12"/>
      <c r="I101" s="12"/>
      <c r="J101" s="12"/>
      <c r="K101" s="12"/>
      <c r="L101" s="12"/>
      <c r="M101" s="12"/>
      <c r="N101" s="22"/>
      <c r="O101" s="41"/>
      <c r="P101" s="41"/>
      <c r="Q101" s="41"/>
      <c r="R101" s="41"/>
      <c r="S101" s="41"/>
      <c r="T101" s="41"/>
      <c r="U101" s="41"/>
      <c r="V101" s="41"/>
      <c r="W101" s="41"/>
      <c r="X101" s="41"/>
      <c r="Y101" s="41"/>
      <c r="Z101" s="41"/>
    </row>
    <row r="102" spans="1:26" ht="15.75" customHeight="1" x14ac:dyDescent="0.2">
      <c r="A102" s="12"/>
      <c r="B102" s="16"/>
      <c r="C102" s="16"/>
      <c r="D102" s="12"/>
      <c r="E102" s="12"/>
      <c r="F102" s="12"/>
      <c r="G102" s="12"/>
      <c r="H102" s="12"/>
      <c r="I102" s="12"/>
      <c r="J102" s="12"/>
      <c r="K102" s="12"/>
      <c r="L102" s="12"/>
      <c r="M102" s="12"/>
      <c r="N102" s="22"/>
      <c r="O102" s="41"/>
      <c r="P102" s="41"/>
      <c r="Q102" s="41"/>
      <c r="R102" s="41"/>
      <c r="S102" s="41"/>
      <c r="T102" s="41"/>
      <c r="U102" s="41"/>
      <c r="V102" s="41"/>
      <c r="W102" s="41"/>
      <c r="X102" s="41"/>
      <c r="Y102" s="41"/>
      <c r="Z102" s="41"/>
    </row>
    <row r="103" spans="1:26" ht="15.75" customHeight="1" x14ac:dyDescent="0.2">
      <c r="A103" s="12"/>
      <c r="B103" s="16"/>
      <c r="C103" s="16"/>
      <c r="D103" s="12"/>
      <c r="E103" s="12"/>
      <c r="F103" s="12"/>
      <c r="G103" s="12"/>
      <c r="H103" s="12"/>
      <c r="I103" s="12"/>
      <c r="J103" s="12"/>
      <c r="K103" s="12"/>
      <c r="L103" s="12"/>
      <c r="M103" s="12"/>
      <c r="N103" s="22"/>
      <c r="O103" s="41"/>
      <c r="P103" s="41"/>
      <c r="Q103" s="41"/>
      <c r="R103" s="41"/>
      <c r="S103" s="41"/>
      <c r="T103" s="41"/>
      <c r="U103" s="41"/>
      <c r="V103" s="41"/>
      <c r="W103" s="41"/>
      <c r="X103" s="41"/>
      <c r="Y103" s="41"/>
      <c r="Z103" s="41"/>
    </row>
    <row r="104" spans="1:26" ht="15.75" customHeight="1" x14ac:dyDescent="0.2">
      <c r="A104" s="12"/>
      <c r="B104" s="16"/>
      <c r="C104" s="16"/>
      <c r="D104" s="12"/>
      <c r="E104" s="12"/>
      <c r="F104" s="12"/>
      <c r="G104" s="12"/>
      <c r="H104" s="12"/>
      <c r="I104" s="12"/>
      <c r="J104" s="12"/>
      <c r="K104" s="12"/>
      <c r="L104" s="12"/>
      <c r="M104" s="12"/>
      <c r="N104" s="22"/>
      <c r="O104" s="41"/>
      <c r="P104" s="41"/>
      <c r="Q104" s="41"/>
      <c r="R104" s="41"/>
      <c r="S104" s="41"/>
      <c r="T104" s="41"/>
      <c r="U104" s="41"/>
      <c r="V104" s="41"/>
      <c r="W104" s="41"/>
      <c r="X104" s="41"/>
      <c r="Y104" s="41"/>
      <c r="Z104" s="41"/>
    </row>
    <row r="105" spans="1:26" ht="15.75" customHeight="1" x14ac:dyDescent="0.2">
      <c r="A105" s="12"/>
      <c r="B105" s="16"/>
      <c r="C105" s="16"/>
      <c r="D105" s="12"/>
      <c r="E105" s="12"/>
      <c r="F105" s="12"/>
      <c r="G105" s="12"/>
      <c r="H105" s="12"/>
      <c r="I105" s="12"/>
      <c r="J105" s="12"/>
      <c r="K105" s="12"/>
      <c r="L105" s="12"/>
      <c r="M105" s="12"/>
      <c r="N105" s="22"/>
      <c r="O105" s="41"/>
      <c r="P105" s="41"/>
      <c r="Q105" s="41"/>
      <c r="R105" s="41"/>
      <c r="S105" s="41"/>
      <c r="T105" s="41"/>
      <c r="U105" s="41"/>
      <c r="V105" s="41"/>
      <c r="W105" s="41"/>
      <c r="X105" s="41"/>
      <c r="Y105" s="41"/>
      <c r="Z105" s="41"/>
    </row>
    <row r="106" spans="1:26" ht="15.75" customHeight="1" x14ac:dyDescent="0.2">
      <c r="A106" s="12"/>
      <c r="B106" s="16"/>
      <c r="C106" s="16"/>
      <c r="D106" s="12"/>
      <c r="E106" s="12"/>
      <c r="F106" s="12"/>
      <c r="G106" s="12"/>
      <c r="H106" s="12"/>
      <c r="I106" s="12"/>
      <c r="J106" s="12"/>
      <c r="K106" s="12"/>
      <c r="L106" s="12"/>
      <c r="M106" s="12"/>
      <c r="N106" s="22"/>
      <c r="O106" s="41"/>
      <c r="P106" s="41"/>
      <c r="Q106" s="41"/>
      <c r="R106" s="41"/>
      <c r="S106" s="41"/>
      <c r="T106" s="41"/>
      <c r="U106" s="41"/>
      <c r="V106" s="41"/>
      <c r="W106" s="41"/>
      <c r="X106" s="41"/>
      <c r="Y106" s="41"/>
      <c r="Z106" s="41"/>
    </row>
    <row r="107" spans="1:26" ht="15.75" customHeight="1" x14ac:dyDescent="0.2">
      <c r="A107" s="12"/>
      <c r="B107" s="16"/>
      <c r="C107" s="16"/>
      <c r="D107" s="12"/>
      <c r="E107" s="12"/>
      <c r="F107" s="12"/>
      <c r="G107" s="12"/>
      <c r="H107" s="12"/>
      <c r="I107" s="12"/>
      <c r="J107" s="12"/>
      <c r="K107" s="12"/>
      <c r="L107" s="12"/>
      <c r="M107" s="12"/>
      <c r="N107" s="22"/>
      <c r="O107" s="41"/>
      <c r="P107" s="41"/>
      <c r="Q107" s="41"/>
      <c r="R107" s="41"/>
      <c r="S107" s="41"/>
      <c r="T107" s="41"/>
      <c r="U107" s="41"/>
      <c r="V107" s="41"/>
      <c r="W107" s="41"/>
      <c r="X107" s="41"/>
      <c r="Y107" s="41"/>
      <c r="Z107" s="41"/>
    </row>
    <row r="108" spans="1:26" ht="15.75" customHeight="1" x14ac:dyDescent="0.2">
      <c r="A108" s="12"/>
      <c r="B108" s="16"/>
      <c r="C108" s="16"/>
      <c r="D108" s="12"/>
      <c r="E108" s="12"/>
      <c r="F108" s="12"/>
      <c r="G108" s="12"/>
      <c r="H108" s="12"/>
      <c r="I108" s="12"/>
      <c r="J108" s="12"/>
      <c r="K108" s="12"/>
      <c r="L108" s="12"/>
      <c r="M108" s="12"/>
      <c r="N108" s="22"/>
      <c r="O108" s="41"/>
      <c r="P108" s="41"/>
      <c r="Q108" s="41"/>
      <c r="R108" s="41"/>
      <c r="S108" s="41"/>
      <c r="T108" s="41"/>
      <c r="U108" s="41"/>
      <c r="V108" s="41"/>
      <c r="W108" s="41"/>
      <c r="X108" s="41"/>
      <c r="Y108" s="41"/>
      <c r="Z108" s="41"/>
    </row>
    <row r="109" spans="1:26" ht="15.75" customHeight="1" x14ac:dyDescent="0.2">
      <c r="A109" s="12"/>
      <c r="B109" s="16"/>
      <c r="C109" s="16"/>
      <c r="D109" s="12"/>
      <c r="E109" s="12"/>
      <c r="F109" s="12"/>
      <c r="G109" s="12"/>
      <c r="H109" s="12"/>
      <c r="I109" s="12"/>
      <c r="J109" s="12"/>
      <c r="K109" s="12"/>
      <c r="L109" s="12"/>
      <c r="M109" s="12"/>
      <c r="N109" s="22"/>
      <c r="O109" s="41"/>
      <c r="P109" s="41"/>
      <c r="Q109" s="41"/>
      <c r="R109" s="41"/>
      <c r="S109" s="41"/>
      <c r="T109" s="41"/>
      <c r="U109" s="41"/>
      <c r="V109" s="41"/>
      <c r="W109" s="41"/>
      <c r="X109" s="41"/>
      <c r="Y109" s="41"/>
      <c r="Z109" s="41"/>
    </row>
    <row r="110" spans="1:26" ht="15.75" customHeight="1" x14ac:dyDescent="0.2">
      <c r="A110" s="12"/>
      <c r="B110" s="16"/>
      <c r="C110" s="16"/>
      <c r="D110" s="12"/>
      <c r="E110" s="12"/>
      <c r="F110" s="12"/>
      <c r="G110" s="12"/>
      <c r="H110" s="12"/>
      <c r="I110" s="12"/>
      <c r="J110" s="12"/>
      <c r="K110" s="12"/>
      <c r="L110" s="12"/>
      <c r="M110" s="12"/>
      <c r="N110" s="22"/>
      <c r="O110" s="41"/>
      <c r="P110" s="41"/>
      <c r="Q110" s="41"/>
      <c r="R110" s="41"/>
      <c r="S110" s="41"/>
      <c r="T110" s="41"/>
      <c r="U110" s="41"/>
      <c r="V110" s="41"/>
      <c r="W110" s="41"/>
      <c r="X110" s="41"/>
      <c r="Y110" s="41"/>
      <c r="Z110" s="41"/>
    </row>
    <row r="111" spans="1:26" ht="15.75" customHeight="1" x14ac:dyDescent="0.2">
      <c r="A111" s="12"/>
      <c r="B111" s="16"/>
      <c r="C111" s="16"/>
      <c r="D111" s="12"/>
      <c r="E111" s="12"/>
      <c r="F111" s="12"/>
      <c r="G111" s="12"/>
      <c r="H111" s="12"/>
      <c r="I111" s="12"/>
      <c r="J111" s="12"/>
      <c r="K111" s="12"/>
      <c r="L111" s="12"/>
      <c r="M111" s="12"/>
      <c r="N111" s="22"/>
      <c r="O111" s="41"/>
      <c r="P111" s="41"/>
      <c r="Q111" s="41"/>
      <c r="R111" s="41"/>
      <c r="S111" s="41"/>
      <c r="T111" s="41"/>
      <c r="U111" s="41"/>
      <c r="V111" s="41"/>
      <c r="W111" s="41"/>
      <c r="X111" s="41"/>
      <c r="Y111" s="41"/>
      <c r="Z111" s="41"/>
    </row>
    <row r="112" spans="1:26" ht="15.75" customHeight="1" x14ac:dyDescent="0.2">
      <c r="A112" s="12"/>
      <c r="B112" s="16"/>
      <c r="C112" s="16"/>
      <c r="D112" s="12"/>
      <c r="E112" s="12"/>
      <c r="F112" s="12"/>
      <c r="G112" s="12"/>
      <c r="H112" s="12"/>
      <c r="I112" s="12"/>
      <c r="J112" s="12"/>
      <c r="K112" s="12"/>
      <c r="L112" s="12"/>
      <c r="M112" s="12"/>
      <c r="N112" s="22"/>
      <c r="O112" s="41"/>
      <c r="P112" s="41"/>
      <c r="Q112" s="41"/>
      <c r="R112" s="41"/>
      <c r="S112" s="41"/>
      <c r="T112" s="41"/>
      <c r="U112" s="41"/>
      <c r="V112" s="41"/>
      <c r="W112" s="41"/>
      <c r="X112" s="41"/>
      <c r="Y112" s="41"/>
      <c r="Z112" s="41"/>
    </row>
    <row r="113" spans="1:26" ht="15.75" customHeight="1" x14ac:dyDescent="0.2">
      <c r="A113" s="12"/>
      <c r="B113" s="16"/>
      <c r="C113" s="16"/>
      <c r="D113" s="12"/>
      <c r="E113" s="12"/>
      <c r="F113" s="12"/>
      <c r="G113" s="12"/>
      <c r="H113" s="12"/>
      <c r="I113" s="12"/>
      <c r="J113" s="12"/>
      <c r="K113" s="12"/>
      <c r="L113" s="12"/>
      <c r="M113" s="12"/>
      <c r="N113" s="22"/>
      <c r="O113" s="41"/>
      <c r="P113" s="41"/>
      <c r="Q113" s="41"/>
      <c r="R113" s="41"/>
      <c r="S113" s="41"/>
      <c r="T113" s="41"/>
      <c r="U113" s="41"/>
      <c r="V113" s="41"/>
      <c r="W113" s="41"/>
      <c r="X113" s="41"/>
      <c r="Y113" s="41"/>
      <c r="Z113" s="41"/>
    </row>
    <row r="114" spans="1:26" ht="15.75" customHeight="1" x14ac:dyDescent="0.2">
      <c r="A114" s="12"/>
      <c r="B114" s="16"/>
      <c r="C114" s="16"/>
      <c r="D114" s="12"/>
      <c r="E114" s="12"/>
      <c r="F114" s="12"/>
      <c r="G114" s="12"/>
      <c r="H114" s="12"/>
      <c r="I114" s="12"/>
      <c r="J114" s="12"/>
      <c r="K114" s="12"/>
      <c r="L114" s="12"/>
      <c r="M114" s="12"/>
      <c r="N114" s="22"/>
      <c r="O114" s="41"/>
      <c r="P114" s="41"/>
      <c r="Q114" s="41"/>
      <c r="R114" s="41"/>
      <c r="S114" s="41"/>
      <c r="T114" s="41"/>
      <c r="U114" s="41"/>
      <c r="V114" s="41"/>
      <c r="W114" s="41"/>
      <c r="X114" s="41"/>
      <c r="Y114" s="41"/>
      <c r="Z114" s="41"/>
    </row>
    <row r="115" spans="1:26" ht="15.75" customHeight="1" x14ac:dyDescent="0.2">
      <c r="A115" s="12"/>
      <c r="B115" s="16"/>
      <c r="C115" s="16"/>
      <c r="D115" s="12"/>
      <c r="E115" s="12"/>
      <c r="F115" s="12"/>
      <c r="G115" s="12"/>
      <c r="H115" s="12"/>
      <c r="I115" s="12"/>
      <c r="J115" s="12"/>
      <c r="K115" s="12"/>
      <c r="L115" s="12"/>
      <c r="M115" s="12"/>
      <c r="N115" s="22"/>
      <c r="O115" s="41"/>
      <c r="P115" s="41"/>
      <c r="Q115" s="41"/>
      <c r="R115" s="41"/>
      <c r="S115" s="41"/>
      <c r="T115" s="41"/>
      <c r="U115" s="41"/>
      <c r="V115" s="41"/>
      <c r="W115" s="41"/>
      <c r="X115" s="41"/>
      <c r="Y115" s="41"/>
      <c r="Z115" s="41"/>
    </row>
    <row r="116" spans="1:26" ht="15.75" customHeight="1" x14ac:dyDescent="0.2">
      <c r="A116" s="12"/>
      <c r="B116" s="16"/>
      <c r="C116" s="16"/>
      <c r="D116" s="12"/>
      <c r="E116" s="12"/>
      <c r="F116" s="12"/>
      <c r="G116" s="12"/>
      <c r="H116" s="12"/>
      <c r="I116" s="12"/>
      <c r="J116" s="12"/>
      <c r="K116" s="12"/>
      <c r="L116" s="12"/>
      <c r="M116" s="12"/>
      <c r="N116" s="22"/>
      <c r="O116" s="41"/>
      <c r="P116" s="41"/>
      <c r="Q116" s="41"/>
      <c r="R116" s="41"/>
      <c r="S116" s="41"/>
      <c r="T116" s="41"/>
      <c r="U116" s="41"/>
      <c r="V116" s="41"/>
      <c r="W116" s="41"/>
      <c r="X116" s="41"/>
      <c r="Y116" s="41"/>
      <c r="Z116" s="41"/>
    </row>
    <row r="117" spans="1:26" ht="15.75" customHeight="1" x14ac:dyDescent="0.2">
      <c r="A117" s="12"/>
      <c r="B117" s="16"/>
      <c r="C117" s="16"/>
      <c r="D117" s="12"/>
      <c r="E117" s="12"/>
      <c r="F117" s="12"/>
      <c r="G117" s="12"/>
      <c r="H117" s="12"/>
      <c r="I117" s="12"/>
      <c r="J117" s="12"/>
      <c r="K117" s="12"/>
      <c r="L117" s="12"/>
      <c r="M117" s="12"/>
      <c r="N117" s="22"/>
      <c r="O117" s="41"/>
      <c r="P117" s="41"/>
      <c r="Q117" s="41"/>
      <c r="R117" s="41"/>
      <c r="S117" s="41"/>
      <c r="T117" s="41"/>
      <c r="U117" s="41"/>
      <c r="V117" s="41"/>
      <c r="W117" s="41"/>
      <c r="X117" s="41"/>
      <c r="Y117" s="41"/>
      <c r="Z117" s="41"/>
    </row>
    <row r="118" spans="1:26" ht="15.75" customHeight="1" x14ac:dyDescent="0.2">
      <c r="A118" s="12"/>
      <c r="B118" s="16"/>
      <c r="C118" s="16"/>
      <c r="D118" s="12"/>
      <c r="E118" s="12"/>
      <c r="F118" s="12"/>
      <c r="G118" s="12"/>
      <c r="H118" s="12"/>
      <c r="I118" s="12"/>
      <c r="J118" s="12"/>
      <c r="K118" s="12"/>
      <c r="L118" s="12"/>
      <c r="M118" s="12"/>
      <c r="N118" s="22"/>
      <c r="O118" s="41"/>
      <c r="P118" s="41"/>
      <c r="Q118" s="41"/>
      <c r="R118" s="41"/>
      <c r="S118" s="41"/>
      <c r="T118" s="41"/>
      <c r="U118" s="41"/>
      <c r="V118" s="41"/>
      <c r="W118" s="41"/>
      <c r="X118" s="41"/>
      <c r="Y118" s="41"/>
      <c r="Z118" s="41"/>
    </row>
    <row r="119" spans="1:26" ht="15.75" customHeight="1" x14ac:dyDescent="0.2">
      <c r="A119" s="12"/>
      <c r="B119" s="16"/>
      <c r="C119" s="16"/>
      <c r="D119" s="12"/>
      <c r="E119" s="12"/>
      <c r="F119" s="12"/>
      <c r="G119" s="12"/>
      <c r="H119" s="12"/>
      <c r="I119" s="12"/>
      <c r="J119" s="12"/>
      <c r="K119" s="12"/>
      <c r="L119" s="12"/>
      <c r="M119" s="12"/>
      <c r="N119" s="22"/>
      <c r="O119" s="41"/>
      <c r="P119" s="41"/>
      <c r="Q119" s="41"/>
      <c r="R119" s="41"/>
      <c r="S119" s="41"/>
      <c r="T119" s="41"/>
      <c r="U119" s="41"/>
      <c r="V119" s="41"/>
      <c r="W119" s="41"/>
      <c r="X119" s="41"/>
      <c r="Y119" s="41"/>
      <c r="Z119" s="41"/>
    </row>
    <row r="120" spans="1:26" ht="15.75" customHeight="1" x14ac:dyDescent="0.2">
      <c r="A120" s="12"/>
      <c r="B120" s="16"/>
      <c r="C120" s="16"/>
      <c r="D120" s="12"/>
      <c r="E120" s="12"/>
      <c r="F120" s="12"/>
      <c r="G120" s="12"/>
      <c r="H120" s="12"/>
      <c r="I120" s="12"/>
      <c r="J120" s="12"/>
      <c r="K120" s="12"/>
      <c r="L120" s="12"/>
      <c r="M120" s="12"/>
      <c r="N120" s="22"/>
      <c r="O120" s="41"/>
      <c r="P120" s="41"/>
      <c r="Q120" s="41"/>
      <c r="R120" s="41"/>
      <c r="S120" s="41"/>
      <c r="T120" s="41"/>
      <c r="U120" s="41"/>
      <c r="V120" s="41"/>
      <c r="W120" s="41"/>
      <c r="X120" s="41"/>
      <c r="Y120" s="41"/>
      <c r="Z120" s="41"/>
    </row>
    <row r="121" spans="1:26" ht="15.75" customHeight="1" x14ac:dyDescent="0.2">
      <c r="A121" s="12"/>
      <c r="B121" s="16"/>
      <c r="C121" s="16"/>
      <c r="D121" s="12"/>
      <c r="E121" s="12"/>
      <c r="F121" s="12"/>
      <c r="G121" s="12"/>
      <c r="H121" s="12"/>
      <c r="I121" s="12"/>
      <c r="J121" s="12"/>
      <c r="K121" s="12"/>
      <c r="L121" s="12"/>
      <c r="M121" s="12"/>
      <c r="N121" s="22"/>
      <c r="O121" s="41"/>
      <c r="P121" s="41"/>
      <c r="Q121" s="41"/>
      <c r="R121" s="41"/>
      <c r="S121" s="41"/>
      <c r="T121" s="41"/>
      <c r="U121" s="41"/>
      <c r="V121" s="41"/>
      <c r="W121" s="41"/>
      <c r="X121" s="41"/>
      <c r="Y121" s="41"/>
      <c r="Z121" s="41"/>
    </row>
    <row r="122" spans="1:26" ht="15.75" customHeight="1" x14ac:dyDescent="0.2">
      <c r="A122" s="12"/>
      <c r="B122" s="16"/>
      <c r="C122" s="16"/>
      <c r="D122" s="12"/>
      <c r="E122" s="12"/>
      <c r="F122" s="12"/>
      <c r="G122" s="12"/>
      <c r="H122" s="12"/>
      <c r="I122" s="12"/>
      <c r="J122" s="12"/>
      <c r="K122" s="12"/>
      <c r="L122" s="12"/>
      <c r="M122" s="12"/>
      <c r="N122" s="22"/>
      <c r="O122" s="41"/>
      <c r="P122" s="41"/>
      <c r="Q122" s="41"/>
      <c r="R122" s="41"/>
      <c r="S122" s="41"/>
      <c r="T122" s="41"/>
      <c r="U122" s="41"/>
      <c r="V122" s="41"/>
      <c r="W122" s="41"/>
      <c r="X122" s="41"/>
      <c r="Y122" s="41"/>
      <c r="Z122" s="41"/>
    </row>
    <row r="123" spans="1:26" ht="15.75" customHeight="1" x14ac:dyDescent="0.2">
      <c r="A123" s="12"/>
      <c r="B123" s="16"/>
      <c r="C123" s="16"/>
      <c r="D123" s="12"/>
      <c r="E123" s="12"/>
      <c r="F123" s="12"/>
      <c r="G123" s="12"/>
      <c r="H123" s="12"/>
      <c r="I123" s="12"/>
      <c r="J123" s="12"/>
      <c r="K123" s="12"/>
      <c r="L123" s="12"/>
      <c r="M123" s="12"/>
      <c r="N123" s="22"/>
      <c r="O123" s="41"/>
      <c r="P123" s="41"/>
      <c r="Q123" s="41"/>
      <c r="R123" s="41"/>
      <c r="S123" s="41"/>
      <c r="T123" s="41"/>
      <c r="U123" s="41"/>
      <c r="V123" s="41"/>
      <c r="W123" s="41"/>
      <c r="X123" s="41"/>
      <c r="Y123" s="41"/>
      <c r="Z123" s="41"/>
    </row>
    <row r="124" spans="1:26" ht="15.75" customHeight="1" x14ac:dyDescent="0.2">
      <c r="A124" s="12"/>
      <c r="B124" s="16"/>
      <c r="C124" s="16"/>
      <c r="D124" s="12"/>
      <c r="E124" s="12"/>
      <c r="F124" s="12"/>
      <c r="G124" s="12"/>
      <c r="H124" s="12"/>
      <c r="I124" s="12"/>
      <c r="J124" s="12"/>
      <c r="K124" s="12"/>
      <c r="L124" s="12"/>
      <c r="M124" s="12"/>
      <c r="N124" s="22"/>
      <c r="O124" s="41"/>
      <c r="P124" s="41"/>
      <c r="Q124" s="41"/>
      <c r="R124" s="41"/>
      <c r="S124" s="41"/>
      <c r="T124" s="41"/>
      <c r="U124" s="41"/>
      <c r="V124" s="41"/>
      <c r="W124" s="41"/>
      <c r="X124" s="41"/>
      <c r="Y124" s="41"/>
      <c r="Z124" s="41"/>
    </row>
    <row r="125" spans="1:26" ht="15.75" customHeight="1" x14ac:dyDescent="0.2">
      <c r="A125" s="12"/>
      <c r="B125" s="16"/>
      <c r="C125" s="16"/>
      <c r="D125" s="12"/>
      <c r="E125" s="12"/>
      <c r="F125" s="12"/>
      <c r="G125" s="12"/>
      <c r="H125" s="12"/>
      <c r="I125" s="12"/>
      <c r="J125" s="12"/>
      <c r="K125" s="12"/>
      <c r="L125" s="12"/>
      <c r="M125" s="12"/>
      <c r="N125" s="22"/>
      <c r="O125" s="41"/>
      <c r="P125" s="41"/>
      <c r="Q125" s="41"/>
      <c r="R125" s="41"/>
      <c r="S125" s="41"/>
      <c r="T125" s="41"/>
      <c r="U125" s="41"/>
      <c r="V125" s="41"/>
      <c r="W125" s="41"/>
      <c r="X125" s="41"/>
      <c r="Y125" s="41"/>
      <c r="Z125" s="41"/>
    </row>
    <row r="126" spans="1:26" ht="15.75" customHeight="1" x14ac:dyDescent="0.2">
      <c r="A126" s="12"/>
      <c r="B126" s="16"/>
      <c r="C126" s="16"/>
      <c r="D126" s="12"/>
      <c r="E126" s="12"/>
      <c r="F126" s="12"/>
      <c r="G126" s="12"/>
      <c r="H126" s="12"/>
      <c r="I126" s="12"/>
      <c r="J126" s="12"/>
      <c r="K126" s="12"/>
      <c r="L126" s="12"/>
      <c r="M126" s="12"/>
      <c r="N126" s="22"/>
      <c r="O126" s="41"/>
      <c r="P126" s="41"/>
      <c r="Q126" s="41"/>
      <c r="R126" s="41"/>
      <c r="S126" s="41"/>
      <c r="T126" s="41"/>
      <c r="U126" s="41"/>
      <c r="V126" s="41"/>
      <c r="W126" s="41"/>
      <c r="X126" s="41"/>
      <c r="Y126" s="41"/>
      <c r="Z126" s="41"/>
    </row>
    <row r="127" spans="1:26" ht="15.75" customHeight="1" x14ac:dyDescent="0.2">
      <c r="A127" s="12"/>
      <c r="B127" s="16"/>
      <c r="C127" s="16"/>
      <c r="D127" s="12"/>
      <c r="E127" s="12"/>
      <c r="F127" s="12"/>
      <c r="G127" s="12"/>
      <c r="H127" s="12"/>
      <c r="I127" s="12"/>
      <c r="J127" s="12"/>
      <c r="K127" s="12"/>
      <c r="L127" s="12"/>
      <c r="M127" s="12"/>
      <c r="N127" s="22"/>
      <c r="O127" s="41"/>
      <c r="P127" s="41"/>
      <c r="Q127" s="41"/>
      <c r="R127" s="41"/>
      <c r="S127" s="41"/>
      <c r="T127" s="41"/>
      <c r="U127" s="41"/>
      <c r="V127" s="41"/>
      <c r="W127" s="41"/>
      <c r="X127" s="41"/>
      <c r="Y127" s="41"/>
      <c r="Z127" s="41"/>
    </row>
    <row r="128" spans="1:26" ht="15.75" customHeight="1" x14ac:dyDescent="0.2">
      <c r="A128" s="12"/>
      <c r="B128" s="16"/>
      <c r="C128" s="16"/>
      <c r="D128" s="12"/>
      <c r="E128" s="12"/>
      <c r="F128" s="12"/>
      <c r="G128" s="12"/>
      <c r="H128" s="12"/>
      <c r="I128" s="12"/>
      <c r="J128" s="12"/>
      <c r="K128" s="12"/>
      <c r="L128" s="12"/>
      <c r="M128" s="12"/>
      <c r="N128" s="22"/>
      <c r="O128" s="41"/>
      <c r="P128" s="41"/>
      <c r="Q128" s="41"/>
      <c r="R128" s="41"/>
      <c r="S128" s="41"/>
      <c r="T128" s="41"/>
      <c r="U128" s="41"/>
      <c r="V128" s="41"/>
      <c r="W128" s="41"/>
      <c r="X128" s="41"/>
      <c r="Y128" s="41"/>
      <c r="Z128" s="41"/>
    </row>
    <row r="129" spans="1:26" ht="15.75" customHeight="1" x14ac:dyDescent="0.2">
      <c r="A129" s="12"/>
      <c r="B129" s="16"/>
      <c r="C129" s="16"/>
      <c r="D129" s="12"/>
      <c r="E129" s="12"/>
      <c r="F129" s="12"/>
      <c r="G129" s="12"/>
      <c r="H129" s="12"/>
      <c r="I129" s="12"/>
      <c r="J129" s="12"/>
      <c r="K129" s="12"/>
      <c r="L129" s="12"/>
      <c r="M129" s="12"/>
      <c r="N129" s="22"/>
      <c r="O129" s="41"/>
      <c r="P129" s="41"/>
      <c r="Q129" s="41"/>
      <c r="R129" s="41"/>
      <c r="S129" s="41"/>
      <c r="T129" s="41"/>
      <c r="U129" s="41"/>
      <c r="V129" s="41"/>
      <c r="W129" s="41"/>
      <c r="X129" s="41"/>
      <c r="Y129" s="41"/>
      <c r="Z129" s="41"/>
    </row>
    <row r="130" spans="1:26" ht="15.75" customHeight="1" x14ac:dyDescent="0.2">
      <c r="A130" s="12"/>
      <c r="B130" s="16"/>
      <c r="C130" s="16"/>
      <c r="D130" s="12"/>
      <c r="E130" s="12"/>
      <c r="F130" s="12"/>
      <c r="G130" s="12"/>
      <c r="H130" s="12"/>
      <c r="I130" s="12"/>
      <c r="J130" s="12"/>
      <c r="K130" s="12"/>
      <c r="L130" s="12"/>
      <c r="M130" s="12"/>
      <c r="N130" s="22"/>
      <c r="O130" s="41"/>
      <c r="P130" s="41"/>
      <c r="Q130" s="41"/>
      <c r="R130" s="41"/>
      <c r="S130" s="41"/>
      <c r="T130" s="41"/>
      <c r="U130" s="41"/>
      <c r="V130" s="41"/>
      <c r="W130" s="41"/>
      <c r="X130" s="41"/>
      <c r="Y130" s="41"/>
      <c r="Z130" s="41"/>
    </row>
    <row r="131" spans="1:26" ht="15.75" customHeight="1" x14ac:dyDescent="0.2">
      <c r="A131" s="12"/>
      <c r="B131" s="16"/>
      <c r="C131" s="16"/>
      <c r="D131" s="12"/>
      <c r="E131" s="12"/>
      <c r="F131" s="12"/>
      <c r="G131" s="12"/>
      <c r="H131" s="12"/>
      <c r="I131" s="12"/>
      <c r="J131" s="12"/>
      <c r="K131" s="12"/>
      <c r="L131" s="12"/>
      <c r="M131" s="12"/>
      <c r="N131" s="22"/>
      <c r="O131" s="41"/>
      <c r="P131" s="41"/>
      <c r="Q131" s="41"/>
      <c r="R131" s="41"/>
      <c r="S131" s="41"/>
      <c r="T131" s="41"/>
      <c r="U131" s="41"/>
      <c r="V131" s="41"/>
      <c r="W131" s="41"/>
      <c r="X131" s="41"/>
      <c r="Y131" s="41"/>
      <c r="Z131" s="41"/>
    </row>
    <row r="132" spans="1:26" ht="15.75" customHeight="1" x14ac:dyDescent="0.2">
      <c r="A132" s="12"/>
      <c r="B132" s="16"/>
      <c r="C132" s="16"/>
      <c r="D132" s="12"/>
      <c r="E132" s="12"/>
      <c r="F132" s="12"/>
      <c r="G132" s="12"/>
      <c r="H132" s="12"/>
      <c r="I132" s="12"/>
      <c r="J132" s="12"/>
      <c r="K132" s="12"/>
      <c r="L132" s="12"/>
      <c r="M132" s="12"/>
      <c r="N132" s="22"/>
      <c r="O132" s="41"/>
      <c r="P132" s="41"/>
      <c r="Q132" s="41"/>
      <c r="R132" s="41"/>
      <c r="S132" s="41"/>
      <c r="T132" s="41"/>
      <c r="U132" s="41"/>
      <c r="V132" s="41"/>
      <c r="W132" s="41"/>
      <c r="X132" s="41"/>
      <c r="Y132" s="41"/>
      <c r="Z132" s="41"/>
    </row>
    <row r="133" spans="1:26" ht="15.75" customHeight="1" x14ac:dyDescent="0.2">
      <c r="A133" s="12"/>
      <c r="B133" s="16"/>
      <c r="C133" s="16"/>
      <c r="D133" s="12"/>
      <c r="E133" s="12"/>
      <c r="F133" s="12"/>
      <c r="G133" s="12"/>
      <c r="H133" s="12"/>
      <c r="I133" s="12"/>
      <c r="J133" s="12"/>
      <c r="K133" s="12"/>
      <c r="L133" s="12"/>
      <c r="M133" s="12"/>
      <c r="N133" s="22"/>
      <c r="O133" s="41"/>
      <c r="P133" s="41"/>
      <c r="Q133" s="41"/>
      <c r="R133" s="41"/>
      <c r="S133" s="41"/>
      <c r="T133" s="41"/>
      <c r="U133" s="41"/>
      <c r="V133" s="41"/>
      <c r="W133" s="41"/>
      <c r="X133" s="41"/>
      <c r="Y133" s="41"/>
      <c r="Z133" s="41"/>
    </row>
    <row r="134" spans="1:26" ht="15.75" customHeight="1" x14ac:dyDescent="0.2">
      <c r="A134" s="12"/>
      <c r="B134" s="16"/>
      <c r="C134" s="16"/>
      <c r="D134" s="12"/>
      <c r="E134" s="12"/>
      <c r="F134" s="12"/>
      <c r="G134" s="12"/>
      <c r="H134" s="12"/>
      <c r="I134" s="12"/>
      <c r="J134" s="12"/>
      <c r="K134" s="12"/>
      <c r="L134" s="12"/>
      <c r="M134" s="12"/>
      <c r="N134" s="22"/>
      <c r="O134" s="41"/>
      <c r="P134" s="41"/>
      <c r="Q134" s="41"/>
      <c r="R134" s="41"/>
      <c r="S134" s="41"/>
      <c r="T134" s="41"/>
      <c r="U134" s="41"/>
      <c r="V134" s="41"/>
      <c r="W134" s="41"/>
      <c r="X134" s="41"/>
      <c r="Y134" s="41"/>
      <c r="Z134" s="41"/>
    </row>
    <row r="135" spans="1:26" ht="15.75" customHeight="1" x14ac:dyDescent="0.2">
      <c r="A135" s="12"/>
      <c r="B135" s="16"/>
      <c r="C135" s="16"/>
      <c r="D135" s="12"/>
      <c r="E135" s="12"/>
      <c r="F135" s="12"/>
      <c r="G135" s="12"/>
      <c r="H135" s="12"/>
      <c r="I135" s="12"/>
      <c r="J135" s="12"/>
      <c r="K135" s="12"/>
      <c r="L135" s="12"/>
      <c r="M135" s="12"/>
      <c r="N135" s="22"/>
      <c r="O135" s="41"/>
      <c r="P135" s="41"/>
      <c r="Q135" s="41"/>
      <c r="R135" s="41"/>
      <c r="S135" s="41"/>
      <c r="T135" s="41"/>
      <c r="U135" s="41"/>
      <c r="V135" s="41"/>
      <c r="W135" s="41"/>
      <c r="X135" s="41"/>
      <c r="Y135" s="41"/>
      <c r="Z135" s="41"/>
    </row>
    <row r="136" spans="1:26" ht="15.75" customHeight="1" x14ac:dyDescent="0.2">
      <c r="A136" s="12"/>
      <c r="B136" s="16"/>
      <c r="C136" s="16"/>
      <c r="D136" s="12"/>
      <c r="E136" s="12"/>
      <c r="F136" s="12"/>
      <c r="G136" s="12"/>
      <c r="H136" s="12"/>
      <c r="I136" s="12"/>
      <c r="J136" s="12"/>
      <c r="K136" s="12"/>
      <c r="L136" s="12"/>
      <c r="M136" s="12"/>
      <c r="N136" s="22"/>
      <c r="O136" s="41"/>
      <c r="P136" s="41"/>
      <c r="Q136" s="41"/>
      <c r="R136" s="41"/>
      <c r="S136" s="41"/>
      <c r="T136" s="41"/>
      <c r="U136" s="41"/>
      <c r="V136" s="41"/>
      <c r="W136" s="41"/>
      <c r="X136" s="41"/>
      <c r="Y136" s="41"/>
      <c r="Z136" s="41"/>
    </row>
    <row r="137" spans="1:26" ht="15.75" customHeight="1" x14ac:dyDescent="0.2">
      <c r="A137" s="12"/>
      <c r="B137" s="16"/>
      <c r="C137" s="16"/>
      <c r="D137" s="12"/>
      <c r="E137" s="12"/>
      <c r="F137" s="12"/>
      <c r="G137" s="12"/>
      <c r="H137" s="12"/>
      <c r="I137" s="12"/>
      <c r="J137" s="12"/>
      <c r="K137" s="12"/>
      <c r="L137" s="12"/>
      <c r="M137" s="12"/>
      <c r="N137" s="22"/>
      <c r="O137" s="41"/>
      <c r="P137" s="41"/>
      <c r="Q137" s="41"/>
      <c r="R137" s="41"/>
      <c r="S137" s="41"/>
      <c r="T137" s="41"/>
      <c r="U137" s="41"/>
      <c r="V137" s="41"/>
      <c r="W137" s="41"/>
      <c r="X137" s="41"/>
      <c r="Y137" s="41"/>
      <c r="Z137" s="41"/>
    </row>
    <row r="138" spans="1:26" ht="15.75" customHeight="1" x14ac:dyDescent="0.2">
      <c r="A138" s="12"/>
      <c r="B138" s="16"/>
      <c r="C138" s="16"/>
      <c r="D138" s="12"/>
      <c r="E138" s="12"/>
      <c r="F138" s="12"/>
      <c r="G138" s="12"/>
      <c r="H138" s="12"/>
      <c r="I138" s="12"/>
      <c r="J138" s="12"/>
      <c r="K138" s="12"/>
      <c r="L138" s="12"/>
      <c r="M138" s="12"/>
      <c r="N138" s="22"/>
      <c r="O138" s="41"/>
      <c r="P138" s="41"/>
      <c r="Q138" s="41"/>
      <c r="R138" s="41"/>
      <c r="S138" s="41"/>
      <c r="T138" s="41"/>
      <c r="U138" s="41"/>
      <c r="V138" s="41"/>
      <c r="W138" s="41"/>
      <c r="X138" s="41"/>
      <c r="Y138" s="41"/>
      <c r="Z138" s="41"/>
    </row>
    <row r="139" spans="1:26" ht="15.75" customHeight="1" x14ac:dyDescent="0.2">
      <c r="A139" s="12"/>
      <c r="B139" s="16"/>
      <c r="C139" s="16"/>
      <c r="D139" s="12"/>
      <c r="E139" s="12"/>
      <c r="F139" s="12"/>
      <c r="G139" s="12"/>
      <c r="H139" s="12"/>
      <c r="I139" s="12"/>
      <c r="J139" s="12"/>
      <c r="K139" s="12"/>
      <c r="L139" s="12"/>
      <c r="M139" s="12"/>
      <c r="N139" s="22"/>
      <c r="O139" s="41"/>
      <c r="P139" s="41"/>
      <c r="Q139" s="41"/>
      <c r="R139" s="41"/>
      <c r="S139" s="41"/>
      <c r="T139" s="41"/>
      <c r="U139" s="41"/>
      <c r="V139" s="41"/>
      <c r="W139" s="41"/>
      <c r="X139" s="41"/>
      <c r="Y139" s="41"/>
      <c r="Z139" s="41"/>
    </row>
    <row r="140" spans="1:26" ht="15.75" customHeight="1" x14ac:dyDescent="0.2">
      <c r="A140" s="12"/>
      <c r="B140" s="16"/>
      <c r="C140" s="16"/>
      <c r="D140" s="12"/>
      <c r="E140" s="12"/>
      <c r="F140" s="12"/>
      <c r="G140" s="12"/>
      <c r="H140" s="12"/>
      <c r="I140" s="12"/>
      <c r="J140" s="12"/>
      <c r="K140" s="12"/>
      <c r="L140" s="12"/>
      <c r="M140" s="12"/>
      <c r="N140" s="22"/>
      <c r="O140" s="41"/>
      <c r="P140" s="41"/>
      <c r="Q140" s="41"/>
      <c r="R140" s="41"/>
      <c r="S140" s="41"/>
      <c r="T140" s="41"/>
      <c r="U140" s="41"/>
      <c r="V140" s="41"/>
      <c r="W140" s="41"/>
      <c r="X140" s="41"/>
      <c r="Y140" s="41"/>
      <c r="Z140" s="41"/>
    </row>
    <row r="141" spans="1:26" ht="15.75" customHeight="1" x14ac:dyDescent="0.2">
      <c r="A141" s="12"/>
      <c r="B141" s="16"/>
      <c r="C141" s="16"/>
      <c r="D141" s="12"/>
      <c r="E141" s="12"/>
      <c r="F141" s="12"/>
      <c r="G141" s="12"/>
      <c r="H141" s="12"/>
      <c r="I141" s="12"/>
      <c r="J141" s="12"/>
      <c r="K141" s="12"/>
      <c r="L141" s="12"/>
      <c r="M141" s="12"/>
      <c r="N141" s="22"/>
      <c r="O141" s="41"/>
      <c r="P141" s="41"/>
      <c r="Q141" s="41"/>
      <c r="R141" s="41"/>
      <c r="S141" s="41"/>
      <c r="T141" s="41"/>
      <c r="U141" s="41"/>
      <c r="V141" s="41"/>
      <c r="W141" s="41"/>
      <c r="X141" s="41"/>
      <c r="Y141" s="41"/>
      <c r="Z141" s="41"/>
    </row>
    <row r="142" spans="1:26" ht="15.75" customHeight="1" x14ac:dyDescent="0.2">
      <c r="A142" s="12"/>
      <c r="B142" s="16"/>
      <c r="C142" s="16"/>
      <c r="D142" s="12"/>
      <c r="E142" s="12"/>
      <c r="F142" s="12"/>
      <c r="G142" s="12"/>
      <c r="H142" s="12"/>
      <c r="I142" s="12"/>
      <c r="J142" s="12"/>
      <c r="K142" s="12"/>
      <c r="L142" s="12"/>
      <c r="M142" s="12"/>
      <c r="N142" s="22"/>
      <c r="O142" s="41"/>
      <c r="P142" s="41"/>
      <c r="Q142" s="41"/>
      <c r="R142" s="41"/>
      <c r="S142" s="41"/>
      <c r="T142" s="41"/>
      <c r="U142" s="41"/>
      <c r="V142" s="41"/>
      <c r="W142" s="41"/>
      <c r="X142" s="41"/>
      <c r="Y142" s="41"/>
      <c r="Z142" s="41"/>
    </row>
    <row r="143" spans="1:26" ht="15.75" customHeight="1" x14ac:dyDescent="0.2">
      <c r="A143" s="12"/>
      <c r="B143" s="16"/>
      <c r="C143" s="16"/>
      <c r="D143" s="12"/>
      <c r="E143" s="12"/>
      <c r="F143" s="12"/>
      <c r="G143" s="12"/>
      <c r="H143" s="12"/>
      <c r="I143" s="12"/>
      <c r="J143" s="12"/>
      <c r="K143" s="12"/>
      <c r="L143" s="12"/>
      <c r="M143" s="12"/>
      <c r="N143" s="22"/>
      <c r="O143" s="41"/>
      <c r="P143" s="41"/>
      <c r="Q143" s="41"/>
      <c r="R143" s="41"/>
      <c r="S143" s="41"/>
      <c r="T143" s="41"/>
      <c r="U143" s="41"/>
      <c r="V143" s="41"/>
      <c r="W143" s="41"/>
      <c r="X143" s="41"/>
      <c r="Y143" s="41"/>
      <c r="Z143" s="41"/>
    </row>
    <row r="144" spans="1:26" ht="15.75" customHeight="1" x14ac:dyDescent="0.2">
      <c r="A144" s="12"/>
      <c r="B144" s="16"/>
      <c r="C144" s="16"/>
      <c r="D144" s="12"/>
      <c r="E144" s="12"/>
      <c r="F144" s="12"/>
      <c r="G144" s="12"/>
      <c r="H144" s="12"/>
      <c r="I144" s="12"/>
      <c r="J144" s="12"/>
      <c r="K144" s="12"/>
      <c r="L144" s="12"/>
      <c r="M144" s="12"/>
      <c r="N144" s="22"/>
      <c r="O144" s="41"/>
      <c r="P144" s="41"/>
      <c r="Q144" s="41"/>
      <c r="R144" s="41"/>
      <c r="S144" s="41"/>
      <c r="T144" s="41"/>
      <c r="U144" s="41"/>
      <c r="V144" s="41"/>
      <c r="W144" s="41"/>
      <c r="X144" s="41"/>
      <c r="Y144" s="41"/>
      <c r="Z144" s="41"/>
    </row>
    <row r="145" spans="1:26" ht="15.75" customHeight="1" x14ac:dyDescent="0.2">
      <c r="A145" s="12"/>
      <c r="B145" s="16"/>
      <c r="C145" s="16"/>
      <c r="D145" s="12"/>
      <c r="E145" s="12"/>
      <c r="F145" s="12"/>
      <c r="G145" s="12"/>
      <c r="H145" s="12"/>
      <c r="I145" s="12"/>
      <c r="J145" s="12"/>
      <c r="K145" s="12"/>
      <c r="L145" s="12"/>
      <c r="M145" s="12"/>
      <c r="N145" s="22"/>
      <c r="O145" s="41"/>
      <c r="P145" s="41"/>
      <c r="Q145" s="41"/>
      <c r="R145" s="41"/>
      <c r="S145" s="41"/>
      <c r="T145" s="41"/>
      <c r="U145" s="41"/>
      <c r="V145" s="41"/>
      <c r="W145" s="41"/>
      <c r="X145" s="41"/>
      <c r="Y145" s="41"/>
      <c r="Z145" s="41"/>
    </row>
    <row r="146" spans="1:26" ht="15.75" customHeight="1" x14ac:dyDescent="0.2">
      <c r="A146" s="12"/>
      <c r="B146" s="16"/>
      <c r="C146" s="16"/>
      <c r="D146" s="12"/>
      <c r="E146" s="12"/>
      <c r="F146" s="12"/>
      <c r="G146" s="12"/>
      <c r="H146" s="12"/>
      <c r="I146" s="12"/>
      <c r="J146" s="12"/>
      <c r="K146" s="12"/>
      <c r="L146" s="12"/>
      <c r="M146" s="12"/>
      <c r="N146" s="22"/>
      <c r="O146" s="41"/>
      <c r="P146" s="41"/>
      <c r="Q146" s="41"/>
      <c r="R146" s="41"/>
      <c r="S146" s="41"/>
      <c r="T146" s="41"/>
      <c r="U146" s="41"/>
      <c r="V146" s="41"/>
      <c r="W146" s="41"/>
      <c r="X146" s="41"/>
      <c r="Y146" s="41"/>
      <c r="Z146" s="41"/>
    </row>
    <row r="147" spans="1:26" ht="15.75" customHeight="1" x14ac:dyDescent="0.2">
      <c r="A147" s="12"/>
      <c r="B147" s="16"/>
      <c r="C147" s="16"/>
      <c r="D147" s="12"/>
      <c r="E147" s="12"/>
      <c r="F147" s="12"/>
      <c r="G147" s="12"/>
      <c r="H147" s="12"/>
      <c r="I147" s="12"/>
      <c r="J147" s="12"/>
      <c r="K147" s="12"/>
      <c r="L147" s="12"/>
      <c r="M147" s="12"/>
      <c r="N147" s="22"/>
      <c r="O147" s="41"/>
      <c r="P147" s="41"/>
      <c r="Q147" s="41"/>
      <c r="R147" s="41"/>
      <c r="S147" s="41"/>
      <c r="T147" s="41"/>
      <c r="U147" s="41"/>
      <c r="V147" s="41"/>
      <c r="W147" s="41"/>
      <c r="X147" s="41"/>
      <c r="Y147" s="41"/>
      <c r="Z147" s="41"/>
    </row>
    <row r="148" spans="1:26" ht="15.75" customHeight="1" x14ac:dyDescent="0.2">
      <c r="A148" s="12"/>
      <c r="B148" s="16"/>
      <c r="C148" s="16"/>
      <c r="D148" s="12"/>
      <c r="E148" s="12"/>
      <c r="F148" s="12"/>
      <c r="G148" s="12"/>
      <c r="H148" s="12"/>
      <c r="I148" s="12"/>
      <c r="J148" s="12"/>
      <c r="K148" s="12"/>
      <c r="L148" s="12"/>
      <c r="M148" s="12"/>
      <c r="N148" s="22"/>
      <c r="O148" s="41"/>
      <c r="P148" s="41"/>
      <c r="Q148" s="41"/>
      <c r="R148" s="41"/>
      <c r="S148" s="41"/>
      <c r="T148" s="41"/>
      <c r="U148" s="41"/>
      <c r="V148" s="41"/>
      <c r="W148" s="41"/>
      <c r="X148" s="41"/>
      <c r="Y148" s="41"/>
      <c r="Z148" s="41"/>
    </row>
    <row r="149" spans="1:26" ht="15.75" customHeight="1" x14ac:dyDescent="0.2">
      <c r="A149" s="12"/>
      <c r="B149" s="16"/>
      <c r="C149" s="16"/>
      <c r="D149" s="12"/>
      <c r="E149" s="12"/>
      <c r="F149" s="12"/>
      <c r="G149" s="12"/>
      <c r="H149" s="12"/>
      <c r="I149" s="12"/>
      <c r="J149" s="12"/>
      <c r="K149" s="12"/>
      <c r="L149" s="12"/>
      <c r="M149" s="12"/>
      <c r="N149" s="22"/>
      <c r="O149" s="41"/>
      <c r="P149" s="41"/>
      <c r="Q149" s="41"/>
      <c r="R149" s="41"/>
      <c r="S149" s="41"/>
      <c r="T149" s="41"/>
      <c r="U149" s="41"/>
      <c r="V149" s="41"/>
      <c r="W149" s="41"/>
      <c r="X149" s="41"/>
      <c r="Y149" s="41"/>
      <c r="Z149" s="41"/>
    </row>
    <row r="150" spans="1:26" ht="15.75" customHeight="1" x14ac:dyDescent="0.2">
      <c r="A150" s="12"/>
      <c r="B150" s="16"/>
      <c r="C150" s="16"/>
      <c r="D150" s="12"/>
      <c r="E150" s="12"/>
      <c r="F150" s="12"/>
      <c r="G150" s="12"/>
      <c r="H150" s="12"/>
      <c r="I150" s="12"/>
      <c r="J150" s="12"/>
      <c r="K150" s="12"/>
      <c r="L150" s="12"/>
      <c r="M150" s="12"/>
      <c r="N150" s="22"/>
      <c r="O150" s="41"/>
      <c r="P150" s="41"/>
      <c r="Q150" s="41"/>
      <c r="R150" s="41"/>
      <c r="S150" s="41"/>
      <c r="T150" s="41"/>
      <c r="U150" s="41"/>
      <c r="V150" s="41"/>
      <c r="W150" s="41"/>
      <c r="X150" s="41"/>
      <c r="Y150" s="41"/>
      <c r="Z150" s="41"/>
    </row>
    <row r="151" spans="1:26" ht="15.75" customHeight="1" x14ac:dyDescent="0.2">
      <c r="A151" s="12"/>
      <c r="B151" s="16"/>
      <c r="C151" s="16"/>
      <c r="D151" s="12"/>
      <c r="E151" s="12"/>
      <c r="F151" s="12"/>
      <c r="G151" s="12"/>
      <c r="H151" s="12"/>
      <c r="I151" s="12"/>
      <c r="J151" s="12"/>
      <c r="K151" s="12"/>
      <c r="L151" s="12"/>
      <c r="M151" s="12"/>
      <c r="N151" s="22"/>
      <c r="O151" s="41"/>
      <c r="P151" s="41"/>
      <c r="Q151" s="41"/>
      <c r="R151" s="41"/>
      <c r="S151" s="41"/>
      <c r="T151" s="41"/>
      <c r="U151" s="41"/>
      <c r="V151" s="41"/>
      <c r="W151" s="41"/>
      <c r="X151" s="41"/>
      <c r="Y151" s="41"/>
      <c r="Z151" s="41"/>
    </row>
    <row r="152" spans="1:26" ht="15.75" customHeight="1" x14ac:dyDescent="0.2">
      <c r="A152" s="12"/>
      <c r="B152" s="16"/>
      <c r="C152" s="16"/>
      <c r="D152" s="12"/>
      <c r="E152" s="12"/>
      <c r="F152" s="12"/>
      <c r="G152" s="12"/>
      <c r="H152" s="12"/>
      <c r="I152" s="12"/>
      <c r="J152" s="12"/>
      <c r="K152" s="12"/>
      <c r="L152" s="12"/>
      <c r="M152" s="12"/>
      <c r="N152" s="22"/>
      <c r="O152" s="41"/>
      <c r="P152" s="41"/>
      <c r="Q152" s="41"/>
      <c r="R152" s="41"/>
      <c r="S152" s="41"/>
      <c r="T152" s="41"/>
      <c r="U152" s="41"/>
      <c r="V152" s="41"/>
      <c r="W152" s="41"/>
      <c r="X152" s="41"/>
      <c r="Y152" s="41"/>
      <c r="Z152" s="41"/>
    </row>
    <row r="153" spans="1:26" ht="15.75" customHeight="1" x14ac:dyDescent="0.2">
      <c r="A153" s="12"/>
      <c r="B153" s="16"/>
      <c r="C153" s="16"/>
      <c r="D153" s="12"/>
      <c r="E153" s="12"/>
      <c r="F153" s="12"/>
      <c r="G153" s="12"/>
      <c r="H153" s="12"/>
      <c r="I153" s="12"/>
      <c r="J153" s="12"/>
      <c r="K153" s="12"/>
      <c r="L153" s="12"/>
      <c r="M153" s="12"/>
      <c r="N153" s="22"/>
      <c r="O153" s="41"/>
      <c r="P153" s="41"/>
      <c r="Q153" s="41"/>
      <c r="R153" s="41"/>
      <c r="S153" s="41"/>
      <c r="T153" s="41"/>
      <c r="U153" s="41"/>
      <c r="V153" s="41"/>
      <c r="W153" s="41"/>
      <c r="X153" s="41"/>
      <c r="Y153" s="41"/>
      <c r="Z153" s="41"/>
    </row>
    <row r="154" spans="1:26" ht="15.75" customHeight="1" x14ac:dyDescent="0.2">
      <c r="A154" s="12"/>
      <c r="B154" s="16"/>
      <c r="C154" s="16"/>
      <c r="D154" s="12"/>
      <c r="E154" s="12"/>
      <c r="F154" s="12"/>
      <c r="G154" s="12"/>
      <c r="H154" s="12"/>
      <c r="I154" s="12"/>
      <c r="J154" s="12"/>
      <c r="K154" s="12"/>
      <c r="L154" s="12"/>
      <c r="M154" s="12"/>
      <c r="N154" s="22"/>
      <c r="O154" s="41"/>
      <c r="P154" s="41"/>
      <c r="Q154" s="41"/>
      <c r="R154" s="41"/>
      <c r="S154" s="41"/>
      <c r="T154" s="41"/>
      <c r="U154" s="41"/>
      <c r="V154" s="41"/>
      <c r="W154" s="41"/>
      <c r="X154" s="41"/>
      <c r="Y154" s="41"/>
      <c r="Z154" s="41"/>
    </row>
    <row r="155" spans="1:26" ht="15.75" customHeight="1" x14ac:dyDescent="0.2">
      <c r="A155" s="12"/>
      <c r="B155" s="16"/>
      <c r="C155" s="16"/>
      <c r="D155" s="12"/>
      <c r="E155" s="12"/>
      <c r="F155" s="12"/>
      <c r="G155" s="12"/>
      <c r="H155" s="12"/>
      <c r="I155" s="12"/>
      <c r="J155" s="12"/>
      <c r="K155" s="12"/>
      <c r="L155" s="12"/>
      <c r="M155" s="12"/>
      <c r="N155" s="22"/>
      <c r="O155" s="41"/>
      <c r="P155" s="41"/>
      <c r="Q155" s="41"/>
      <c r="R155" s="41"/>
      <c r="S155" s="41"/>
      <c r="T155" s="41"/>
      <c r="U155" s="41"/>
      <c r="V155" s="41"/>
      <c r="W155" s="41"/>
      <c r="X155" s="41"/>
      <c r="Y155" s="41"/>
      <c r="Z155" s="41"/>
    </row>
    <row r="156" spans="1:26" ht="15.75" customHeight="1" x14ac:dyDescent="0.2">
      <c r="A156" s="12"/>
      <c r="B156" s="16"/>
      <c r="C156" s="16"/>
      <c r="D156" s="12"/>
      <c r="E156" s="12"/>
      <c r="F156" s="12"/>
      <c r="G156" s="12"/>
      <c r="H156" s="12"/>
      <c r="I156" s="12"/>
      <c r="J156" s="12"/>
      <c r="K156" s="12"/>
      <c r="L156" s="12"/>
      <c r="M156" s="12"/>
      <c r="N156" s="22"/>
      <c r="O156" s="41"/>
      <c r="P156" s="41"/>
      <c r="Q156" s="41"/>
      <c r="R156" s="41"/>
      <c r="S156" s="41"/>
      <c r="T156" s="41"/>
      <c r="U156" s="41"/>
      <c r="V156" s="41"/>
      <c r="W156" s="41"/>
      <c r="X156" s="41"/>
      <c r="Y156" s="41"/>
      <c r="Z156" s="41"/>
    </row>
    <row r="157" spans="1:26" ht="15.75" customHeight="1" x14ac:dyDescent="0.2">
      <c r="A157" s="12"/>
      <c r="B157" s="16"/>
      <c r="C157" s="16"/>
      <c r="D157" s="12"/>
      <c r="E157" s="12"/>
      <c r="F157" s="12"/>
      <c r="G157" s="12"/>
      <c r="H157" s="12"/>
      <c r="I157" s="12"/>
      <c r="J157" s="12"/>
      <c r="K157" s="12"/>
      <c r="L157" s="12"/>
      <c r="M157" s="12"/>
      <c r="N157" s="22"/>
      <c r="O157" s="41"/>
      <c r="P157" s="41"/>
      <c r="Q157" s="41"/>
      <c r="R157" s="41"/>
      <c r="S157" s="41"/>
      <c r="T157" s="41"/>
      <c r="U157" s="41"/>
      <c r="V157" s="41"/>
      <c r="W157" s="41"/>
      <c r="X157" s="41"/>
      <c r="Y157" s="41"/>
      <c r="Z157" s="41"/>
    </row>
    <row r="158" spans="1:26" ht="15.75" customHeight="1" x14ac:dyDescent="0.2">
      <c r="A158" s="12"/>
      <c r="B158" s="16"/>
      <c r="C158" s="16"/>
      <c r="D158" s="12"/>
      <c r="E158" s="12"/>
      <c r="F158" s="12"/>
      <c r="G158" s="12"/>
      <c r="H158" s="12"/>
      <c r="I158" s="12"/>
      <c r="J158" s="12"/>
      <c r="K158" s="12"/>
      <c r="L158" s="12"/>
      <c r="M158" s="12"/>
      <c r="N158" s="22"/>
      <c r="O158" s="41"/>
      <c r="P158" s="41"/>
      <c r="Q158" s="41"/>
      <c r="R158" s="41"/>
      <c r="S158" s="41"/>
      <c r="T158" s="41"/>
      <c r="U158" s="41"/>
      <c r="V158" s="41"/>
      <c r="W158" s="41"/>
      <c r="X158" s="41"/>
      <c r="Y158" s="41"/>
      <c r="Z158" s="41"/>
    </row>
    <row r="159" spans="1:26" ht="15.75" customHeight="1" x14ac:dyDescent="0.2">
      <c r="A159" s="12"/>
      <c r="B159" s="16"/>
      <c r="C159" s="16"/>
      <c r="D159" s="12"/>
      <c r="E159" s="12"/>
      <c r="F159" s="12"/>
      <c r="G159" s="12"/>
      <c r="H159" s="12"/>
      <c r="I159" s="12"/>
      <c r="J159" s="12"/>
      <c r="K159" s="12"/>
      <c r="L159" s="12"/>
      <c r="M159" s="12"/>
      <c r="N159" s="22"/>
      <c r="O159" s="41"/>
      <c r="P159" s="41"/>
      <c r="Q159" s="41"/>
      <c r="R159" s="41"/>
      <c r="S159" s="41"/>
      <c r="T159" s="41"/>
      <c r="U159" s="41"/>
      <c r="V159" s="41"/>
      <c r="W159" s="41"/>
      <c r="X159" s="41"/>
      <c r="Y159" s="41"/>
      <c r="Z159" s="41"/>
    </row>
    <row r="160" spans="1:26" ht="15.75" customHeight="1" x14ac:dyDescent="0.2">
      <c r="A160" s="12"/>
      <c r="B160" s="16"/>
      <c r="C160" s="16"/>
      <c r="D160" s="12"/>
      <c r="E160" s="12"/>
      <c r="F160" s="12"/>
      <c r="G160" s="12"/>
      <c r="H160" s="12"/>
      <c r="I160" s="12"/>
      <c r="J160" s="12"/>
      <c r="K160" s="12"/>
      <c r="L160" s="12"/>
      <c r="M160" s="12"/>
      <c r="N160" s="22"/>
      <c r="O160" s="41"/>
      <c r="P160" s="41"/>
      <c r="Q160" s="41"/>
      <c r="R160" s="41"/>
      <c r="S160" s="41"/>
      <c r="T160" s="41"/>
      <c r="U160" s="41"/>
      <c r="V160" s="41"/>
      <c r="W160" s="41"/>
      <c r="X160" s="41"/>
      <c r="Y160" s="41"/>
      <c r="Z160" s="41"/>
    </row>
    <row r="161" spans="1:26" ht="15.75" customHeight="1" x14ac:dyDescent="0.2">
      <c r="A161" s="12"/>
      <c r="B161" s="16"/>
      <c r="C161" s="16"/>
      <c r="D161" s="12"/>
      <c r="E161" s="12"/>
      <c r="F161" s="12"/>
      <c r="G161" s="12"/>
      <c r="H161" s="12"/>
      <c r="I161" s="12"/>
      <c r="J161" s="12"/>
      <c r="K161" s="12"/>
      <c r="L161" s="12"/>
      <c r="M161" s="12"/>
      <c r="N161" s="22"/>
      <c r="O161" s="41"/>
      <c r="P161" s="41"/>
      <c r="Q161" s="41"/>
      <c r="R161" s="41"/>
      <c r="S161" s="41"/>
      <c r="T161" s="41"/>
      <c r="U161" s="41"/>
      <c r="V161" s="41"/>
      <c r="W161" s="41"/>
      <c r="X161" s="41"/>
      <c r="Y161" s="41"/>
      <c r="Z161" s="41"/>
    </row>
    <row r="162" spans="1:26" ht="15.75" customHeight="1" x14ac:dyDescent="0.2">
      <c r="A162" s="12"/>
      <c r="B162" s="16"/>
      <c r="C162" s="16"/>
      <c r="D162" s="12"/>
      <c r="E162" s="12"/>
      <c r="F162" s="12"/>
      <c r="G162" s="12"/>
      <c r="H162" s="12"/>
      <c r="I162" s="12"/>
      <c r="J162" s="12"/>
      <c r="K162" s="12"/>
      <c r="L162" s="12"/>
      <c r="M162" s="12"/>
      <c r="N162" s="22"/>
      <c r="O162" s="41"/>
      <c r="P162" s="41"/>
      <c r="Q162" s="41"/>
      <c r="R162" s="41"/>
      <c r="S162" s="41"/>
      <c r="T162" s="41"/>
      <c r="U162" s="41"/>
      <c r="V162" s="41"/>
      <c r="W162" s="41"/>
      <c r="X162" s="41"/>
      <c r="Y162" s="41"/>
      <c r="Z162" s="41"/>
    </row>
    <row r="163" spans="1:26" ht="15.75" customHeight="1" x14ac:dyDescent="0.2">
      <c r="A163" s="12"/>
      <c r="B163" s="16"/>
      <c r="C163" s="16"/>
      <c r="D163" s="12"/>
      <c r="E163" s="12"/>
      <c r="F163" s="12"/>
      <c r="G163" s="12"/>
      <c r="H163" s="12"/>
      <c r="I163" s="12"/>
      <c r="J163" s="12"/>
      <c r="K163" s="12"/>
      <c r="L163" s="12"/>
      <c r="M163" s="12"/>
      <c r="N163" s="22"/>
      <c r="O163" s="41"/>
      <c r="P163" s="41"/>
      <c r="Q163" s="41"/>
      <c r="R163" s="41"/>
      <c r="S163" s="41"/>
      <c r="T163" s="41"/>
      <c r="U163" s="41"/>
      <c r="V163" s="41"/>
      <c r="W163" s="41"/>
      <c r="X163" s="41"/>
      <c r="Y163" s="41"/>
      <c r="Z163" s="41"/>
    </row>
    <row r="164" spans="1:26" ht="15.75" customHeight="1" x14ac:dyDescent="0.2">
      <c r="A164" s="12"/>
      <c r="B164" s="16"/>
      <c r="C164" s="16"/>
      <c r="D164" s="12"/>
      <c r="E164" s="12"/>
      <c r="F164" s="12"/>
      <c r="G164" s="12"/>
      <c r="H164" s="12"/>
      <c r="I164" s="12"/>
      <c r="J164" s="12"/>
      <c r="K164" s="12"/>
      <c r="L164" s="12"/>
      <c r="M164" s="12"/>
      <c r="N164" s="22"/>
      <c r="O164" s="41"/>
      <c r="P164" s="41"/>
      <c r="Q164" s="41"/>
      <c r="R164" s="41"/>
      <c r="S164" s="41"/>
      <c r="T164" s="41"/>
      <c r="U164" s="41"/>
      <c r="V164" s="41"/>
      <c r="W164" s="41"/>
      <c r="X164" s="41"/>
      <c r="Y164" s="41"/>
      <c r="Z164" s="41"/>
    </row>
    <row r="165" spans="1:26" ht="15.75" customHeight="1" x14ac:dyDescent="0.2">
      <c r="A165" s="12"/>
      <c r="B165" s="16"/>
      <c r="C165" s="16"/>
      <c r="D165" s="12"/>
      <c r="E165" s="12"/>
      <c r="F165" s="12"/>
      <c r="G165" s="12"/>
      <c r="H165" s="12"/>
      <c r="I165" s="12"/>
      <c r="J165" s="12"/>
      <c r="K165" s="12"/>
      <c r="L165" s="12"/>
      <c r="M165" s="12"/>
      <c r="N165" s="22"/>
      <c r="O165" s="41"/>
      <c r="P165" s="41"/>
      <c r="Q165" s="41"/>
      <c r="R165" s="41"/>
      <c r="S165" s="41"/>
      <c r="T165" s="41"/>
      <c r="U165" s="41"/>
      <c r="V165" s="41"/>
      <c r="W165" s="41"/>
      <c r="X165" s="41"/>
      <c r="Y165" s="41"/>
      <c r="Z165" s="41"/>
    </row>
    <row r="166" spans="1:26" ht="15.75" customHeight="1" x14ac:dyDescent="0.2">
      <c r="A166" s="12"/>
      <c r="B166" s="16"/>
      <c r="C166" s="16"/>
      <c r="D166" s="12"/>
      <c r="E166" s="12"/>
      <c r="F166" s="12"/>
      <c r="G166" s="12"/>
      <c r="H166" s="12"/>
      <c r="I166" s="12"/>
      <c r="J166" s="12"/>
      <c r="K166" s="12"/>
      <c r="L166" s="12"/>
      <c r="M166" s="12"/>
      <c r="N166" s="22"/>
      <c r="O166" s="41"/>
      <c r="P166" s="41"/>
      <c r="Q166" s="41"/>
      <c r="R166" s="41"/>
      <c r="S166" s="41"/>
      <c r="T166" s="41"/>
      <c r="U166" s="41"/>
      <c r="V166" s="41"/>
      <c r="W166" s="41"/>
      <c r="X166" s="41"/>
      <c r="Y166" s="41"/>
      <c r="Z166" s="41"/>
    </row>
    <row r="167" spans="1:26" ht="15.75" customHeight="1" x14ac:dyDescent="0.2">
      <c r="A167" s="12"/>
      <c r="B167" s="16"/>
      <c r="C167" s="16"/>
      <c r="D167" s="12"/>
      <c r="E167" s="12"/>
      <c r="F167" s="12"/>
      <c r="G167" s="12"/>
      <c r="H167" s="12"/>
      <c r="I167" s="12"/>
      <c r="J167" s="12"/>
      <c r="K167" s="12"/>
      <c r="L167" s="12"/>
      <c r="M167" s="12"/>
      <c r="N167" s="22"/>
      <c r="O167" s="41"/>
      <c r="P167" s="41"/>
      <c r="Q167" s="41"/>
      <c r="R167" s="41"/>
      <c r="S167" s="41"/>
      <c r="T167" s="41"/>
      <c r="U167" s="41"/>
      <c r="V167" s="41"/>
      <c r="W167" s="41"/>
      <c r="X167" s="41"/>
      <c r="Y167" s="41"/>
      <c r="Z167" s="41"/>
    </row>
    <row r="168" spans="1:26" ht="15.75" customHeight="1" x14ac:dyDescent="0.2">
      <c r="A168" s="12"/>
      <c r="B168" s="16"/>
      <c r="C168" s="16"/>
      <c r="D168" s="12"/>
      <c r="E168" s="12"/>
      <c r="F168" s="12"/>
      <c r="G168" s="12"/>
      <c r="H168" s="12"/>
      <c r="I168" s="12"/>
      <c r="J168" s="12"/>
      <c r="K168" s="12"/>
      <c r="L168" s="12"/>
      <c r="M168" s="12"/>
      <c r="N168" s="22"/>
      <c r="O168" s="41"/>
      <c r="P168" s="41"/>
      <c r="Q168" s="41"/>
      <c r="R168" s="41"/>
      <c r="S168" s="41"/>
      <c r="T168" s="41"/>
      <c r="U168" s="41"/>
      <c r="V168" s="41"/>
      <c r="W168" s="41"/>
      <c r="X168" s="41"/>
      <c r="Y168" s="41"/>
      <c r="Z168" s="41"/>
    </row>
    <row r="169" spans="1:26" ht="15.75" customHeight="1" x14ac:dyDescent="0.2">
      <c r="A169" s="12"/>
      <c r="B169" s="16"/>
      <c r="C169" s="16"/>
      <c r="D169" s="12"/>
      <c r="E169" s="12"/>
      <c r="F169" s="12"/>
      <c r="G169" s="12"/>
      <c r="H169" s="12"/>
      <c r="I169" s="12"/>
      <c r="J169" s="12"/>
      <c r="K169" s="12"/>
      <c r="L169" s="12"/>
      <c r="M169" s="12"/>
      <c r="N169" s="22"/>
      <c r="O169" s="41"/>
      <c r="P169" s="41"/>
      <c r="Q169" s="41"/>
      <c r="R169" s="41"/>
      <c r="S169" s="41"/>
      <c r="T169" s="41"/>
      <c r="U169" s="41"/>
      <c r="V169" s="41"/>
      <c r="W169" s="41"/>
      <c r="X169" s="41"/>
      <c r="Y169" s="41"/>
      <c r="Z169" s="41"/>
    </row>
    <row r="170" spans="1:26" ht="15.75" customHeight="1" x14ac:dyDescent="0.2">
      <c r="A170" s="12"/>
      <c r="B170" s="16"/>
      <c r="C170" s="16"/>
      <c r="D170" s="12"/>
      <c r="E170" s="12"/>
      <c r="F170" s="12"/>
      <c r="G170" s="12"/>
      <c r="H170" s="12"/>
      <c r="I170" s="12"/>
      <c r="J170" s="12"/>
      <c r="K170" s="12"/>
      <c r="L170" s="12"/>
      <c r="M170" s="12"/>
      <c r="N170" s="22"/>
      <c r="O170" s="41"/>
      <c r="P170" s="41"/>
      <c r="Q170" s="41"/>
      <c r="R170" s="41"/>
      <c r="S170" s="41"/>
      <c r="T170" s="41"/>
      <c r="U170" s="41"/>
      <c r="V170" s="41"/>
      <c r="W170" s="41"/>
      <c r="X170" s="41"/>
      <c r="Y170" s="41"/>
      <c r="Z170" s="41"/>
    </row>
    <row r="171" spans="1:26" ht="15.75" customHeight="1" x14ac:dyDescent="0.2">
      <c r="A171" s="12"/>
      <c r="B171" s="16"/>
      <c r="C171" s="16"/>
      <c r="D171" s="12"/>
      <c r="E171" s="12"/>
      <c r="F171" s="12"/>
      <c r="G171" s="12"/>
      <c r="H171" s="12"/>
      <c r="I171" s="12"/>
      <c r="J171" s="12"/>
      <c r="K171" s="12"/>
      <c r="L171" s="12"/>
      <c r="M171" s="12"/>
      <c r="N171" s="22"/>
      <c r="O171" s="41"/>
      <c r="P171" s="41"/>
      <c r="Q171" s="41"/>
      <c r="R171" s="41"/>
      <c r="S171" s="41"/>
      <c r="T171" s="41"/>
      <c r="U171" s="41"/>
      <c r="V171" s="41"/>
      <c r="W171" s="41"/>
      <c r="X171" s="41"/>
      <c r="Y171" s="41"/>
      <c r="Z171" s="41"/>
    </row>
    <row r="172" spans="1:26" ht="15.75" customHeight="1" x14ac:dyDescent="0.2">
      <c r="A172" s="12"/>
      <c r="B172" s="16"/>
      <c r="C172" s="16"/>
      <c r="D172" s="12"/>
      <c r="E172" s="12"/>
      <c r="F172" s="12"/>
      <c r="G172" s="12"/>
      <c r="H172" s="12"/>
      <c r="I172" s="12"/>
      <c r="J172" s="12"/>
      <c r="K172" s="12"/>
      <c r="L172" s="12"/>
      <c r="M172" s="12"/>
      <c r="N172" s="22"/>
      <c r="O172" s="41"/>
      <c r="P172" s="41"/>
      <c r="Q172" s="41"/>
      <c r="R172" s="41"/>
      <c r="S172" s="41"/>
      <c r="T172" s="41"/>
      <c r="U172" s="41"/>
      <c r="V172" s="41"/>
      <c r="W172" s="41"/>
      <c r="X172" s="41"/>
      <c r="Y172" s="41"/>
      <c r="Z172" s="41"/>
    </row>
    <row r="173" spans="1:26" ht="15.75" customHeight="1" x14ac:dyDescent="0.2">
      <c r="A173" s="12"/>
      <c r="B173" s="16"/>
      <c r="C173" s="16"/>
      <c r="D173" s="12"/>
      <c r="E173" s="12"/>
      <c r="F173" s="12"/>
      <c r="G173" s="12"/>
      <c r="H173" s="12"/>
      <c r="I173" s="12"/>
      <c r="J173" s="12"/>
      <c r="K173" s="12"/>
      <c r="L173" s="12"/>
      <c r="M173" s="12"/>
      <c r="N173" s="22"/>
      <c r="O173" s="41"/>
      <c r="P173" s="41"/>
      <c r="Q173" s="41"/>
      <c r="R173" s="41"/>
      <c r="S173" s="41"/>
      <c r="T173" s="41"/>
      <c r="U173" s="41"/>
      <c r="V173" s="41"/>
      <c r="W173" s="41"/>
      <c r="X173" s="41"/>
      <c r="Y173" s="41"/>
      <c r="Z173" s="41"/>
    </row>
    <row r="174" spans="1:26" ht="15.75" customHeight="1" x14ac:dyDescent="0.2">
      <c r="A174" s="12"/>
      <c r="B174" s="16"/>
      <c r="C174" s="16"/>
      <c r="D174" s="12"/>
      <c r="E174" s="12"/>
      <c r="F174" s="12"/>
      <c r="G174" s="12"/>
      <c r="H174" s="12"/>
      <c r="I174" s="12"/>
      <c r="J174" s="12"/>
      <c r="K174" s="12"/>
      <c r="L174" s="12"/>
      <c r="M174" s="12"/>
      <c r="N174" s="22"/>
      <c r="O174" s="41"/>
      <c r="P174" s="41"/>
      <c r="Q174" s="41"/>
      <c r="R174" s="41"/>
      <c r="S174" s="41"/>
      <c r="T174" s="41"/>
      <c r="U174" s="41"/>
      <c r="V174" s="41"/>
      <c r="W174" s="41"/>
      <c r="X174" s="41"/>
      <c r="Y174" s="41"/>
      <c r="Z174" s="41"/>
    </row>
    <row r="175" spans="1:26" ht="15.75" customHeight="1" x14ac:dyDescent="0.2">
      <c r="A175" s="12"/>
      <c r="B175" s="16"/>
      <c r="C175" s="16"/>
      <c r="D175" s="12"/>
      <c r="E175" s="12"/>
      <c r="F175" s="12"/>
      <c r="G175" s="12"/>
      <c r="H175" s="12"/>
      <c r="I175" s="12"/>
      <c r="J175" s="12"/>
      <c r="K175" s="12"/>
      <c r="L175" s="12"/>
      <c r="M175" s="12"/>
      <c r="N175" s="22"/>
      <c r="O175" s="41"/>
      <c r="P175" s="41"/>
      <c r="Q175" s="41"/>
      <c r="R175" s="41"/>
      <c r="S175" s="41"/>
      <c r="T175" s="41"/>
      <c r="U175" s="41"/>
      <c r="V175" s="41"/>
      <c r="W175" s="41"/>
      <c r="X175" s="41"/>
      <c r="Y175" s="41"/>
      <c r="Z175" s="41"/>
    </row>
    <row r="176" spans="1:26" ht="15.75" customHeight="1" x14ac:dyDescent="0.2">
      <c r="A176" s="12"/>
      <c r="B176" s="16"/>
      <c r="C176" s="16"/>
      <c r="D176" s="12"/>
      <c r="E176" s="12"/>
      <c r="F176" s="12"/>
      <c r="G176" s="12"/>
      <c r="H176" s="12"/>
      <c r="I176" s="12"/>
      <c r="J176" s="12"/>
      <c r="K176" s="12"/>
      <c r="L176" s="12"/>
      <c r="M176" s="12"/>
      <c r="N176" s="22"/>
      <c r="O176" s="41"/>
      <c r="P176" s="41"/>
      <c r="Q176" s="41"/>
      <c r="R176" s="41"/>
      <c r="S176" s="41"/>
      <c r="T176" s="41"/>
      <c r="U176" s="41"/>
      <c r="V176" s="41"/>
      <c r="W176" s="41"/>
      <c r="X176" s="41"/>
      <c r="Y176" s="41"/>
      <c r="Z176" s="41"/>
    </row>
    <row r="177" spans="1:26" ht="15.75" customHeight="1" x14ac:dyDescent="0.2">
      <c r="A177" s="12"/>
      <c r="B177" s="16"/>
      <c r="C177" s="16"/>
      <c r="D177" s="12"/>
      <c r="E177" s="12"/>
      <c r="F177" s="12"/>
      <c r="G177" s="12"/>
      <c r="H177" s="12"/>
      <c r="I177" s="12"/>
      <c r="J177" s="12"/>
      <c r="K177" s="12"/>
      <c r="L177" s="12"/>
      <c r="M177" s="12"/>
      <c r="N177" s="22"/>
      <c r="O177" s="41"/>
      <c r="P177" s="41"/>
      <c r="Q177" s="41"/>
      <c r="R177" s="41"/>
      <c r="S177" s="41"/>
      <c r="T177" s="41"/>
      <c r="U177" s="41"/>
      <c r="V177" s="41"/>
      <c r="W177" s="41"/>
      <c r="X177" s="41"/>
      <c r="Y177" s="41"/>
      <c r="Z177" s="41"/>
    </row>
    <row r="178" spans="1:26" ht="15.75" customHeight="1" x14ac:dyDescent="0.2">
      <c r="A178" s="12"/>
      <c r="B178" s="16"/>
      <c r="C178" s="16"/>
      <c r="D178" s="12"/>
      <c r="E178" s="12"/>
      <c r="F178" s="12"/>
      <c r="G178" s="12"/>
      <c r="H178" s="12"/>
      <c r="I178" s="12"/>
      <c r="J178" s="12"/>
      <c r="K178" s="12"/>
      <c r="L178" s="12"/>
      <c r="M178" s="12"/>
      <c r="N178" s="22"/>
      <c r="O178" s="41"/>
      <c r="P178" s="41"/>
      <c r="Q178" s="41"/>
      <c r="R178" s="41"/>
      <c r="S178" s="41"/>
      <c r="T178" s="41"/>
      <c r="U178" s="41"/>
      <c r="V178" s="41"/>
      <c r="W178" s="41"/>
      <c r="X178" s="41"/>
      <c r="Y178" s="41"/>
      <c r="Z178" s="41"/>
    </row>
    <row r="179" spans="1:26" ht="15.75" customHeight="1" x14ac:dyDescent="0.2">
      <c r="A179" s="12"/>
      <c r="B179" s="16"/>
      <c r="C179" s="16"/>
      <c r="D179" s="12"/>
      <c r="E179" s="12"/>
      <c r="F179" s="12"/>
      <c r="G179" s="12"/>
      <c r="H179" s="12"/>
      <c r="I179" s="12"/>
      <c r="J179" s="12"/>
      <c r="K179" s="12"/>
      <c r="L179" s="12"/>
      <c r="M179" s="12"/>
      <c r="N179" s="22"/>
      <c r="O179" s="41"/>
      <c r="P179" s="41"/>
      <c r="Q179" s="41"/>
      <c r="R179" s="41"/>
      <c r="S179" s="41"/>
      <c r="T179" s="41"/>
      <c r="U179" s="41"/>
      <c r="V179" s="41"/>
      <c r="W179" s="41"/>
      <c r="X179" s="41"/>
      <c r="Y179" s="41"/>
      <c r="Z179" s="41"/>
    </row>
    <row r="180" spans="1:26" ht="15.75" customHeight="1" x14ac:dyDescent="0.2">
      <c r="A180" s="12"/>
      <c r="B180" s="16"/>
      <c r="C180" s="16"/>
      <c r="D180" s="12"/>
      <c r="E180" s="12"/>
      <c r="F180" s="12"/>
      <c r="G180" s="12"/>
      <c r="H180" s="12"/>
      <c r="I180" s="12"/>
      <c r="J180" s="12"/>
      <c r="K180" s="12"/>
      <c r="L180" s="12"/>
      <c r="M180" s="12"/>
      <c r="N180" s="22"/>
      <c r="O180" s="41"/>
      <c r="P180" s="41"/>
      <c r="Q180" s="41"/>
      <c r="R180" s="41"/>
      <c r="S180" s="41"/>
      <c r="T180" s="41"/>
      <c r="U180" s="41"/>
      <c r="V180" s="41"/>
      <c r="W180" s="41"/>
      <c r="X180" s="41"/>
      <c r="Y180" s="41"/>
      <c r="Z180" s="41"/>
    </row>
    <row r="181" spans="1:26" ht="15.75" customHeight="1" x14ac:dyDescent="0.2">
      <c r="A181" s="12"/>
      <c r="B181" s="16"/>
      <c r="C181" s="16"/>
      <c r="D181" s="12"/>
      <c r="E181" s="12"/>
      <c r="F181" s="12"/>
      <c r="G181" s="12"/>
      <c r="H181" s="12"/>
      <c r="I181" s="12"/>
      <c r="J181" s="12"/>
      <c r="K181" s="12"/>
      <c r="L181" s="12"/>
      <c r="M181" s="12"/>
      <c r="N181" s="22"/>
      <c r="O181" s="41"/>
      <c r="P181" s="41"/>
      <c r="Q181" s="41"/>
      <c r="R181" s="41"/>
      <c r="S181" s="41"/>
      <c r="T181" s="41"/>
      <c r="U181" s="41"/>
      <c r="V181" s="41"/>
      <c r="W181" s="41"/>
      <c r="X181" s="41"/>
      <c r="Y181" s="41"/>
      <c r="Z181" s="41"/>
    </row>
    <row r="182" spans="1:26" ht="15.75" customHeight="1" x14ac:dyDescent="0.2">
      <c r="A182" s="12"/>
      <c r="B182" s="16"/>
      <c r="C182" s="16"/>
      <c r="D182" s="12"/>
      <c r="E182" s="12"/>
      <c r="F182" s="12"/>
      <c r="G182" s="12"/>
      <c r="H182" s="12"/>
      <c r="I182" s="12"/>
      <c r="J182" s="12"/>
      <c r="K182" s="12"/>
      <c r="L182" s="12"/>
      <c r="M182" s="12"/>
      <c r="N182" s="22"/>
      <c r="O182" s="41"/>
      <c r="P182" s="41"/>
      <c r="Q182" s="41"/>
      <c r="R182" s="41"/>
      <c r="S182" s="41"/>
      <c r="T182" s="41"/>
      <c r="U182" s="41"/>
      <c r="V182" s="41"/>
      <c r="W182" s="41"/>
      <c r="X182" s="41"/>
      <c r="Y182" s="41"/>
      <c r="Z182" s="41"/>
    </row>
    <row r="183" spans="1:26" ht="15.75" customHeight="1" x14ac:dyDescent="0.2">
      <c r="A183" s="12"/>
      <c r="B183" s="16"/>
      <c r="C183" s="16"/>
      <c r="D183" s="12"/>
      <c r="E183" s="12"/>
      <c r="F183" s="12"/>
      <c r="G183" s="12"/>
      <c r="H183" s="12"/>
      <c r="I183" s="12"/>
      <c r="J183" s="12"/>
      <c r="K183" s="12"/>
      <c r="L183" s="12"/>
      <c r="M183" s="12"/>
      <c r="N183" s="22"/>
      <c r="O183" s="41"/>
      <c r="P183" s="41"/>
      <c r="Q183" s="41"/>
      <c r="R183" s="41"/>
      <c r="S183" s="41"/>
      <c r="T183" s="41"/>
      <c r="U183" s="41"/>
      <c r="V183" s="41"/>
      <c r="W183" s="41"/>
      <c r="X183" s="41"/>
      <c r="Y183" s="41"/>
      <c r="Z183" s="41"/>
    </row>
    <row r="184" spans="1:26" ht="15.75" customHeight="1" x14ac:dyDescent="0.2">
      <c r="A184" s="12"/>
      <c r="B184" s="16"/>
      <c r="C184" s="16"/>
      <c r="D184" s="12"/>
      <c r="E184" s="12"/>
      <c r="F184" s="12"/>
      <c r="G184" s="12"/>
      <c r="H184" s="12"/>
      <c r="I184" s="12"/>
      <c r="J184" s="12"/>
      <c r="K184" s="12"/>
      <c r="L184" s="12"/>
      <c r="M184" s="12"/>
      <c r="N184" s="22"/>
      <c r="O184" s="41"/>
      <c r="P184" s="41"/>
      <c r="Q184" s="41"/>
      <c r="R184" s="41"/>
      <c r="S184" s="41"/>
      <c r="T184" s="41"/>
      <c r="U184" s="41"/>
      <c r="V184" s="41"/>
      <c r="W184" s="41"/>
      <c r="X184" s="41"/>
      <c r="Y184" s="41"/>
      <c r="Z184" s="41"/>
    </row>
    <row r="185" spans="1:26" ht="15.75" customHeight="1" x14ac:dyDescent="0.2">
      <c r="A185" s="12"/>
      <c r="B185" s="16"/>
      <c r="C185" s="16"/>
      <c r="D185" s="12"/>
      <c r="E185" s="12"/>
      <c r="F185" s="12"/>
      <c r="G185" s="12"/>
      <c r="H185" s="12"/>
      <c r="I185" s="12"/>
      <c r="J185" s="12"/>
      <c r="K185" s="12"/>
      <c r="L185" s="12"/>
      <c r="M185" s="12"/>
      <c r="N185" s="22"/>
      <c r="O185" s="41"/>
      <c r="P185" s="41"/>
      <c r="Q185" s="41"/>
      <c r="R185" s="41"/>
      <c r="S185" s="41"/>
      <c r="T185" s="41"/>
      <c r="U185" s="41"/>
      <c r="V185" s="41"/>
      <c r="W185" s="41"/>
      <c r="X185" s="41"/>
      <c r="Y185" s="41"/>
      <c r="Z185" s="41"/>
    </row>
    <row r="186" spans="1:26" ht="15.75" customHeight="1" x14ac:dyDescent="0.2">
      <c r="A186" s="12"/>
      <c r="B186" s="16"/>
      <c r="C186" s="16"/>
      <c r="D186" s="12"/>
      <c r="E186" s="12"/>
      <c r="F186" s="12"/>
      <c r="G186" s="12"/>
      <c r="H186" s="12"/>
      <c r="I186" s="12"/>
      <c r="J186" s="12"/>
      <c r="K186" s="12"/>
      <c r="L186" s="12"/>
      <c r="M186" s="12"/>
      <c r="N186" s="22"/>
      <c r="O186" s="41"/>
      <c r="P186" s="41"/>
      <c r="Q186" s="41"/>
      <c r="R186" s="41"/>
      <c r="S186" s="41"/>
      <c r="T186" s="41"/>
      <c r="U186" s="41"/>
      <c r="V186" s="41"/>
      <c r="W186" s="41"/>
      <c r="X186" s="41"/>
      <c r="Y186" s="41"/>
      <c r="Z186" s="41"/>
    </row>
    <row r="187" spans="1:26" ht="15.75" customHeight="1" x14ac:dyDescent="0.2">
      <c r="A187" s="12"/>
      <c r="B187" s="16"/>
      <c r="C187" s="16"/>
      <c r="D187" s="12"/>
      <c r="E187" s="12"/>
      <c r="F187" s="12"/>
      <c r="G187" s="12"/>
      <c r="H187" s="12"/>
      <c r="I187" s="12"/>
      <c r="J187" s="12"/>
      <c r="K187" s="12"/>
      <c r="L187" s="12"/>
      <c r="M187" s="12"/>
      <c r="N187" s="22"/>
      <c r="O187" s="41"/>
      <c r="P187" s="41"/>
      <c r="Q187" s="41"/>
      <c r="R187" s="41"/>
      <c r="S187" s="41"/>
      <c r="T187" s="41"/>
      <c r="U187" s="41"/>
      <c r="V187" s="41"/>
      <c r="W187" s="41"/>
      <c r="X187" s="41"/>
      <c r="Y187" s="41"/>
      <c r="Z187" s="41"/>
    </row>
    <row r="188" spans="1:26" ht="15.75" customHeight="1" x14ac:dyDescent="0.2">
      <c r="A188" s="12"/>
      <c r="B188" s="16"/>
      <c r="C188" s="16"/>
      <c r="D188" s="12"/>
      <c r="E188" s="12"/>
      <c r="F188" s="12"/>
      <c r="G188" s="12"/>
      <c r="H188" s="12"/>
      <c r="I188" s="12"/>
      <c r="J188" s="12"/>
      <c r="K188" s="12"/>
      <c r="L188" s="12"/>
      <c r="M188" s="12"/>
      <c r="N188" s="22"/>
      <c r="O188" s="41"/>
      <c r="P188" s="41"/>
      <c r="Q188" s="41"/>
      <c r="R188" s="41"/>
      <c r="S188" s="41"/>
      <c r="T188" s="41"/>
      <c r="U188" s="41"/>
      <c r="V188" s="41"/>
      <c r="W188" s="41"/>
      <c r="X188" s="41"/>
      <c r="Y188" s="41"/>
      <c r="Z188" s="41"/>
    </row>
    <row r="189" spans="1:26" ht="15.75" customHeight="1" x14ac:dyDescent="0.2">
      <c r="A189" s="12"/>
      <c r="B189" s="16"/>
      <c r="C189" s="16"/>
      <c r="D189" s="12"/>
      <c r="E189" s="12"/>
      <c r="F189" s="12"/>
      <c r="G189" s="12"/>
      <c r="H189" s="12"/>
      <c r="I189" s="12"/>
      <c r="J189" s="12"/>
      <c r="K189" s="12"/>
      <c r="L189" s="12"/>
      <c r="M189" s="12"/>
      <c r="N189" s="22"/>
      <c r="O189" s="41"/>
      <c r="P189" s="41"/>
      <c r="Q189" s="41"/>
      <c r="R189" s="41"/>
      <c r="S189" s="41"/>
      <c r="T189" s="41"/>
      <c r="U189" s="41"/>
      <c r="V189" s="41"/>
      <c r="W189" s="41"/>
      <c r="X189" s="41"/>
      <c r="Y189" s="41"/>
      <c r="Z189" s="41"/>
    </row>
    <row r="190" spans="1:26" ht="15.75" customHeight="1" x14ac:dyDescent="0.2">
      <c r="A190" s="12"/>
      <c r="B190" s="16"/>
      <c r="C190" s="16"/>
      <c r="D190" s="12"/>
      <c r="E190" s="12"/>
      <c r="F190" s="12"/>
      <c r="G190" s="12"/>
      <c r="H190" s="12"/>
      <c r="I190" s="12"/>
      <c r="J190" s="12"/>
      <c r="K190" s="12"/>
      <c r="L190" s="12"/>
      <c r="M190" s="12"/>
      <c r="N190" s="22"/>
      <c r="O190" s="41"/>
      <c r="P190" s="41"/>
      <c r="Q190" s="41"/>
      <c r="R190" s="41"/>
      <c r="S190" s="41"/>
      <c r="T190" s="41"/>
      <c r="U190" s="41"/>
      <c r="V190" s="41"/>
      <c r="W190" s="41"/>
      <c r="X190" s="41"/>
      <c r="Y190" s="41"/>
      <c r="Z190" s="41"/>
    </row>
    <row r="191" spans="1:26" ht="15.75" customHeight="1" x14ac:dyDescent="0.2">
      <c r="A191" s="12"/>
      <c r="B191" s="16"/>
      <c r="C191" s="16"/>
      <c r="D191" s="12"/>
      <c r="E191" s="12"/>
      <c r="F191" s="12"/>
      <c r="G191" s="12"/>
      <c r="H191" s="12"/>
      <c r="I191" s="12"/>
      <c r="J191" s="12"/>
      <c r="K191" s="12"/>
      <c r="L191" s="12"/>
      <c r="M191" s="12"/>
      <c r="N191" s="22"/>
      <c r="O191" s="41"/>
      <c r="P191" s="41"/>
      <c r="Q191" s="41"/>
      <c r="R191" s="41"/>
      <c r="S191" s="41"/>
      <c r="T191" s="41"/>
      <c r="U191" s="41"/>
      <c r="V191" s="41"/>
      <c r="W191" s="41"/>
      <c r="X191" s="41"/>
      <c r="Y191" s="41"/>
      <c r="Z191" s="41"/>
    </row>
    <row r="192" spans="1:26" ht="15.75" customHeight="1" x14ac:dyDescent="0.2">
      <c r="A192" s="12"/>
      <c r="B192" s="16"/>
      <c r="C192" s="16"/>
      <c r="D192" s="12"/>
      <c r="E192" s="12"/>
      <c r="F192" s="12"/>
      <c r="G192" s="12"/>
      <c r="H192" s="12"/>
      <c r="I192" s="12"/>
      <c r="J192" s="12"/>
      <c r="K192" s="12"/>
      <c r="L192" s="12"/>
      <c r="M192" s="12"/>
      <c r="N192" s="22"/>
      <c r="O192" s="41"/>
      <c r="P192" s="41"/>
      <c r="Q192" s="41"/>
      <c r="R192" s="41"/>
      <c r="S192" s="41"/>
      <c r="T192" s="41"/>
      <c r="U192" s="41"/>
      <c r="V192" s="41"/>
      <c r="W192" s="41"/>
      <c r="X192" s="41"/>
      <c r="Y192" s="41"/>
      <c r="Z192" s="41"/>
    </row>
    <row r="193" spans="1:26" ht="15.75" customHeight="1" x14ac:dyDescent="0.2">
      <c r="A193" s="12"/>
      <c r="B193" s="16"/>
      <c r="C193" s="16"/>
      <c r="D193" s="12"/>
      <c r="E193" s="12"/>
      <c r="F193" s="12"/>
      <c r="G193" s="12"/>
      <c r="H193" s="12"/>
      <c r="I193" s="12"/>
      <c r="J193" s="12"/>
      <c r="K193" s="12"/>
      <c r="L193" s="12"/>
      <c r="M193" s="12"/>
      <c r="N193" s="22"/>
      <c r="O193" s="41"/>
      <c r="P193" s="41"/>
      <c r="Q193" s="41"/>
      <c r="R193" s="41"/>
      <c r="S193" s="41"/>
      <c r="T193" s="41"/>
      <c r="U193" s="41"/>
      <c r="V193" s="41"/>
      <c r="W193" s="41"/>
      <c r="X193" s="41"/>
      <c r="Y193" s="41"/>
      <c r="Z193" s="41"/>
    </row>
    <row r="194" spans="1:26" ht="15.75" customHeight="1" x14ac:dyDescent="0.2">
      <c r="A194" s="12"/>
      <c r="B194" s="16"/>
      <c r="C194" s="16"/>
      <c r="D194" s="12"/>
      <c r="E194" s="12"/>
      <c r="F194" s="12"/>
      <c r="G194" s="12"/>
      <c r="H194" s="12"/>
      <c r="I194" s="12"/>
      <c r="J194" s="12"/>
      <c r="K194" s="12"/>
      <c r="L194" s="12"/>
      <c r="M194" s="12"/>
      <c r="N194" s="22"/>
      <c r="O194" s="41"/>
      <c r="P194" s="41"/>
      <c r="Q194" s="41"/>
      <c r="R194" s="41"/>
      <c r="S194" s="41"/>
      <c r="T194" s="41"/>
      <c r="U194" s="41"/>
      <c r="V194" s="41"/>
      <c r="W194" s="41"/>
      <c r="X194" s="41"/>
      <c r="Y194" s="41"/>
      <c r="Z194" s="41"/>
    </row>
    <row r="195" spans="1:26" ht="15.75" customHeight="1" x14ac:dyDescent="0.2">
      <c r="A195" s="12"/>
      <c r="B195" s="16"/>
      <c r="C195" s="16"/>
      <c r="D195" s="12"/>
      <c r="E195" s="12"/>
      <c r="F195" s="12"/>
      <c r="G195" s="12"/>
      <c r="H195" s="12"/>
      <c r="I195" s="12"/>
      <c r="J195" s="12"/>
      <c r="K195" s="12"/>
      <c r="L195" s="12"/>
      <c r="M195" s="12"/>
      <c r="N195" s="22"/>
      <c r="O195" s="41"/>
      <c r="P195" s="41"/>
      <c r="Q195" s="41"/>
      <c r="R195" s="41"/>
      <c r="S195" s="41"/>
      <c r="T195" s="41"/>
      <c r="U195" s="41"/>
      <c r="V195" s="41"/>
      <c r="W195" s="41"/>
      <c r="X195" s="41"/>
      <c r="Y195" s="41"/>
      <c r="Z195" s="41"/>
    </row>
    <row r="196" spans="1:26" ht="15.75" customHeight="1" x14ac:dyDescent="0.2">
      <c r="A196" s="12"/>
      <c r="B196" s="16"/>
      <c r="C196" s="16"/>
      <c r="D196" s="12"/>
      <c r="E196" s="12"/>
      <c r="F196" s="12"/>
      <c r="G196" s="12"/>
      <c r="H196" s="12"/>
      <c r="I196" s="12"/>
      <c r="J196" s="12"/>
      <c r="K196" s="12"/>
      <c r="L196" s="12"/>
      <c r="M196" s="12"/>
      <c r="N196" s="22"/>
      <c r="O196" s="41"/>
      <c r="P196" s="41"/>
      <c r="Q196" s="41"/>
      <c r="R196" s="41"/>
      <c r="S196" s="41"/>
      <c r="T196" s="41"/>
      <c r="U196" s="41"/>
      <c r="V196" s="41"/>
      <c r="W196" s="41"/>
      <c r="X196" s="41"/>
      <c r="Y196" s="41"/>
      <c r="Z196" s="41"/>
    </row>
    <row r="197" spans="1:26" ht="15.75" customHeight="1" x14ac:dyDescent="0.2">
      <c r="A197" s="12"/>
      <c r="B197" s="16"/>
      <c r="C197" s="16"/>
      <c r="D197" s="12"/>
      <c r="E197" s="12"/>
      <c r="F197" s="12"/>
      <c r="G197" s="12"/>
      <c r="H197" s="12"/>
      <c r="I197" s="12"/>
      <c r="J197" s="12"/>
      <c r="K197" s="12"/>
      <c r="L197" s="12"/>
      <c r="M197" s="12"/>
      <c r="N197" s="22"/>
      <c r="O197" s="41"/>
      <c r="P197" s="41"/>
      <c r="Q197" s="41"/>
      <c r="R197" s="41"/>
      <c r="S197" s="41"/>
      <c r="T197" s="41"/>
      <c r="U197" s="41"/>
      <c r="V197" s="41"/>
      <c r="W197" s="41"/>
      <c r="X197" s="41"/>
      <c r="Y197" s="41"/>
      <c r="Z197" s="41"/>
    </row>
    <row r="198" spans="1:26" ht="15.75" customHeight="1" x14ac:dyDescent="0.2">
      <c r="A198" s="12"/>
      <c r="B198" s="16"/>
      <c r="C198" s="16"/>
      <c r="D198" s="12"/>
      <c r="E198" s="12"/>
      <c r="F198" s="12"/>
      <c r="G198" s="12"/>
      <c r="H198" s="12"/>
      <c r="I198" s="12"/>
      <c r="J198" s="12"/>
      <c r="K198" s="12"/>
      <c r="L198" s="12"/>
      <c r="M198" s="12"/>
      <c r="N198" s="22"/>
      <c r="O198" s="41"/>
      <c r="P198" s="41"/>
      <c r="Q198" s="41"/>
      <c r="R198" s="41"/>
      <c r="S198" s="41"/>
      <c r="T198" s="41"/>
      <c r="U198" s="41"/>
      <c r="V198" s="41"/>
      <c r="W198" s="41"/>
      <c r="X198" s="41"/>
      <c r="Y198" s="41"/>
      <c r="Z198" s="41"/>
    </row>
    <row r="199" spans="1:26" ht="15.75" customHeight="1" x14ac:dyDescent="0.2">
      <c r="A199" s="12"/>
      <c r="B199" s="16"/>
      <c r="C199" s="16"/>
      <c r="D199" s="12"/>
      <c r="E199" s="12"/>
      <c r="F199" s="12"/>
      <c r="G199" s="12"/>
      <c r="H199" s="12"/>
      <c r="I199" s="12"/>
      <c r="J199" s="12"/>
      <c r="K199" s="12"/>
      <c r="L199" s="12"/>
      <c r="M199" s="12"/>
      <c r="N199" s="22"/>
      <c r="O199" s="41"/>
      <c r="P199" s="41"/>
      <c r="Q199" s="41"/>
      <c r="R199" s="41"/>
      <c r="S199" s="41"/>
      <c r="T199" s="41"/>
      <c r="U199" s="41"/>
      <c r="V199" s="41"/>
      <c r="W199" s="41"/>
      <c r="X199" s="41"/>
      <c r="Y199" s="41"/>
      <c r="Z199" s="41"/>
    </row>
    <row r="200" spans="1:26" ht="15.75" customHeight="1" x14ac:dyDescent="0.2">
      <c r="A200" s="12"/>
      <c r="B200" s="16"/>
      <c r="C200" s="16"/>
      <c r="D200" s="12"/>
      <c r="E200" s="12"/>
      <c r="F200" s="12"/>
      <c r="G200" s="12"/>
      <c r="H200" s="12"/>
      <c r="I200" s="12"/>
      <c r="J200" s="12"/>
      <c r="K200" s="12"/>
      <c r="L200" s="12"/>
      <c r="M200" s="12"/>
      <c r="N200" s="22"/>
      <c r="O200" s="41"/>
      <c r="P200" s="41"/>
      <c r="Q200" s="41"/>
      <c r="R200" s="41"/>
      <c r="S200" s="41"/>
      <c r="T200" s="41"/>
      <c r="U200" s="41"/>
      <c r="V200" s="41"/>
      <c r="W200" s="41"/>
      <c r="X200" s="41"/>
      <c r="Y200" s="41"/>
      <c r="Z200" s="41"/>
    </row>
    <row r="201" spans="1:26" ht="15.75" customHeight="1" x14ac:dyDescent="0.2">
      <c r="A201" s="12"/>
      <c r="B201" s="16"/>
      <c r="C201" s="16"/>
      <c r="D201" s="12"/>
      <c r="E201" s="12"/>
      <c r="F201" s="12"/>
      <c r="G201" s="12"/>
      <c r="H201" s="12"/>
      <c r="I201" s="12"/>
      <c r="J201" s="12"/>
      <c r="K201" s="12"/>
      <c r="L201" s="12"/>
      <c r="M201" s="12"/>
      <c r="N201" s="22"/>
      <c r="O201" s="41"/>
      <c r="P201" s="41"/>
      <c r="Q201" s="41"/>
      <c r="R201" s="41"/>
      <c r="S201" s="41"/>
      <c r="T201" s="41"/>
      <c r="U201" s="41"/>
      <c r="V201" s="41"/>
      <c r="W201" s="41"/>
      <c r="X201" s="41"/>
      <c r="Y201" s="41"/>
      <c r="Z201" s="41"/>
    </row>
    <row r="202" spans="1:26" ht="15.75" customHeight="1" x14ac:dyDescent="0.2">
      <c r="A202" s="12"/>
      <c r="B202" s="16"/>
      <c r="C202" s="16"/>
      <c r="D202" s="12"/>
      <c r="E202" s="12"/>
      <c r="F202" s="12"/>
      <c r="G202" s="12"/>
      <c r="H202" s="12"/>
      <c r="I202" s="12"/>
      <c r="J202" s="12"/>
      <c r="K202" s="12"/>
      <c r="L202" s="12"/>
      <c r="M202" s="12"/>
      <c r="N202" s="22"/>
      <c r="O202" s="41"/>
      <c r="P202" s="41"/>
      <c r="Q202" s="41"/>
      <c r="R202" s="41"/>
      <c r="S202" s="41"/>
      <c r="T202" s="41"/>
      <c r="U202" s="41"/>
      <c r="V202" s="41"/>
      <c r="W202" s="41"/>
      <c r="X202" s="41"/>
      <c r="Y202" s="41"/>
      <c r="Z202" s="41"/>
    </row>
    <row r="203" spans="1:26" ht="15.75" customHeight="1" x14ac:dyDescent="0.2">
      <c r="A203" s="12"/>
      <c r="B203" s="16"/>
      <c r="C203" s="16"/>
      <c r="D203" s="12"/>
      <c r="E203" s="12"/>
      <c r="F203" s="12"/>
      <c r="G203" s="12"/>
      <c r="H203" s="12"/>
      <c r="I203" s="12"/>
      <c r="J203" s="12"/>
      <c r="K203" s="12"/>
      <c r="L203" s="12"/>
      <c r="M203" s="12"/>
      <c r="N203" s="22"/>
      <c r="O203" s="41"/>
      <c r="P203" s="41"/>
      <c r="Q203" s="41"/>
      <c r="R203" s="41"/>
      <c r="S203" s="41"/>
      <c r="T203" s="41"/>
      <c r="U203" s="41"/>
      <c r="V203" s="41"/>
      <c r="W203" s="41"/>
      <c r="X203" s="41"/>
      <c r="Y203" s="41"/>
      <c r="Z203" s="41"/>
    </row>
    <row r="204" spans="1:26" ht="15.75" customHeight="1" x14ac:dyDescent="0.2">
      <c r="A204" s="12"/>
      <c r="B204" s="16"/>
      <c r="C204" s="16"/>
      <c r="D204" s="12"/>
      <c r="E204" s="12"/>
      <c r="F204" s="12"/>
      <c r="G204" s="12"/>
      <c r="H204" s="12"/>
      <c r="I204" s="12"/>
      <c r="J204" s="12"/>
      <c r="K204" s="12"/>
      <c r="L204" s="12"/>
      <c r="M204" s="12"/>
      <c r="N204" s="22"/>
      <c r="O204" s="41"/>
      <c r="P204" s="41"/>
      <c r="Q204" s="41"/>
      <c r="R204" s="41"/>
      <c r="S204" s="41"/>
      <c r="T204" s="41"/>
      <c r="U204" s="41"/>
      <c r="V204" s="41"/>
      <c r="W204" s="41"/>
      <c r="X204" s="41"/>
      <c r="Y204" s="41"/>
      <c r="Z204" s="41"/>
    </row>
    <row r="205" spans="1:26" ht="15.75" customHeight="1" x14ac:dyDescent="0.2">
      <c r="A205" s="12"/>
      <c r="B205" s="16"/>
      <c r="C205" s="16"/>
      <c r="D205" s="12"/>
      <c r="E205" s="12"/>
      <c r="F205" s="12"/>
      <c r="G205" s="12"/>
      <c r="H205" s="12"/>
      <c r="I205" s="12"/>
      <c r="J205" s="12"/>
      <c r="K205" s="12"/>
      <c r="L205" s="12"/>
      <c r="M205" s="12"/>
      <c r="N205" s="22"/>
      <c r="O205" s="41"/>
      <c r="P205" s="41"/>
      <c r="Q205" s="41"/>
      <c r="R205" s="41"/>
      <c r="S205" s="41"/>
      <c r="T205" s="41"/>
      <c r="U205" s="41"/>
      <c r="V205" s="41"/>
      <c r="W205" s="41"/>
      <c r="X205" s="41"/>
      <c r="Y205" s="41"/>
      <c r="Z205" s="41"/>
    </row>
    <row r="206" spans="1:26" ht="15.75" customHeight="1" x14ac:dyDescent="0.2">
      <c r="A206" s="12"/>
      <c r="B206" s="16"/>
      <c r="C206" s="16"/>
      <c r="D206" s="12"/>
      <c r="E206" s="12"/>
      <c r="F206" s="12"/>
      <c r="G206" s="12"/>
      <c r="H206" s="12"/>
      <c r="I206" s="12"/>
      <c r="J206" s="12"/>
      <c r="K206" s="12"/>
      <c r="L206" s="12"/>
      <c r="M206" s="12"/>
      <c r="N206" s="22"/>
      <c r="O206" s="41"/>
      <c r="P206" s="41"/>
      <c r="Q206" s="41"/>
      <c r="R206" s="41"/>
      <c r="S206" s="41"/>
      <c r="T206" s="41"/>
      <c r="U206" s="41"/>
      <c r="V206" s="41"/>
      <c r="W206" s="41"/>
      <c r="X206" s="41"/>
      <c r="Y206" s="41"/>
      <c r="Z206" s="41"/>
    </row>
    <row r="207" spans="1:26" ht="15.75" customHeight="1" x14ac:dyDescent="0.2">
      <c r="A207" s="12"/>
      <c r="B207" s="16"/>
      <c r="C207" s="16"/>
      <c r="D207" s="12"/>
      <c r="E207" s="12"/>
      <c r="F207" s="12"/>
      <c r="G207" s="12"/>
      <c r="H207" s="12"/>
      <c r="I207" s="12"/>
      <c r="J207" s="12"/>
      <c r="K207" s="12"/>
      <c r="L207" s="12"/>
      <c r="M207" s="12"/>
      <c r="N207" s="22"/>
      <c r="O207" s="41"/>
      <c r="P207" s="41"/>
      <c r="Q207" s="41"/>
      <c r="R207" s="41"/>
      <c r="S207" s="41"/>
      <c r="T207" s="41"/>
      <c r="U207" s="41"/>
      <c r="V207" s="41"/>
      <c r="W207" s="41"/>
      <c r="X207" s="41"/>
      <c r="Y207" s="41"/>
      <c r="Z207" s="41"/>
    </row>
    <row r="208" spans="1:26" ht="15.75" customHeight="1" x14ac:dyDescent="0.2">
      <c r="A208" s="12"/>
      <c r="B208" s="16"/>
      <c r="C208" s="16"/>
      <c r="D208" s="12"/>
      <c r="E208" s="12"/>
      <c r="F208" s="12"/>
      <c r="G208" s="12"/>
      <c r="H208" s="12"/>
      <c r="I208" s="12"/>
      <c r="J208" s="12"/>
      <c r="K208" s="12"/>
      <c r="L208" s="12"/>
      <c r="M208" s="12"/>
      <c r="N208" s="22"/>
      <c r="O208" s="41"/>
      <c r="P208" s="41"/>
      <c r="Q208" s="41"/>
      <c r="R208" s="41"/>
      <c r="S208" s="41"/>
      <c r="T208" s="41"/>
      <c r="U208" s="41"/>
      <c r="V208" s="41"/>
      <c r="W208" s="41"/>
      <c r="X208" s="41"/>
      <c r="Y208" s="41"/>
      <c r="Z208" s="41"/>
    </row>
    <row r="209" spans="1:26" ht="15.75" customHeight="1" x14ac:dyDescent="0.2">
      <c r="A209" s="12"/>
      <c r="B209" s="16"/>
      <c r="C209" s="16"/>
      <c r="D209" s="12"/>
      <c r="E209" s="12"/>
      <c r="F209" s="12"/>
      <c r="G209" s="12"/>
      <c r="H209" s="12"/>
      <c r="I209" s="12"/>
      <c r="J209" s="12"/>
      <c r="K209" s="12"/>
      <c r="L209" s="12"/>
      <c r="M209" s="12"/>
      <c r="N209" s="22"/>
      <c r="O209" s="41"/>
      <c r="P209" s="41"/>
      <c r="Q209" s="41"/>
      <c r="R209" s="41"/>
      <c r="S209" s="41"/>
      <c r="T209" s="41"/>
      <c r="U209" s="41"/>
      <c r="V209" s="41"/>
      <c r="W209" s="41"/>
      <c r="X209" s="41"/>
      <c r="Y209" s="41"/>
      <c r="Z209" s="41"/>
    </row>
    <row r="210" spans="1:26" ht="15.75" customHeight="1" x14ac:dyDescent="0.2">
      <c r="A210" s="12"/>
      <c r="B210" s="16"/>
      <c r="C210" s="16"/>
      <c r="D210" s="12"/>
      <c r="E210" s="12"/>
      <c r="F210" s="12"/>
      <c r="G210" s="12"/>
      <c r="H210" s="12"/>
      <c r="I210" s="12"/>
      <c r="J210" s="12"/>
      <c r="K210" s="12"/>
      <c r="L210" s="12"/>
      <c r="M210" s="12"/>
      <c r="N210" s="22"/>
      <c r="O210" s="41"/>
      <c r="P210" s="41"/>
      <c r="Q210" s="41"/>
      <c r="R210" s="41"/>
      <c r="S210" s="41"/>
      <c r="T210" s="41"/>
      <c r="U210" s="41"/>
      <c r="V210" s="41"/>
      <c r="W210" s="41"/>
      <c r="X210" s="41"/>
      <c r="Y210" s="41"/>
      <c r="Z210" s="41"/>
    </row>
    <row r="211" spans="1:26" ht="15.75" customHeight="1" x14ac:dyDescent="0.2">
      <c r="A211" s="12"/>
      <c r="B211" s="16"/>
      <c r="C211" s="16"/>
      <c r="D211" s="12"/>
      <c r="E211" s="12"/>
      <c r="F211" s="12"/>
      <c r="G211" s="12"/>
      <c r="H211" s="12"/>
      <c r="I211" s="12"/>
      <c r="J211" s="12"/>
      <c r="K211" s="12"/>
      <c r="L211" s="12"/>
      <c r="M211" s="12"/>
      <c r="N211" s="22"/>
      <c r="O211" s="41"/>
      <c r="P211" s="41"/>
      <c r="Q211" s="41"/>
      <c r="R211" s="41"/>
      <c r="S211" s="41"/>
      <c r="T211" s="41"/>
      <c r="U211" s="41"/>
      <c r="V211" s="41"/>
      <c r="W211" s="41"/>
      <c r="X211" s="41"/>
      <c r="Y211" s="41"/>
      <c r="Z211" s="41"/>
    </row>
    <row r="212" spans="1:26" ht="15.75" customHeight="1" x14ac:dyDescent="0.2">
      <c r="A212" s="12"/>
      <c r="B212" s="16"/>
      <c r="C212" s="16"/>
      <c r="D212" s="12"/>
      <c r="E212" s="12"/>
      <c r="F212" s="12"/>
      <c r="G212" s="12"/>
      <c r="H212" s="12"/>
      <c r="I212" s="12"/>
      <c r="J212" s="12"/>
      <c r="K212" s="12"/>
      <c r="L212" s="12"/>
      <c r="M212" s="12"/>
      <c r="N212" s="22"/>
      <c r="O212" s="41"/>
      <c r="P212" s="41"/>
      <c r="Q212" s="41"/>
      <c r="R212" s="41"/>
      <c r="S212" s="41"/>
      <c r="T212" s="41"/>
      <c r="U212" s="41"/>
      <c r="V212" s="41"/>
      <c r="W212" s="41"/>
      <c r="X212" s="41"/>
      <c r="Y212" s="41"/>
      <c r="Z212" s="41"/>
    </row>
    <row r="213" spans="1:26" ht="15.75" customHeight="1" x14ac:dyDescent="0.2">
      <c r="A213" s="12"/>
      <c r="B213" s="16"/>
      <c r="C213" s="16"/>
      <c r="D213" s="12"/>
      <c r="E213" s="12"/>
      <c r="F213" s="12"/>
      <c r="G213" s="12"/>
      <c r="H213" s="12"/>
      <c r="I213" s="12"/>
      <c r="J213" s="12"/>
      <c r="K213" s="12"/>
      <c r="L213" s="12"/>
      <c r="M213" s="12"/>
      <c r="N213" s="22"/>
      <c r="O213" s="41"/>
      <c r="P213" s="41"/>
      <c r="Q213" s="41"/>
      <c r="R213" s="41"/>
      <c r="S213" s="41"/>
      <c r="T213" s="41"/>
      <c r="U213" s="41"/>
      <c r="V213" s="41"/>
      <c r="W213" s="41"/>
      <c r="X213" s="41"/>
      <c r="Y213" s="41"/>
      <c r="Z213" s="41"/>
    </row>
    <row r="214" spans="1:26" ht="15.75" customHeight="1" x14ac:dyDescent="0.2">
      <c r="A214" s="12"/>
      <c r="B214" s="16"/>
      <c r="C214" s="16"/>
      <c r="D214" s="12"/>
      <c r="E214" s="12"/>
      <c r="F214" s="12"/>
      <c r="G214" s="12"/>
      <c r="H214" s="12"/>
      <c r="I214" s="12"/>
      <c r="J214" s="12"/>
      <c r="K214" s="12"/>
      <c r="L214" s="12"/>
      <c r="M214" s="12"/>
      <c r="N214" s="22"/>
      <c r="O214" s="41"/>
      <c r="P214" s="41"/>
      <c r="Q214" s="41"/>
      <c r="R214" s="41"/>
      <c r="S214" s="41"/>
      <c r="T214" s="41"/>
      <c r="U214" s="41"/>
      <c r="V214" s="41"/>
      <c r="W214" s="41"/>
      <c r="X214" s="41"/>
      <c r="Y214" s="41"/>
      <c r="Z214" s="41"/>
    </row>
    <row r="215" spans="1:26" ht="15.75" customHeight="1" x14ac:dyDescent="0.2">
      <c r="A215" s="12"/>
      <c r="B215" s="16"/>
      <c r="C215" s="16"/>
      <c r="D215" s="12"/>
      <c r="E215" s="12"/>
      <c r="F215" s="12"/>
      <c r="G215" s="12"/>
      <c r="H215" s="12"/>
      <c r="I215" s="12"/>
      <c r="J215" s="12"/>
      <c r="K215" s="12"/>
      <c r="L215" s="12"/>
      <c r="M215" s="12"/>
      <c r="N215" s="22"/>
      <c r="O215" s="41"/>
      <c r="P215" s="41"/>
      <c r="Q215" s="41"/>
      <c r="R215" s="41"/>
      <c r="S215" s="41"/>
      <c r="T215" s="41"/>
      <c r="U215" s="41"/>
      <c r="V215" s="41"/>
      <c r="W215" s="41"/>
      <c r="X215" s="41"/>
      <c r="Y215" s="41"/>
      <c r="Z215" s="41"/>
    </row>
    <row r="216" spans="1:26" ht="15.75" customHeight="1" x14ac:dyDescent="0.2">
      <c r="A216" s="12"/>
      <c r="B216" s="16"/>
      <c r="C216" s="16"/>
      <c r="D216" s="12"/>
      <c r="E216" s="12"/>
      <c r="F216" s="12"/>
      <c r="G216" s="12"/>
      <c r="H216" s="12"/>
      <c r="I216" s="12"/>
      <c r="J216" s="12"/>
      <c r="K216" s="12"/>
      <c r="L216" s="12"/>
      <c r="M216" s="12"/>
      <c r="N216" s="22"/>
      <c r="O216" s="41"/>
      <c r="P216" s="41"/>
      <c r="Q216" s="41"/>
      <c r="R216" s="41"/>
      <c r="S216" s="41"/>
      <c r="T216" s="41"/>
      <c r="U216" s="41"/>
      <c r="V216" s="41"/>
      <c r="W216" s="41"/>
      <c r="X216" s="41"/>
      <c r="Y216" s="41"/>
      <c r="Z216" s="41"/>
    </row>
    <row r="217" spans="1:26" ht="15.75" customHeight="1" x14ac:dyDescent="0.2">
      <c r="A217" s="12"/>
      <c r="B217" s="16"/>
      <c r="C217" s="16"/>
      <c r="D217" s="12"/>
      <c r="E217" s="12"/>
      <c r="F217" s="12"/>
      <c r="G217" s="12"/>
      <c r="H217" s="12"/>
      <c r="I217" s="12"/>
      <c r="J217" s="12"/>
      <c r="K217" s="12"/>
      <c r="L217" s="12"/>
      <c r="M217" s="12"/>
      <c r="N217" s="22"/>
      <c r="O217" s="41"/>
      <c r="P217" s="41"/>
      <c r="Q217" s="41"/>
      <c r="R217" s="41"/>
      <c r="S217" s="41"/>
      <c r="T217" s="41"/>
      <c r="U217" s="41"/>
      <c r="V217" s="41"/>
      <c r="W217" s="41"/>
      <c r="X217" s="41"/>
      <c r="Y217" s="41"/>
      <c r="Z217" s="41"/>
    </row>
    <row r="218" spans="1:26" ht="15.75" customHeight="1" x14ac:dyDescent="0.2">
      <c r="A218" s="12"/>
      <c r="B218" s="16"/>
      <c r="C218" s="16"/>
      <c r="D218" s="12"/>
      <c r="E218" s="12"/>
      <c r="F218" s="12"/>
      <c r="G218" s="12"/>
      <c r="H218" s="12"/>
      <c r="I218" s="12"/>
      <c r="J218" s="12"/>
      <c r="K218" s="12"/>
      <c r="L218" s="12"/>
      <c r="M218" s="12"/>
      <c r="N218" s="22"/>
      <c r="O218" s="41"/>
      <c r="P218" s="41"/>
      <c r="Q218" s="41"/>
      <c r="R218" s="41"/>
      <c r="S218" s="41"/>
      <c r="T218" s="41"/>
      <c r="U218" s="41"/>
      <c r="V218" s="41"/>
      <c r="W218" s="41"/>
      <c r="X218" s="41"/>
      <c r="Y218" s="41"/>
      <c r="Z218" s="41"/>
    </row>
    <row r="219" spans="1:26" ht="15.75" customHeight="1" x14ac:dyDescent="0.2">
      <c r="A219" s="12"/>
      <c r="B219" s="16"/>
      <c r="C219" s="16"/>
      <c r="D219" s="12"/>
      <c r="E219" s="12"/>
      <c r="F219" s="12"/>
      <c r="G219" s="12"/>
      <c r="H219" s="12"/>
      <c r="I219" s="12"/>
      <c r="J219" s="12"/>
      <c r="K219" s="12"/>
      <c r="L219" s="12"/>
      <c r="M219" s="12"/>
      <c r="N219" s="22"/>
      <c r="O219" s="41"/>
      <c r="P219" s="41"/>
      <c r="Q219" s="41"/>
      <c r="R219" s="41"/>
      <c r="S219" s="41"/>
      <c r="T219" s="41"/>
      <c r="U219" s="41"/>
      <c r="V219" s="41"/>
      <c r="W219" s="41"/>
      <c r="X219" s="41"/>
      <c r="Y219" s="41"/>
      <c r="Z219" s="41"/>
    </row>
    <row r="220" spans="1:26" ht="15.75" customHeight="1" x14ac:dyDescent="0.2">
      <c r="A220" s="12"/>
      <c r="B220" s="16"/>
      <c r="C220" s="16"/>
      <c r="D220" s="12"/>
      <c r="E220" s="12"/>
      <c r="F220" s="12"/>
      <c r="G220" s="12"/>
      <c r="H220" s="12"/>
      <c r="I220" s="12"/>
      <c r="J220" s="12"/>
      <c r="K220" s="12"/>
      <c r="L220" s="12"/>
      <c r="M220" s="12"/>
      <c r="N220" s="22"/>
      <c r="O220" s="41"/>
      <c r="P220" s="41"/>
      <c r="Q220" s="41"/>
      <c r="R220" s="41"/>
      <c r="S220" s="41"/>
      <c r="T220" s="41"/>
      <c r="U220" s="41"/>
      <c r="V220" s="41"/>
      <c r="W220" s="41"/>
      <c r="X220" s="41"/>
      <c r="Y220" s="41"/>
      <c r="Z220" s="41"/>
    </row>
    <row r="221" spans="1:26" ht="15.75" customHeight="1" x14ac:dyDescent="0.2">
      <c r="A221" s="12"/>
      <c r="B221" s="16"/>
      <c r="C221" s="16"/>
      <c r="D221" s="12"/>
      <c r="E221" s="12"/>
      <c r="F221" s="12"/>
      <c r="G221" s="12"/>
      <c r="H221" s="12"/>
      <c r="I221" s="12"/>
      <c r="J221" s="12"/>
      <c r="K221" s="12"/>
      <c r="L221" s="12"/>
      <c r="M221" s="12"/>
      <c r="N221" s="22"/>
      <c r="O221" s="41"/>
      <c r="P221" s="41"/>
      <c r="Q221" s="41"/>
      <c r="R221" s="41"/>
      <c r="S221" s="41"/>
      <c r="T221" s="41"/>
      <c r="U221" s="41"/>
      <c r="V221" s="41"/>
      <c r="W221" s="41"/>
      <c r="X221" s="41"/>
      <c r="Y221" s="41"/>
      <c r="Z221" s="41"/>
    </row>
    <row r="222" spans="1:26" ht="15.75" customHeight="1" x14ac:dyDescent="0.2">
      <c r="A222" s="12"/>
      <c r="B222" s="16"/>
      <c r="C222" s="16"/>
      <c r="D222" s="12"/>
      <c r="E222" s="12"/>
      <c r="F222" s="12"/>
      <c r="G222" s="12"/>
      <c r="H222" s="12"/>
      <c r="I222" s="12"/>
      <c r="J222" s="12"/>
      <c r="K222" s="12"/>
      <c r="L222" s="12"/>
      <c r="M222" s="12"/>
      <c r="N222" s="22"/>
      <c r="O222" s="41"/>
      <c r="P222" s="41"/>
      <c r="Q222" s="41"/>
      <c r="R222" s="41"/>
      <c r="S222" s="41"/>
      <c r="T222" s="41"/>
      <c r="U222" s="41"/>
      <c r="V222" s="41"/>
      <c r="W222" s="41"/>
      <c r="X222" s="41"/>
      <c r="Y222" s="41"/>
      <c r="Z222" s="41"/>
    </row>
    <row r="223" spans="1:26" ht="15.75" customHeight="1" x14ac:dyDescent="0.2">
      <c r="A223" s="12"/>
      <c r="B223" s="16"/>
      <c r="C223" s="16"/>
      <c r="D223" s="12"/>
      <c r="E223" s="12"/>
      <c r="F223" s="12"/>
      <c r="G223" s="12"/>
      <c r="H223" s="12"/>
      <c r="I223" s="12"/>
      <c r="J223" s="12"/>
      <c r="K223" s="12"/>
      <c r="L223" s="12"/>
      <c r="M223" s="12"/>
      <c r="N223" s="22"/>
      <c r="O223" s="41"/>
      <c r="P223" s="41"/>
      <c r="Q223" s="41"/>
      <c r="R223" s="41"/>
      <c r="S223" s="41"/>
      <c r="T223" s="41"/>
      <c r="U223" s="41"/>
      <c r="V223" s="41"/>
      <c r="W223" s="41"/>
      <c r="X223" s="41"/>
      <c r="Y223" s="41"/>
      <c r="Z223" s="41"/>
    </row>
    <row r="224" spans="1:26" ht="15.75" customHeight="1" x14ac:dyDescent="0.2">
      <c r="A224" s="12"/>
      <c r="B224" s="16"/>
      <c r="C224" s="16"/>
      <c r="D224" s="12"/>
      <c r="E224" s="12"/>
      <c r="F224" s="12"/>
      <c r="G224" s="12"/>
      <c r="H224" s="12"/>
      <c r="I224" s="12"/>
      <c r="J224" s="12"/>
      <c r="K224" s="12"/>
      <c r="L224" s="12"/>
      <c r="M224" s="12"/>
      <c r="N224" s="22"/>
      <c r="O224" s="41"/>
      <c r="P224" s="41"/>
      <c r="Q224" s="41"/>
      <c r="R224" s="41"/>
      <c r="S224" s="41"/>
      <c r="T224" s="41"/>
      <c r="U224" s="41"/>
      <c r="V224" s="41"/>
      <c r="W224" s="41"/>
      <c r="X224" s="41"/>
      <c r="Y224" s="41"/>
      <c r="Z224" s="41"/>
    </row>
    <row r="225" spans="1:26" ht="15.75" customHeight="1" x14ac:dyDescent="0.2">
      <c r="A225" s="12"/>
      <c r="B225" s="16"/>
      <c r="C225" s="16"/>
      <c r="D225" s="12"/>
      <c r="E225" s="12"/>
      <c r="F225" s="12"/>
      <c r="G225" s="12"/>
      <c r="H225" s="12"/>
      <c r="I225" s="12"/>
      <c r="J225" s="12"/>
      <c r="K225" s="12"/>
      <c r="L225" s="12"/>
      <c r="M225" s="12"/>
      <c r="N225" s="22"/>
      <c r="O225" s="41"/>
      <c r="P225" s="41"/>
      <c r="Q225" s="41"/>
      <c r="R225" s="41"/>
      <c r="S225" s="41"/>
      <c r="T225" s="41"/>
      <c r="U225" s="41"/>
      <c r="V225" s="41"/>
      <c r="W225" s="41"/>
      <c r="X225" s="41"/>
      <c r="Y225" s="41"/>
      <c r="Z225" s="41"/>
    </row>
    <row r="226" spans="1:26" ht="15.75" customHeight="1" x14ac:dyDescent="0.2">
      <c r="A226" s="12"/>
      <c r="B226" s="16"/>
      <c r="C226" s="16"/>
      <c r="D226" s="12"/>
      <c r="E226" s="12"/>
      <c r="F226" s="12"/>
      <c r="G226" s="12"/>
      <c r="H226" s="12"/>
      <c r="I226" s="12"/>
      <c r="J226" s="12"/>
      <c r="K226" s="12"/>
      <c r="L226" s="12"/>
      <c r="M226" s="12"/>
      <c r="N226" s="22"/>
      <c r="O226" s="41"/>
      <c r="P226" s="41"/>
      <c r="Q226" s="41"/>
      <c r="R226" s="41"/>
      <c r="S226" s="41"/>
      <c r="T226" s="41"/>
      <c r="U226" s="41"/>
      <c r="V226" s="41"/>
      <c r="W226" s="41"/>
      <c r="X226" s="41"/>
      <c r="Y226" s="41"/>
      <c r="Z226" s="41"/>
    </row>
    <row r="227" spans="1:26" ht="15.75" customHeight="1" x14ac:dyDescent="0.2">
      <c r="A227" s="12"/>
      <c r="B227" s="16"/>
      <c r="C227" s="16"/>
      <c r="D227" s="12"/>
      <c r="E227" s="12"/>
      <c r="F227" s="12"/>
      <c r="G227" s="12"/>
      <c r="H227" s="12"/>
      <c r="I227" s="12"/>
      <c r="J227" s="12"/>
      <c r="K227" s="12"/>
      <c r="L227" s="12"/>
      <c r="M227" s="12"/>
      <c r="N227" s="22"/>
      <c r="O227" s="41"/>
      <c r="P227" s="41"/>
      <c r="Q227" s="41"/>
      <c r="R227" s="41"/>
      <c r="S227" s="41"/>
      <c r="T227" s="41"/>
      <c r="U227" s="41"/>
      <c r="V227" s="41"/>
      <c r="W227" s="41"/>
      <c r="X227" s="41"/>
      <c r="Y227" s="41"/>
      <c r="Z227" s="41"/>
    </row>
    <row r="228" spans="1:26" ht="15.75" customHeight="1" x14ac:dyDescent="0.2">
      <c r="A228" s="12"/>
      <c r="B228" s="16"/>
      <c r="C228" s="16"/>
      <c r="D228" s="12"/>
      <c r="E228" s="12"/>
      <c r="F228" s="12"/>
      <c r="G228" s="12"/>
      <c r="H228" s="12"/>
      <c r="I228" s="12"/>
      <c r="J228" s="12"/>
      <c r="K228" s="12"/>
      <c r="L228" s="12"/>
      <c r="M228" s="12"/>
      <c r="N228" s="22"/>
      <c r="O228" s="41"/>
      <c r="P228" s="41"/>
      <c r="Q228" s="41"/>
      <c r="R228" s="41"/>
      <c r="S228" s="41"/>
      <c r="T228" s="41"/>
      <c r="U228" s="41"/>
      <c r="V228" s="41"/>
      <c r="W228" s="41"/>
      <c r="X228" s="41"/>
      <c r="Y228" s="41"/>
      <c r="Z228" s="41"/>
    </row>
    <row r="229" spans="1:26" ht="15.75" customHeight="1" x14ac:dyDescent="0.2">
      <c r="A229" s="12"/>
      <c r="B229" s="16"/>
      <c r="C229" s="16"/>
      <c r="D229" s="12"/>
      <c r="E229" s="12"/>
      <c r="F229" s="12"/>
      <c r="G229" s="12"/>
      <c r="H229" s="12"/>
      <c r="I229" s="12"/>
      <c r="J229" s="12"/>
      <c r="K229" s="12"/>
      <c r="L229" s="12"/>
      <c r="M229" s="12"/>
      <c r="N229" s="22"/>
      <c r="O229" s="41"/>
      <c r="P229" s="41"/>
      <c r="Q229" s="41"/>
      <c r="R229" s="41"/>
      <c r="S229" s="41"/>
      <c r="T229" s="41"/>
      <c r="U229" s="41"/>
      <c r="V229" s="41"/>
      <c r="W229" s="41"/>
      <c r="X229" s="41"/>
      <c r="Y229" s="41"/>
      <c r="Z229" s="41"/>
    </row>
    <row r="230" spans="1:26" ht="15.75" customHeight="1" x14ac:dyDescent="0.2">
      <c r="A230" s="12"/>
      <c r="B230" s="16"/>
      <c r="C230" s="16"/>
      <c r="D230" s="12"/>
      <c r="E230" s="12"/>
      <c r="F230" s="12"/>
      <c r="G230" s="12"/>
      <c r="H230" s="12"/>
      <c r="I230" s="12"/>
      <c r="J230" s="12"/>
      <c r="K230" s="12"/>
      <c r="L230" s="12"/>
      <c r="M230" s="12"/>
      <c r="N230" s="22"/>
      <c r="O230" s="41"/>
      <c r="P230" s="41"/>
      <c r="Q230" s="41"/>
      <c r="R230" s="41"/>
      <c r="S230" s="41"/>
      <c r="T230" s="41"/>
      <c r="U230" s="41"/>
      <c r="V230" s="41"/>
      <c r="W230" s="41"/>
      <c r="X230" s="41"/>
      <c r="Y230" s="41"/>
      <c r="Z230" s="41"/>
    </row>
    <row r="231" spans="1:26" ht="15.75" customHeight="1" x14ac:dyDescent="0.2">
      <c r="A231" s="12"/>
      <c r="B231" s="16"/>
      <c r="C231" s="16"/>
      <c r="D231" s="12"/>
      <c r="E231" s="12"/>
      <c r="F231" s="12"/>
      <c r="G231" s="12"/>
      <c r="H231" s="12"/>
      <c r="I231" s="12"/>
      <c r="J231" s="12"/>
      <c r="K231" s="12"/>
      <c r="L231" s="12"/>
      <c r="M231" s="12"/>
      <c r="N231" s="22"/>
      <c r="O231" s="41"/>
      <c r="P231" s="41"/>
      <c r="Q231" s="41"/>
      <c r="R231" s="41"/>
      <c r="S231" s="41"/>
      <c r="T231" s="41"/>
      <c r="U231" s="41"/>
      <c r="V231" s="41"/>
      <c r="W231" s="41"/>
      <c r="X231" s="41"/>
      <c r="Y231" s="41"/>
      <c r="Z231" s="41"/>
    </row>
    <row r="232" spans="1:26" ht="15.75" customHeight="1" x14ac:dyDescent="0.2">
      <c r="A232" s="12"/>
      <c r="B232" s="16"/>
      <c r="C232" s="16"/>
      <c r="D232" s="12"/>
      <c r="E232" s="12"/>
      <c r="F232" s="12"/>
      <c r="G232" s="12"/>
      <c r="H232" s="12"/>
      <c r="I232" s="12"/>
      <c r="J232" s="12"/>
      <c r="K232" s="12"/>
      <c r="L232" s="12"/>
      <c r="M232" s="12"/>
      <c r="N232" s="22"/>
      <c r="O232" s="41"/>
      <c r="P232" s="41"/>
      <c r="Q232" s="41"/>
      <c r="R232" s="41"/>
      <c r="S232" s="41"/>
      <c r="T232" s="41"/>
      <c r="U232" s="41"/>
      <c r="V232" s="41"/>
      <c r="W232" s="41"/>
      <c r="X232" s="41"/>
      <c r="Y232" s="41"/>
      <c r="Z232" s="41"/>
    </row>
    <row r="233" spans="1:26" ht="15.75" customHeight="1" x14ac:dyDescent="0.2">
      <c r="A233" s="12"/>
      <c r="B233" s="16"/>
      <c r="C233" s="16"/>
      <c r="D233" s="12"/>
      <c r="E233" s="12"/>
      <c r="F233" s="12"/>
      <c r="G233" s="12"/>
      <c r="H233" s="12"/>
      <c r="I233" s="12"/>
      <c r="J233" s="12"/>
      <c r="K233" s="12"/>
      <c r="L233" s="12"/>
      <c r="M233" s="12"/>
      <c r="N233" s="22"/>
      <c r="O233" s="41"/>
      <c r="P233" s="41"/>
      <c r="Q233" s="41"/>
      <c r="R233" s="41"/>
      <c r="S233" s="41"/>
      <c r="T233" s="41"/>
      <c r="U233" s="41"/>
      <c r="V233" s="41"/>
      <c r="W233" s="41"/>
      <c r="X233" s="41"/>
      <c r="Y233" s="41"/>
      <c r="Z233" s="41"/>
    </row>
    <row r="234" spans="1:26" ht="15.75" customHeight="1" x14ac:dyDescent="0.2">
      <c r="A234" s="12"/>
      <c r="B234" s="16"/>
      <c r="C234" s="16"/>
      <c r="D234" s="12"/>
      <c r="E234" s="12"/>
      <c r="F234" s="12"/>
      <c r="G234" s="12"/>
      <c r="H234" s="12"/>
      <c r="I234" s="12"/>
      <c r="J234" s="12"/>
      <c r="K234" s="12"/>
      <c r="L234" s="12"/>
      <c r="M234" s="12"/>
      <c r="N234" s="22"/>
      <c r="O234" s="41"/>
      <c r="P234" s="41"/>
      <c r="Q234" s="41"/>
      <c r="R234" s="41"/>
      <c r="S234" s="41"/>
      <c r="T234" s="41"/>
      <c r="U234" s="41"/>
      <c r="V234" s="41"/>
      <c r="W234" s="41"/>
      <c r="X234" s="41"/>
      <c r="Y234" s="41"/>
      <c r="Z234" s="41"/>
    </row>
    <row r="235" spans="1:26" ht="15.75" customHeight="1" x14ac:dyDescent="0.2">
      <c r="A235" s="12"/>
      <c r="B235" s="16"/>
      <c r="C235" s="16"/>
      <c r="D235" s="12"/>
      <c r="E235" s="12"/>
      <c r="F235" s="12"/>
      <c r="G235" s="12"/>
      <c r="H235" s="12"/>
      <c r="I235" s="12"/>
      <c r="J235" s="12"/>
      <c r="K235" s="12"/>
      <c r="L235" s="12"/>
      <c r="M235" s="12"/>
      <c r="N235" s="22"/>
      <c r="O235" s="41"/>
      <c r="P235" s="41"/>
      <c r="Q235" s="41"/>
      <c r="R235" s="41"/>
      <c r="S235" s="41"/>
      <c r="T235" s="41"/>
      <c r="U235" s="41"/>
      <c r="V235" s="41"/>
      <c r="W235" s="41"/>
      <c r="X235" s="41"/>
      <c r="Y235" s="41"/>
      <c r="Z235" s="41"/>
    </row>
    <row r="236" spans="1:26" ht="15.75" customHeight="1" x14ac:dyDescent="0.2">
      <c r="A236" s="12"/>
      <c r="B236" s="16"/>
      <c r="C236" s="16"/>
      <c r="D236" s="12"/>
      <c r="E236" s="12"/>
      <c r="F236" s="12"/>
      <c r="G236" s="12"/>
      <c r="H236" s="12"/>
      <c r="I236" s="12"/>
      <c r="J236" s="12"/>
      <c r="K236" s="12"/>
      <c r="L236" s="12"/>
      <c r="M236" s="12"/>
      <c r="N236" s="22"/>
      <c r="O236" s="41"/>
      <c r="P236" s="41"/>
      <c r="Q236" s="41"/>
      <c r="R236" s="41"/>
      <c r="S236" s="41"/>
      <c r="T236" s="41"/>
      <c r="U236" s="41"/>
      <c r="V236" s="41"/>
      <c r="W236" s="41"/>
      <c r="X236" s="41"/>
      <c r="Y236" s="41"/>
      <c r="Z236" s="41"/>
    </row>
    <row r="237" spans="1:26" ht="15.75" customHeight="1" x14ac:dyDescent="0.2">
      <c r="A237" s="12"/>
      <c r="B237" s="16"/>
      <c r="C237" s="16"/>
      <c r="D237" s="12"/>
      <c r="E237" s="12"/>
      <c r="F237" s="12"/>
      <c r="G237" s="12"/>
      <c r="H237" s="12"/>
      <c r="I237" s="12"/>
      <c r="J237" s="12"/>
      <c r="K237" s="12"/>
      <c r="L237" s="12"/>
      <c r="M237" s="12"/>
      <c r="N237" s="22"/>
      <c r="O237" s="41"/>
      <c r="P237" s="41"/>
      <c r="Q237" s="41"/>
      <c r="R237" s="41"/>
      <c r="S237" s="41"/>
      <c r="T237" s="41"/>
      <c r="U237" s="41"/>
      <c r="V237" s="41"/>
      <c r="W237" s="41"/>
      <c r="X237" s="41"/>
      <c r="Y237" s="41"/>
      <c r="Z237" s="41"/>
    </row>
    <row r="238" spans="1:26" ht="15.75" customHeight="1" x14ac:dyDescent="0.2">
      <c r="A238" s="12"/>
      <c r="B238" s="16"/>
      <c r="C238" s="16"/>
      <c r="D238" s="12"/>
      <c r="E238" s="12"/>
      <c r="F238" s="12"/>
      <c r="G238" s="12"/>
      <c r="H238" s="12"/>
      <c r="I238" s="12"/>
      <c r="J238" s="12"/>
      <c r="K238" s="12"/>
      <c r="L238" s="12"/>
      <c r="M238" s="12"/>
      <c r="N238" s="22"/>
      <c r="O238" s="41"/>
      <c r="P238" s="41"/>
      <c r="Q238" s="41"/>
      <c r="R238" s="41"/>
      <c r="S238" s="41"/>
      <c r="T238" s="41"/>
      <c r="U238" s="41"/>
      <c r="V238" s="41"/>
      <c r="W238" s="41"/>
      <c r="X238" s="41"/>
      <c r="Y238" s="41"/>
      <c r="Z238" s="41"/>
    </row>
    <row r="239" spans="1:26" ht="15.75" customHeight="1" x14ac:dyDescent="0.2">
      <c r="A239" s="12"/>
      <c r="B239" s="16"/>
      <c r="C239" s="16"/>
      <c r="D239" s="12"/>
      <c r="E239" s="12"/>
      <c r="F239" s="12"/>
      <c r="G239" s="12"/>
      <c r="H239" s="12"/>
      <c r="I239" s="12"/>
      <c r="J239" s="12"/>
      <c r="K239" s="12"/>
      <c r="L239" s="12"/>
      <c r="M239" s="12"/>
      <c r="N239" s="22"/>
      <c r="O239" s="41"/>
      <c r="P239" s="41"/>
      <c r="Q239" s="41"/>
      <c r="R239" s="41"/>
      <c r="S239" s="41"/>
      <c r="T239" s="41"/>
      <c r="U239" s="41"/>
      <c r="V239" s="41"/>
      <c r="W239" s="41"/>
      <c r="X239" s="41"/>
      <c r="Y239" s="41"/>
      <c r="Z239" s="41"/>
    </row>
    <row r="240" spans="1:26" ht="15.75" customHeight="1" x14ac:dyDescent="0.2">
      <c r="A240" s="12"/>
      <c r="B240" s="16"/>
      <c r="C240" s="16"/>
      <c r="D240" s="12"/>
      <c r="E240" s="12"/>
      <c r="F240" s="12"/>
      <c r="G240" s="12"/>
      <c r="H240" s="12"/>
      <c r="I240" s="12"/>
      <c r="J240" s="12"/>
      <c r="K240" s="12"/>
      <c r="L240" s="12"/>
      <c r="M240" s="12"/>
      <c r="N240" s="22"/>
      <c r="O240" s="41"/>
      <c r="P240" s="41"/>
      <c r="Q240" s="41"/>
      <c r="R240" s="41"/>
      <c r="S240" s="41"/>
      <c r="T240" s="41"/>
      <c r="U240" s="41"/>
      <c r="V240" s="41"/>
      <c r="W240" s="41"/>
      <c r="X240" s="41"/>
      <c r="Y240" s="41"/>
      <c r="Z240" s="41"/>
    </row>
    <row r="241" spans="1:26" ht="15.75" customHeight="1" x14ac:dyDescent="0.2">
      <c r="A241" s="12"/>
      <c r="B241" s="16"/>
      <c r="C241" s="16"/>
      <c r="D241" s="12"/>
      <c r="E241" s="12"/>
      <c r="F241" s="12"/>
      <c r="G241" s="12"/>
      <c r="H241" s="12"/>
      <c r="I241" s="12"/>
      <c r="J241" s="12"/>
      <c r="K241" s="12"/>
      <c r="L241" s="12"/>
      <c r="M241" s="12"/>
      <c r="N241" s="22"/>
      <c r="O241" s="41"/>
      <c r="P241" s="41"/>
      <c r="Q241" s="41"/>
      <c r="R241" s="41"/>
      <c r="S241" s="41"/>
      <c r="T241" s="41"/>
      <c r="U241" s="41"/>
      <c r="V241" s="41"/>
      <c r="W241" s="41"/>
      <c r="X241" s="41"/>
      <c r="Y241" s="41"/>
      <c r="Z241" s="41"/>
    </row>
    <row r="242" spans="1:26" ht="15.75" customHeight="1" x14ac:dyDescent="0.2">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x14ac:dyDescent="0.2">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x14ac:dyDescent="0.2">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x14ac:dyDescent="0.2">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x14ac:dyDescent="0.2">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x14ac:dyDescent="0.2">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x14ac:dyDescent="0.2">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x14ac:dyDescent="0.2">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x14ac:dyDescent="0.2">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x14ac:dyDescent="0.2">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x14ac:dyDescent="0.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x14ac:dyDescent="0.2">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x14ac:dyDescent="0.2">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x14ac:dyDescent="0.2">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x14ac:dyDescent="0.2">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x14ac:dyDescent="0.2">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x14ac:dyDescent="0.2">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x14ac:dyDescent="0.2">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x14ac:dyDescent="0.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2">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2">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2">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2">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2">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2">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2">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2">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2">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2">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2">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2">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2">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2">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2">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2">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2">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2">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2">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2">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2">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2">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2">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2">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2">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3">
    <mergeCell ref="A2:D2"/>
    <mergeCell ref="H42:I42"/>
    <mergeCell ref="H46:K46"/>
  </mergeCells>
  <hyperlinks>
    <hyperlink ref="A2" r:id="rId1" xr:uid="{00000000-0004-0000-04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sheetViews>
  <sheetFormatPr baseColWidth="10" defaultColWidth="14.5" defaultRowHeight="15" customHeight="1" x14ac:dyDescent="0.15"/>
  <cols>
    <col min="1" max="1" width="16.6640625" customWidth="1"/>
    <col min="2" max="3" width="18.6640625" customWidth="1"/>
    <col min="4" max="4" width="13.5" customWidth="1"/>
    <col min="5" max="6" width="14.5" customWidth="1"/>
    <col min="7" max="7" width="9.1640625" customWidth="1"/>
    <col min="8" max="8" width="35.5" customWidth="1"/>
    <col min="9" max="9" width="17.1640625" customWidth="1"/>
    <col min="10" max="10" width="4.83203125" customWidth="1"/>
    <col min="11" max="11" width="31.5" customWidth="1"/>
    <col min="12" max="12" width="17.1640625" customWidth="1"/>
    <col min="13" max="13" width="6.33203125" customWidth="1"/>
    <col min="14" max="15" width="18" customWidth="1"/>
    <col min="16" max="16" width="6.5" customWidth="1"/>
    <col min="17" max="17" width="71" customWidth="1"/>
  </cols>
  <sheetData>
    <row r="1" spans="1:26" ht="15.75" customHeight="1" x14ac:dyDescent="0.2">
      <c r="A1" s="38" t="s">
        <v>266</v>
      </c>
      <c r="B1" s="39"/>
      <c r="C1" s="39"/>
      <c r="D1" s="3"/>
      <c r="E1" s="3"/>
      <c r="F1" s="3"/>
      <c r="G1" s="40"/>
      <c r="H1" s="38" t="s">
        <v>267</v>
      </c>
      <c r="I1" s="40"/>
      <c r="J1" s="40"/>
      <c r="K1" s="73"/>
      <c r="L1" s="40"/>
      <c r="M1" s="40"/>
      <c r="N1" s="40"/>
      <c r="O1" s="40"/>
      <c r="P1" s="40"/>
      <c r="Q1" s="2"/>
      <c r="R1" s="41"/>
      <c r="S1" s="41"/>
      <c r="T1" s="41"/>
      <c r="U1" s="41"/>
      <c r="V1" s="41"/>
      <c r="W1" s="41"/>
      <c r="X1" s="41"/>
      <c r="Y1" s="41"/>
      <c r="Z1" s="41"/>
    </row>
    <row r="2" spans="1:26" ht="24" customHeight="1" x14ac:dyDescent="0.2">
      <c r="A2" s="218" t="s">
        <v>268</v>
      </c>
      <c r="B2" s="217"/>
      <c r="C2" s="43"/>
      <c r="D2" s="16"/>
      <c r="E2" s="16"/>
      <c r="F2" s="16"/>
      <c r="G2" s="12"/>
      <c r="H2" s="44" t="s">
        <v>73</v>
      </c>
      <c r="I2" s="45"/>
      <c r="J2" s="12"/>
      <c r="K2" s="44" t="s">
        <v>74</v>
      </c>
      <c r="L2" s="45"/>
      <c r="M2" s="12"/>
      <c r="N2" s="221" t="s">
        <v>269</v>
      </c>
      <c r="O2" s="215"/>
      <c r="P2" s="12"/>
      <c r="Q2" s="44" t="s">
        <v>76</v>
      </c>
      <c r="R2" s="41"/>
      <c r="S2" s="41"/>
      <c r="T2" s="41"/>
      <c r="U2" s="41"/>
      <c r="V2" s="41"/>
      <c r="W2" s="41"/>
      <c r="X2" s="41"/>
      <c r="Y2" s="41"/>
      <c r="Z2" s="41"/>
    </row>
    <row r="3" spans="1:26" ht="24" customHeight="1" x14ac:dyDescent="0.2">
      <c r="A3" s="7" t="s">
        <v>18</v>
      </c>
      <c r="B3" s="7" t="s">
        <v>77</v>
      </c>
      <c r="C3" s="7" t="s">
        <v>78</v>
      </c>
      <c r="D3" s="47" t="s">
        <v>79</v>
      </c>
      <c r="E3" s="47" t="s">
        <v>80</v>
      </c>
      <c r="F3" s="48" t="s">
        <v>81</v>
      </c>
      <c r="G3" s="12"/>
      <c r="H3" s="49" t="s">
        <v>82</v>
      </c>
      <c r="I3" s="85" t="s">
        <v>83</v>
      </c>
      <c r="J3" s="36"/>
      <c r="K3" s="49" t="s">
        <v>84</v>
      </c>
      <c r="L3" s="85" t="s">
        <v>244</v>
      </c>
      <c r="M3" s="12"/>
      <c r="N3" s="16" t="s">
        <v>86</v>
      </c>
      <c r="O3" s="15">
        <v>0.5</v>
      </c>
      <c r="P3" s="12"/>
      <c r="Q3" s="51" t="s">
        <v>270</v>
      </c>
      <c r="R3" s="41"/>
      <c r="S3" s="41"/>
      <c r="T3" s="41"/>
      <c r="U3" s="41"/>
      <c r="V3" s="41"/>
      <c r="W3" s="41"/>
      <c r="X3" s="41"/>
      <c r="Y3" s="41"/>
      <c r="Z3" s="41"/>
    </row>
    <row r="4" spans="1:26" ht="24" customHeight="1" x14ac:dyDescent="0.2">
      <c r="A4" s="16">
        <v>0</v>
      </c>
      <c r="B4" s="43" t="s">
        <v>271</v>
      </c>
      <c r="C4" s="43" t="s">
        <v>272</v>
      </c>
      <c r="D4" s="15">
        <f>((I23*I17)/2)</f>
        <v>0.9106327810799999</v>
      </c>
      <c r="E4" s="15">
        <f>8*I17</f>
        <v>1.4256</v>
      </c>
      <c r="F4" s="15">
        <f t="shared" ref="F4:F40" si="0">IFERROR(D4+E4,"error")</f>
        <v>2.3362327810799997</v>
      </c>
      <c r="G4" s="12"/>
      <c r="H4" s="52" t="s">
        <v>91</v>
      </c>
      <c r="I4" s="77">
        <v>1000</v>
      </c>
      <c r="J4" s="12"/>
      <c r="K4" s="52" t="s">
        <v>92</v>
      </c>
      <c r="L4" s="77">
        <v>3</v>
      </c>
      <c r="M4" s="12"/>
      <c r="N4" s="16" t="s">
        <v>93</v>
      </c>
      <c r="O4" s="15">
        <v>0.44999999999999996</v>
      </c>
      <c r="P4" s="12"/>
      <c r="Q4" s="51" t="s">
        <v>94</v>
      </c>
      <c r="R4" s="41"/>
      <c r="S4" s="41"/>
      <c r="T4" s="41"/>
      <c r="U4" s="41"/>
      <c r="V4" s="41"/>
      <c r="W4" s="41"/>
      <c r="X4" s="41"/>
      <c r="Y4" s="41"/>
      <c r="Z4" s="41"/>
    </row>
    <row r="5" spans="1:26" ht="24" customHeight="1" x14ac:dyDescent="0.2">
      <c r="A5" s="16">
        <v>1</v>
      </c>
      <c r="B5" s="43" t="s">
        <v>273</v>
      </c>
      <c r="C5" s="43" t="s">
        <v>274</v>
      </c>
      <c r="D5" s="15">
        <f>L11</f>
        <v>0.627</v>
      </c>
      <c r="E5" s="15">
        <v>0</v>
      </c>
      <c r="F5" s="15">
        <f t="shared" si="0"/>
        <v>0.627</v>
      </c>
      <c r="G5" s="12"/>
      <c r="H5" s="52" t="s">
        <v>97</v>
      </c>
      <c r="I5" s="87">
        <v>0.99</v>
      </c>
      <c r="J5" s="12"/>
      <c r="K5" s="55" t="s">
        <v>98</v>
      </c>
      <c r="L5" s="79">
        <v>1900</v>
      </c>
      <c r="M5" s="12"/>
      <c r="N5" s="16" t="s">
        <v>99</v>
      </c>
      <c r="O5" s="15">
        <v>0.65</v>
      </c>
      <c r="P5" s="12"/>
      <c r="Q5" s="57" t="s">
        <v>100</v>
      </c>
      <c r="R5" s="41"/>
      <c r="S5" s="41"/>
      <c r="T5" s="41"/>
      <c r="U5" s="41"/>
      <c r="V5" s="41"/>
      <c r="W5" s="41"/>
      <c r="X5" s="41"/>
      <c r="Y5" s="41"/>
      <c r="Z5" s="41"/>
    </row>
    <row r="6" spans="1:26" ht="24" customHeight="1" x14ac:dyDescent="0.2">
      <c r="A6" s="16">
        <v>2</v>
      </c>
      <c r="B6" s="43" t="s">
        <v>275</v>
      </c>
      <c r="C6" s="43" t="s">
        <v>276</v>
      </c>
      <c r="D6" s="15">
        <f>100*I6</f>
        <v>9.9000000000000005E-2</v>
      </c>
      <c r="E6" s="15">
        <f>((I23*L16)/2)</f>
        <v>1.5177213017999998</v>
      </c>
      <c r="F6" s="15">
        <f t="shared" si="0"/>
        <v>1.6167213017999997</v>
      </c>
      <c r="G6" s="12"/>
      <c r="H6" s="58" t="s">
        <v>104</v>
      </c>
      <c r="I6" s="60">
        <f>I5/I4</f>
        <v>9.8999999999999999E-4</v>
      </c>
      <c r="J6" s="12"/>
      <c r="K6" s="58" t="s">
        <v>104</v>
      </c>
      <c r="L6" s="60">
        <f>L5/L4*$I$6</f>
        <v>0.627</v>
      </c>
      <c r="M6" s="12"/>
      <c r="N6" s="28" t="s">
        <v>105</v>
      </c>
      <c r="O6" s="34">
        <v>1.6</v>
      </c>
      <c r="P6" s="12"/>
      <c r="Q6" s="34"/>
      <c r="R6" s="41"/>
      <c r="S6" s="41"/>
      <c r="T6" s="41"/>
      <c r="U6" s="41"/>
      <c r="V6" s="41"/>
      <c r="W6" s="41"/>
      <c r="X6" s="41"/>
      <c r="Y6" s="41"/>
      <c r="Z6" s="41"/>
    </row>
    <row r="7" spans="1:26" ht="24" customHeight="1" x14ac:dyDescent="0.2">
      <c r="A7" s="16">
        <v>3</v>
      </c>
      <c r="B7" s="43" t="s">
        <v>277</v>
      </c>
      <c r="C7" s="43" t="s">
        <v>278</v>
      </c>
      <c r="D7" s="15">
        <f>L21</f>
        <v>0.627</v>
      </c>
      <c r="E7" s="15">
        <f>500*I6</f>
        <v>0.495</v>
      </c>
      <c r="F7" s="15">
        <f t="shared" si="0"/>
        <v>1.1219999999999999</v>
      </c>
      <c r="G7" s="12"/>
      <c r="H7" s="61"/>
      <c r="I7" s="89"/>
      <c r="J7" s="12"/>
      <c r="K7" s="52"/>
      <c r="L7" s="79"/>
      <c r="M7" s="12"/>
      <c r="N7" s="16"/>
      <c r="O7" s="15"/>
      <c r="P7" s="12"/>
      <c r="Q7" s="15"/>
      <c r="R7" s="41"/>
      <c r="S7" s="41"/>
      <c r="T7" s="41"/>
      <c r="U7" s="41"/>
      <c r="V7" s="41"/>
      <c r="W7" s="41"/>
      <c r="X7" s="41"/>
      <c r="Y7" s="41"/>
      <c r="Z7" s="41"/>
    </row>
    <row r="8" spans="1:26" ht="24" customHeight="1" x14ac:dyDescent="0.2">
      <c r="A8" s="16">
        <v>4</v>
      </c>
      <c r="B8" s="43" t="s">
        <v>279</v>
      </c>
      <c r="C8" s="43" t="s">
        <v>280</v>
      </c>
      <c r="D8" s="15">
        <f>((I23*I17)/4)</f>
        <v>0.45531639053999995</v>
      </c>
      <c r="E8" s="15">
        <v>0</v>
      </c>
      <c r="F8" s="15">
        <f t="shared" si="0"/>
        <v>0.45531639053999995</v>
      </c>
      <c r="G8" s="12"/>
      <c r="H8" s="49" t="s">
        <v>110</v>
      </c>
      <c r="I8" s="85" t="s">
        <v>111</v>
      </c>
      <c r="J8" s="36"/>
      <c r="K8" s="49" t="s">
        <v>112</v>
      </c>
      <c r="L8" s="85" t="s">
        <v>273</v>
      </c>
      <c r="M8" s="12"/>
      <c r="N8" s="221" t="s">
        <v>269</v>
      </c>
      <c r="O8" s="215"/>
      <c r="P8" s="12"/>
      <c r="Q8" s="63"/>
      <c r="R8" s="41"/>
      <c r="S8" s="41"/>
      <c r="T8" s="41"/>
      <c r="U8" s="41"/>
      <c r="V8" s="41"/>
      <c r="W8" s="41"/>
      <c r="X8" s="41"/>
      <c r="Y8" s="41"/>
      <c r="Z8" s="41"/>
    </row>
    <row r="9" spans="1:26" ht="24" customHeight="1" x14ac:dyDescent="0.2">
      <c r="A9" s="16">
        <v>5</v>
      </c>
      <c r="B9" s="43" t="s">
        <v>280</v>
      </c>
      <c r="C9" s="43" t="s">
        <v>274</v>
      </c>
      <c r="D9" s="15">
        <v>0</v>
      </c>
      <c r="E9" s="15">
        <v>0</v>
      </c>
      <c r="F9" s="15">
        <f t="shared" si="0"/>
        <v>0</v>
      </c>
      <c r="G9" s="12"/>
      <c r="H9" s="52" t="s">
        <v>117</v>
      </c>
      <c r="I9" s="77" t="s">
        <v>111</v>
      </c>
      <c r="J9" s="12"/>
      <c r="K9" s="52" t="s">
        <v>92</v>
      </c>
      <c r="L9" s="77">
        <v>3</v>
      </c>
      <c r="M9" s="12"/>
      <c r="N9" s="16" t="s">
        <v>118</v>
      </c>
      <c r="O9" s="15">
        <v>0.75</v>
      </c>
      <c r="P9" s="12"/>
      <c r="Q9" s="15"/>
      <c r="R9" s="41"/>
      <c r="S9" s="41"/>
      <c r="T9" s="41"/>
      <c r="U9" s="41"/>
      <c r="V9" s="41"/>
      <c r="W9" s="41"/>
      <c r="X9" s="41"/>
      <c r="Y9" s="41"/>
      <c r="Z9" s="41"/>
    </row>
    <row r="10" spans="1:26" ht="24" customHeight="1" x14ac:dyDescent="0.2">
      <c r="A10" s="16">
        <v>6</v>
      </c>
      <c r="B10" s="43" t="s">
        <v>275</v>
      </c>
      <c r="C10" s="43" t="s">
        <v>281</v>
      </c>
      <c r="D10" s="15">
        <f>100*I6</f>
        <v>9.9000000000000005E-2</v>
      </c>
      <c r="E10" s="15">
        <f>((I23*L21)/2)</f>
        <v>3.2040783037999998</v>
      </c>
      <c r="F10" s="15">
        <f t="shared" si="0"/>
        <v>3.3030783038</v>
      </c>
      <c r="G10" s="12"/>
      <c r="H10" s="55" t="s">
        <v>121</v>
      </c>
      <c r="I10" s="79" t="s">
        <v>111</v>
      </c>
      <c r="J10" s="12"/>
      <c r="K10" s="55" t="s">
        <v>98</v>
      </c>
      <c r="L10" s="79">
        <v>1900</v>
      </c>
      <c r="M10" s="12"/>
      <c r="N10" s="16" t="s">
        <v>122</v>
      </c>
      <c r="O10" s="15">
        <v>0.75</v>
      </c>
      <c r="P10" s="12"/>
      <c r="Q10" s="15"/>
      <c r="R10" s="41"/>
      <c r="S10" s="41"/>
      <c r="T10" s="41"/>
      <c r="U10" s="41"/>
      <c r="V10" s="41"/>
      <c r="W10" s="41"/>
      <c r="X10" s="41"/>
      <c r="Y10" s="41"/>
      <c r="Z10" s="41"/>
    </row>
    <row r="11" spans="1:26" ht="24" customHeight="1" x14ac:dyDescent="0.2">
      <c r="A11" s="16">
        <v>7</v>
      </c>
      <c r="B11" s="43" t="s">
        <v>253</v>
      </c>
      <c r="C11" s="43" t="s">
        <v>225</v>
      </c>
      <c r="D11" s="15">
        <f>L6</f>
        <v>0.627</v>
      </c>
      <c r="E11" s="15">
        <f>L26</f>
        <v>0.89100000000000001</v>
      </c>
      <c r="F11" s="15">
        <f t="shared" si="0"/>
        <v>1.518</v>
      </c>
      <c r="G11" s="12"/>
      <c r="H11" s="58" t="s">
        <v>104</v>
      </c>
      <c r="I11" s="59" t="str">
        <f>IF(I9="N/A","N/A",I10/I9)</f>
        <v>N/A</v>
      </c>
      <c r="J11" s="12"/>
      <c r="K11" s="58" t="s">
        <v>104</v>
      </c>
      <c r="L11" s="60">
        <f>L10/L9*$I$6</f>
        <v>0.627</v>
      </c>
      <c r="M11" s="12"/>
      <c r="N11" s="16" t="s">
        <v>125</v>
      </c>
      <c r="O11" s="15">
        <v>0.47249999999999998</v>
      </c>
      <c r="P11" s="12"/>
      <c r="Q11" s="15"/>
      <c r="R11" s="41"/>
      <c r="S11" s="41"/>
      <c r="T11" s="41"/>
      <c r="U11" s="41"/>
      <c r="V11" s="41"/>
      <c r="W11" s="41"/>
      <c r="X11" s="41"/>
      <c r="Y11" s="41"/>
      <c r="Z11" s="41"/>
    </row>
    <row r="12" spans="1:26" ht="24" customHeight="1" x14ac:dyDescent="0.2">
      <c r="A12" s="16">
        <v>8</v>
      </c>
      <c r="B12" s="43" t="s">
        <v>282</v>
      </c>
      <c r="C12" s="43" t="s">
        <v>278</v>
      </c>
      <c r="D12" s="15">
        <f>L11</f>
        <v>0.627</v>
      </c>
      <c r="E12" s="15">
        <f>500*I6</f>
        <v>0.495</v>
      </c>
      <c r="F12" s="15">
        <f t="shared" si="0"/>
        <v>1.1219999999999999</v>
      </c>
      <c r="G12" s="12"/>
      <c r="H12" s="52"/>
      <c r="I12" s="79"/>
      <c r="J12" s="12"/>
      <c r="K12" s="52"/>
      <c r="L12" s="90"/>
      <c r="M12" s="12"/>
      <c r="N12" s="16" t="s">
        <v>127</v>
      </c>
      <c r="O12" s="15">
        <v>0.8666666666666667</v>
      </c>
      <c r="P12" s="12"/>
      <c r="Q12" s="15"/>
      <c r="R12" s="41"/>
      <c r="S12" s="41"/>
      <c r="T12" s="41"/>
      <c r="U12" s="41"/>
      <c r="V12" s="41"/>
      <c r="W12" s="41"/>
      <c r="X12" s="41"/>
      <c r="Y12" s="41"/>
      <c r="Z12" s="41"/>
    </row>
    <row r="13" spans="1:26" ht="24" customHeight="1" x14ac:dyDescent="0.2">
      <c r="A13" s="16">
        <v>9</v>
      </c>
      <c r="B13" s="43" t="s">
        <v>279</v>
      </c>
      <c r="C13" s="43" t="s">
        <v>233</v>
      </c>
      <c r="D13" s="15">
        <f>((I23*I17)/4)</f>
        <v>0.45531639053999995</v>
      </c>
      <c r="E13" s="15">
        <f>2*L6</f>
        <v>1.254</v>
      </c>
      <c r="F13" s="15">
        <f t="shared" si="0"/>
        <v>1.70931639054</v>
      </c>
      <c r="G13" s="12"/>
      <c r="H13" s="44" t="s">
        <v>130</v>
      </c>
      <c r="I13" s="44"/>
      <c r="J13" s="36"/>
      <c r="K13" s="49" t="s">
        <v>131</v>
      </c>
      <c r="L13" s="85" t="s">
        <v>283</v>
      </c>
      <c r="M13" s="12"/>
      <c r="N13" s="28" t="s">
        <v>105</v>
      </c>
      <c r="O13" s="34">
        <v>2.8391666666666664</v>
      </c>
      <c r="P13" s="12"/>
      <c r="Q13" s="34"/>
      <c r="R13" s="41"/>
      <c r="S13" s="41"/>
      <c r="T13" s="41"/>
      <c r="U13" s="41"/>
      <c r="V13" s="41"/>
      <c r="W13" s="41"/>
      <c r="X13" s="41"/>
      <c r="Y13" s="41"/>
      <c r="Z13" s="41"/>
    </row>
    <row r="14" spans="1:26" ht="24" customHeight="1" x14ac:dyDescent="0.2">
      <c r="A14" s="16">
        <v>10</v>
      </c>
      <c r="B14" s="43" t="s">
        <v>277</v>
      </c>
      <c r="C14" s="43" t="s">
        <v>284</v>
      </c>
      <c r="D14" s="15">
        <f>L21</f>
        <v>0.627</v>
      </c>
      <c r="E14" s="15">
        <f>O18</f>
        <v>2.0907543293219844</v>
      </c>
      <c r="F14" s="15">
        <f t="shared" si="0"/>
        <v>2.7177543293219841</v>
      </c>
      <c r="G14" s="12"/>
      <c r="H14" s="49" t="s">
        <v>135</v>
      </c>
      <c r="I14" s="85" t="s">
        <v>136</v>
      </c>
      <c r="J14" s="12"/>
      <c r="K14" s="52" t="s">
        <v>92</v>
      </c>
      <c r="L14" s="77">
        <v>3</v>
      </c>
      <c r="M14" s="12"/>
      <c r="N14" s="12"/>
      <c r="O14" s="12"/>
      <c r="P14" s="12"/>
      <c r="Q14" s="66"/>
      <c r="R14" s="41"/>
      <c r="S14" s="41"/>
      <c r="T14" s="41"/>
      <c r="U14" s="41"/>
      <c r="V14" s="41"/>
      <c r="W14" s="41"/>
      <c r="X14" s="41"/>
      <c r="Y14" s="41"/>
      <c r="Z14" s="41"/>
    </row>
    <row r="15" spans="1:26" ht="24" customHeight="1" x14ac:dyDescent="0.2">
      <c r="A15" s="16">
        <v>11</v>
      </c>
      <c r="B15" s="43" t="s">
        <v>285</v>
      </c>
      <c r="C15" s="43" t="s">
        <v>286</v>
      </c>
      <c r="D15" s="15">
        <f>150*I6</f>
        <v>0.14849999999999999</v>
      </c>
      <c r="E15" s="15">
        <f>((I23*L11)/2)</f>
        <v>3.2040783037999998</v>
      </c>
      <c r="F15" s="15">
        <f t="shared" si="0"/>
        <v>3.3525783037999997</v>
      </c>
      <c r="G15" s="12"/>
      <c r="H15" s="52" t="s">
        <v>117</v>
      </c>
      <c r="I15" s="77">
        <v>5</v>
      </c>
      <c r="J15" s="12"/>
      <c r="K15" s="55" t="s">
        <v>98</v>
      </c>
      <c r="L15" s="79">
        <v>900</v>
      </c>
      <c r="M15" s="12"/>
      <c r="N15" s="32" t="s">
        <v>287</v>
      </c>
      <c r="O15" s="29">
        <f>O13/O6-1</f>
        <v>0.77447916666666639</v>
      </c>
      <c r="P15" s="12"/>
      <c r="Q15" s="16"/>
      <c r="R15" s="41"/>
      <c r="S15" s="41"/>
      <c r="T15" s="41"/>
      <c r="U15" s="41"/>
      <c r="V15" s="41"/>
      <c r="W15" s="41"/>
      <c r="X15" s="41"/>
      <c r="Y15" s="41"/>
      <c r="Z15" s="41"/>
    </row>
    <row r="16" spans="1:26" ht="24" customHeight="1" x14ac:dyDescent="0.2">
      <c r="A16" s="16">
        <v>12</v>
      </c>
      <c r="B16" s="43" t="s">
        <v>288</v>
      </c>
      <c r="C16" s="43" t="s">
        <v>280</v>
      </c>
      <c r="D16" s="15">
        <f>L16</f>
        <v>0.29699999999999999</v>
      </c>
      <c r="E16" s="15">
        <v>0</v>
      </c>
      <c r="F16" s="15">
        <f t="shared" si="0"/>
        <v>0.29699999999999999</v>
      </c>
      <c r="G16" s="12"/>
      <c r="H16" s="52" t="s">
        <v>139</v>
      </c>
      <c r="I16" s="77">
        <v>900</v>
      </c>
      <c r="J16" s="12"/>
      <c r="K16" s="58" t="s">
        <v>104</v>
      </c>
      <c r="L16" s="60">
        <f>L15/L14*$I$6</f>
        <v>0.29699999999999999</v>
      </c>
      <c r="M16" s="12"/>
      <c r="N16" s="12"/>
      <c r="O16" s="12"/>
      <c r="P16" s="12"/>
      <c r="Q16" s="16"/>
      <c r="R16" s="41"/>
      <c r="S16" s="41"/>
      <c r="T16" s="41"/>
      <c r="U16" s="41"/>
      <c r="V16" s="41"/>
      <c r="W16" s="41"/>
      <c r="X16" s="41"/>
      <c r="Y16" s="41"/>
      <c r="Z16" s="41"/>
    </row>
    <row r="17" spans="1:26" ht="24" customHeight="1" x14ac:dyDescent="0.2">
      <c r="A17" s="16">
        <v>13</v>
      </c>
      <c r="B17" s="43" t="s">
        <v>271</v>
      </c>
      <c r="C17" s="43" t="s">
        <v>289</v>
      </c>
      <c r="D17" s="15">
        <f>((I23*I17)/2)</f>
        <v>0.9106327810799999</v>
      </c>
      <c r="E17" s="15">
        <f>750*I6</f>
        <v>0.74250000000000005</v>
      </c>
      <c r="F17" s="15">
        <f t="shared" si="0"/>
        <v>1.6531327810800001</v>
      </c>
      <c r="G17" s="12"/>
      <c r="H17" s="58" t="s">
        <v>104</v>
      </c>
      <c r="I17" s="60">
        <f>I16/I15*I6</f>
        <v>0.1782</v>
      </c>
      <c r="J17" s="12"/>
      <c r="K17" s="12"/>
      <c r="L17" s="87"/>
      <c r="M17" s="12"/>
      <c r="N17" s="221" t="s">
        <v>290</v>
      </c>
      <c r="O17" s="215"/>
      <c r="P17" s="12"/>
      <c r="Q17" s="16"/>
      <c r="R17" s="41"/>
      <c r="S17" s="41"/>
      <c r="T17" s="41"/>
      <c r="U17" s="41"/>
      <c r="V17" s="41"/>
      <c r="W17" s="41"/>
      <c r="X17" s="41"/>
      <c r="Y17" s="41"/>
      <c r="Z17" s="41"/>
    </row>
    <row r="18" spans="1:26" ht="24" customHeight="1" x14ac:dyDescent="0.2">
      <c r="A18" s="16">
        <v>14</v>
      </c>
      <c r="B18" s="43" t="s">
        <v>282</v>
      </c>
      <c r="C18" s="43" t="s">
        <v>291</v>
      </c>
      <c r="D18" s="15">
        <f>L11</f>
        <v>0.627</v>
      </c>
      <c r="E18" s="15">
        <f>3*L16</f>
        <v>0.89100000000000001</v>
      </c>
      <c r="F18" s="15">
        <f t="shared" si="0"/>
        <v>1.518</v>
      </c>
      <c r="G18" s="12"/>
      <c r="H18" s="12"/>
      <c r="I18" s="12"/>
      <c r="J18" s="36"/>
      <c r="K18" s="49" t="s">
        <v>143</v>
      </c>
      <c r="L18" s="83" t="s">
        <v>292</v>
      </c>
      <c r="M18" s="12"/>
      <c r="N18" s="16" t="s">
        <v>284</v>
      </c>
      <c r="O18" s="15">
        <f>O19/(1+O15)</f>
        <v>2.0907543293219844</v>
      </c>
      <c r="P18" s="12"/>
      <c r="Q18" s="16"/>
      <c r="R18" s="41"/>
      <c r="S18" s="41"/>
      <c r="T18" s="41"/>
      <c r="U18" s="41"/>
      <c r="V18" s="41"/>
      <c r="W18" s="41"/>
      <c r="X18" s="41"/>
      <c r="Y18" s="41"/>
      <c r="Z18" s="41"/>
    </row>
    <row r="19" spans="1:26" ht="24" customHeight="1" x14ac:dyDescent="0.2">
      <c r="A19" s="16">
        <v>15</v>
      </c>
      <c r="B19" s="43" t="s">
        <v>280</v>
      </c>
      <c r="C19" s="43" t="s">
        <v>274</v>
      </c>
      <c r="D19" s="15">
        <v>0</v>
      </c>
      <c r="E19" s="15">
        <v>0</v>
      </c>
      <c r="F19" s="15">
        <f t="shared" si="0"/>
        <v>0</v>
      </c>
      <c r="G19" s="12"/>
      <c r="H19" s="44" t="s">
        <v>147</v>
      </c>
      <c r="I19" s="45"/>
      <c r="J19" s="12"/>
      <c r="K19" s="52" t="s">
        <v>92</v>
      </c>
      <c r="L19" s="77">
        <v>3</v>
      </c>
      <c r="M19" s="12"/>
      <c r="N19" s="15" t="s">
        <v>284</v>
      </c>
      <c r="O19" s="15">
        <v>3.71</v>
      </c>
      <c r="P19" s="12"/>
      <c r="Q19" s="16"/>
      <c r="R19" s="41"/>
      <c r="S19" s="41"/>
      <c r="T19" s="41"/>
      <c r="U19" s="41"/>
      <c r="V19" s="41"/>
      <c r="W19" s="41"/>
      <c r="X19" s="41"/>
      <c r="Y19" s="41"/>
      <c r="Z19" s="41"/>
    </row>
    <row r="20" spans="1:26" ht="24" customHeight="1" x14ac:dyDescent="0.2">
      <c r="A20" s="16">
        <v>16</v>
      </c>
      <c r="B20" s="43" t="s">
        <v>285</v>
      </c>
      <c r="C20" s="43" t="s">
        <v>293</v>
      </c>
      <c r="D20" s="15">
        <f>150*I6</f>
        <v>0.14849999999999999</v>
      </c>
      <c r="E20" s="15">
        <f>((I23*L21))</f>
        <v>6.4081566075999996</v>
      </c>
      <c r="F20" s="15">
        <f t="shared" si="0"/>
        <v>6.5566566075999999</v>
      </c>
      <c r="G20" s="12"/>
      <c r="H20" s="12" t="s">
        <v>148</v>
      </c>
      <c r="I20" s="23">
        <f>'Usage Data (cvs)'!C3</f>
        <v>10.220345466666666</v>
      </c>
      <c r="J20" s="12"/>
      <c r="K20" s="55" t="s">
        <v>98</v>
      </c>
      <c r="L20" s="79">
        <v>1900</v>
      </c>
      <c r="M20" s="12"/>
      <c r="N20" s="15" t="s">
        <v>284</v>
      </c>
      <c r="O20" s="15">
        <f>O19*(1+O15)</f>
        <v>6.5833177083333325</v>
      </c>
      <c r="P20" s="12"/>
      <c r="Q20" s="16"/>
      <c r="R20" s="41"/>
      <c r="S20" s="41"/>
      <c r="T20" s="41"/>
      <c r="U20" s="41"/>
      <c r="V20" s="41"/>
      <c r="W20" s="41"/>
      <c r="X20" s="41"/>
      <c r="Y20" s="41"/>
      <c r="Z20" s="41"/>
    </row>
    <row r="21" spans="1:26" ht="24" customHeight="1" x14ac:dyDescent="0.2">
      <c r="A21" s="16">
        <v>17</v>
      </c>
      <c r="B21" s="43" t="s">
        <v>294</v>
      </c>
      <c r="C21" s="43" t="s">
        <v>253</v>
      </c>
      <c r="D21" s="15">
        <f>L31</f>
        <v>0.95699999999999996</v>
      </c>
      <c r="E21" s="15">
        <f>L6</f>
        <v>0.627</v>
      </c>
      <c r="F21" s="15">
        <f t="shared" si="0"/>
        <v>1.5840000000000001</v>
      </c>
      <c r="G21" s="12"/>
      <c r="H21" s="12" t="s">
        <v>149</v>
      </c>
      <c r="I21" s="23">
        <f>'Usage Data (cvs)'!B3</f>
        <v>4.1097759999999992</v>
      </c>
      <c r="J21" s="12"/>
      <c r="K21" s="58" t="s">
        <v>104</v>
      </c>
      <c r="L21" s="60">
        <f>L20/L19*$I$6</f>
        <v>0.627</v>
      </c>
      <c r="M21" s="68"/>
      <c r="N21" s="12"/>
      <c r="O21" s="12"/>
      <c r="P21" s="68"/>
      <c r="Q21" s="16"/>
      <c r="R21" s="41"/>
      <c r="S21" s="41"/>
      <c r="T21" s="41"/>
      <c r="U21" s="41"/>
      <c r="V21" s="41"/>
      <c r="W21" s="41"/>
      <c r="X21" s="41"/>
      <c r="Y21" s="41"/>
      <c r="Z21" s="41"/>
    </row>
    <row r="22" spans="1:26" ht="24" customHeight="1" x14ac:dyDescent="0.2">
      <c r="A22" s="16">
        <v>18</v>
      </c>
      <c r="B22" s="43" t="s">
        <v>277</v>
      </c>
      <c r="C22" s="43" t="s">
        <v>289</v>
      </c>
      <c r="D22" s="15">
        <f>L21</f>
        <v>0.627</v>
      </c>
      <c r="E22" s="15">
        <f>750*I6</f>
        <v>0.74250000000000005</v>
      </c>
      <c r="F22" s="15">
        <f t="shared" si="0"/>
        <v>1.3694999999999999</v>
      </c>
      <c r="G22" s="12"/>
      <c r="H22" s="12" t="s">
        <v>150</v>
      </c>
      <c r="I22" s="13">
        <v>2</v>
      </c>
      <c r="J22" s="12"/>
      <c r="K22" s="64"/>
      <c r="L22" s="92"/>
      <c r="M22" s="68"/>
      <c r="N22" s="12"/>
      <c r="O22" s="12"/>
      <c r="P22" s="68"/>
      <c r="Q22" s="16"/>
      <c r="R22" s="41"/>
      <c r="S22" s="41"/>
      <c r="T22" s="41"/>
      <c r="U22" s="41"/>
      <c r="V22" s="41"/>
      <c r="W22" s="41"/>
      <c r="X22" s="41"/>
      <c r="Y22" s="41"/>
      <c r="Z22" s="41"/>
    </row>
    <row r="23" spans="1:26" ht="24" customHeight="1" x14ac:dyDescent="0.2">
      <c r="A23" s="16">
        <v>19</v>
      </c>
      <c r="B23" s="43" t="s">
        <v>295</v>
      </c>
      <c r="C23" s="43" t="s">
        <v>225</v>
      </c>
      <c r="D23" s="15">
        <f>((I23*I17)/2)</f>
        <v>0.9106327810799999</v>
      </c>
      <c r="E23" s="15">
        <f>L26</f>
        <v>0.89100000000000001</v>
      </c>
      <c r="F23" s="15">
        <f t="shared" si="0"/>
        <v>1.8016327810799999</v>
      </c>
      <c r="G23" s="12"/>
      <c r="H23" s="58" t="s">
        <v>152</v>
      </c>
      <c r="I23" s="70">
        <f>I20</f>
        <v>10.220345466666666</v>
      </c>
      <c r="J23" s="36"/>
      <c r="K23" s="49" t="s">
        <v>153</v>
      </c>
      <c r="L23" s="85" t="s">
        <v>154</v>
      </c>
      <c r="M23" s="68"/>
      <c r="N23" s="68"/>
      <c r="O23" s="68"/>
      <c r="P23" s="68"/>
      <c r="Q23" s="16"/>
      <c r="R23" s="41"/>
      <c r="S23" s="41"/>
      <c r="T23" s="41"/>
      <c r="U23" s="41"/>
      <c r="V23" s="41"/>
      <c r="W23" s="41"/>
      <c r="X23" s="41"/>
      <c r="Y23" s="41"/>
      <c r="Z23" s="41"/>
    </row>
    <row r="24" spans="1:26" ht="24" customHeight="1" x14ac:dyDescent="0.2">
      <c r="A24" s="16">
        <v>20</v>
      </c>
      <c r="B24" s="43" t="s">
        <v>280</v>
      </c>
      <c r="C24" s="43" t="s">
        <v>274</v>
      </c>
      <c r="D24" s="15">
        <v>0</v>
      </c>
      <c r="E24" s="15">
        <v>0</v>
      </c>
      <c r="F24" s="15">
        <f t="shared" si="0"/>
        <v>0</v>
      </c>
      <c r="G24" s="12"/>
      <c r="H24" s="58" t="s">
        <v>156</v>
      </c>
      <c r="I24" s="71">
        <f>I20*I21/I22</f>
        <v>21.001665255307728</v>
      </c>
      <c r="J24" s="12"/>
      <c r="K24" s="52" t="s">
        <v>92</v>
      </c>
      <c r="L24" s="77">
        <v>1</v>
      </c>
      <c r="M24" s="68"/>
      <c r="N24" s="68"/>
      <c r="O24" s="68"/>
      <c r="P24" s="68"/>
      <c r="Q24" s="16"/>
      <c r="R24" s="41"/>
      <c r="S24" s="41"/>
      <c r="T24" s="41"/>
      <c r="U24" s="41"/>
      <c r="V24" s="41"/>
      <c r="W24" s="41"/>
      <c r="X24" s="41"/>
      <c r="Y24" s="41"/>
      <c r="Z24" s="41"/>
    </row>
    <row r="25" spans="1:26" ht="24" customHeight="1" x14ac:dyDescent="0.2">
      <c r="A25" s="16">
        <v>21</v>
      </c>
      <c r="B25" s="43" t="s">
        <v>296</v>
      </c>
      <c r="C25" s="43" t="s">
        <v>297</v>
      </c>
      <c r="D25" s="15">
        <f>200*I6</f>
        <v>0.19800000000000001</v>
      </c>
      <c r="E25" s="15">
        <f>(I23*L11)</f>
        <v>6.4081566075999996</v>
      </c>
      <c r="F25" s="15">
        <f t="shared" si="0"/>
        <v>6.6061566076</v>
      </c>
      <c r="G25" s="12"/>
      <c r="H25" s="12"/>
      <c r="I25" s="12"/>
      <c r="J25" s="12"/>
      <c r="K25" s="55" t="s">
        <v>98</v>
      </c>
      <c r="L25" s="79">
        <v>900</v>
      </c>
      <c r="M25" s="68"/>
      <c r="N25" s="68"/>
      <c r="O25" s="68"/>
      <c r="P25" s="68"/>
      <c r="Q25" s="16"/>
      <c r="R25" s="41"/>
      <c r="S25" s="41"/>
      <c r="T25" s="41"/>
      <c r="U25" s="41"/>
      <c r="V25" s="41"/>
      <c r="W25" s="41"/>
      <c r="X25" s="41"/>
      <c r="Y25" s="41"/>
      <c r="Z25" s="41"/>
    </row>
    <row r="26" spans="1:26" ht="24" customHeight="1" x14ac:dyDescent="0.2">
      <c r="A26" s="16">
        <v>22</v>
      </c>
      <c r="B26" s="43" t="s">
        <v>282</v>
      </c>
      <c r="C26" s="43" t="s">
        <v>298</v>
      </c>
      <c r="D26" s="15">
        <f>L11</f>
        <v>0.627</v>
      </c>
      <c r="E26" s="15">
        <f>L36</f>
        <v>1.254</v>
      </c>
      <c r="F26" s="15">
        <f t="shared" si="0"/>
        <v>1.881</v>
      </c>
      <c r="G26" s="12"/>
      <c r="H26" s="216"/>
      <c r="I26" s="217"/>
      <c r="J26" s="12"/>
      <c r="K26" s="58" t="s">
        <v>104</v>
      </c>
      <c r="L26" s="60">
        <f>L25/L24*$I$6</f>
        <v>0.89100000000000001</v>
      </c>
      <c r="M26" s="12"/>
      <c r="N26" s="12"/>
      <c r="O26" s="12"/>
      <c r="P26" s="12"/>
      <c r="Q26" s="16"/>
      <c r="R26" s="41"/>
      <c r="S26" s="41"/>
      <c r="T26" s="41"/>
      <c r="U26" s="41"/>
      <c r="V26" s="41"/>
      <c r="W26" s="41"/>
      <c r="X26" s="41"/>
      <c r="Y26" s="41"/>
      <c r="Z26" s="41"/>
    </row>
    <row r="27" spans="1:26" ht="24" customHeight="1" x14ac:dyDescent="0.2">
      <c r="A27" s="16">
        <v>23</v>
      </c>
      <c r="B27" s="43" t="s">
        <v>271</v>
      </c>
      <c r="C27" s="43" t="s">
        <v>299</v>
      </c>
      <c r="D27" s="15">
        <f>((I23*I17)/2)</f>
        <v>0.9106327810799999</v>
      </c>
      <c r="E27" s="15">
        <f>1000*I6</f>
        <v>0.99</v>
      </c>
      <c r="F27" s="15">
        <f t="shared" si="0"/>
        <v>1.9006327810799999</v>
      </c>
      <c r="G27" s="12"/>
      <c r="H27" s="12"/>
      <c r="I27" s="12"/>
      <c r="J27" s="12"/>
      <c r="K27" s="12"/>
      <c r="L27" s="82"/>
      <c r="M27" s="12"/>
      <c r="N27" s="12"/>
      <c r="O27" s="12"/>
      <c r="P27" s="12"/>
      <c r="Q27" s="16"/>
      <c r="R27" s="41"/>
      <c r="S27" s="41"/>
      <c r="T27" s="41"/>
      <c r="U27" s="41"/>
      <c r="V27" s="41"/>
      <c r="W27" s="41"/>
      <c r="X27" s="41"/>
      <c r="Y27" s="41"/>
      <c r="Z27" s="41"/>
    </row>
    <row r="28" spans="1:26" ht="24" customHeight="1" x14ac:dyDescent="0.2">
      <c r="A28" s="16">
        <v>24</v>
      </c>
      <c r="B28" s="43" t="s">
        <v>277</v>
      </c>
      <c r="C28" s="43" t="s">
        <v>300</v>
      </c>
      <c r="D28" s="15">
        <f>L21</f>
        <v>0.627</v>
      </c>
      <c r="E28" s="15">
        <f>((I23*L16))</f>
        <v>3.0354426035999995</v>
      </c>
      <c r="F28" s="15">
        <f t="shared" si="0"/>
        <v>3.6624426035999997</v>
      </c>
      <c r="G28" s="12"/>
      <c r="H28" s="12"/>
      <c r="I28" s="12"/>
      <c r="J28" s="12"/>
      <c r="K28" s="49" t="s">
        <v>161</v>
      </c>
      <c r="L28" s="85" t="s">
        <v>162</v>
      </c>
      <c r="M28" s="12"/>
      <c r="N28" s="12"/>
      <c r="O28" s="12"/>
      <c r="P28" s="12"/>
      <c r="Q28" s="16"/>
      <c r="R28" s="41"/>
      <c r="S28" s="41"/>
      <c r="T28" s="41"/>
      <c r="U28" s="41"/>
      <c r="V28" s="41"/>
      <c r="W28" s="41"/>
      <c r="X28" s="41"/>
      <c r="Y28" s="41"/>
      <c r="Z28" s="41"/>
    </row>
    <row r="29" spans="1:26" ht="24" customHeight="1" x14ac:dyDescent="0.2">
      <c r="A29" s="16">
        <v>25</v>
      </c>
      <c r="B29" s="43" t="s">
        <v>301</v>
      </c>
      <c r="C29" s="43" t="s">
        <v>274</v>
      </c>
      <c r="D29" s="15">
        <v>0</v>
      </c>
      <c r="E29" s="15">
        <v>0</v>
      </c>
      <c r="F29" s="15">
        <f t="shared" si="0"/>
        <v>0</v>
      </c>
      <c r="G29" s="12"/>
      <c r="H29" s="12"/>
      <c r="I29" s="12"/>
      <c r="J29" s="12"/>
      <c r="K29" s="52" t="s">
        <v>92</v>
      </c>
      <c r="L29" s="77">
        <v>3</v>
      </c>
      <c r="M29" s="12"/>
      <c r="N29" s="12"/>
      <c r="O29" s="12"/>
      <c r="P29" s="12"/>
      <c r="Q29" s="16"/>
      <c r="R29" s="41"/>
      <c r="S29" s="41"/>
      <c r="T29" s="41"/>
      <c r="U29" s="41"/>
      <c r="V29" s="41"/>
      <c r="W29" s="41"/>
      <c r="X29" s="41"/>
      <c r="Y29" s="41"/>
      <c r="Z29" s="41"/>
    </row>
    <row r="30" spans="1:26" ht="24" customHeight="1" x14ac:dyDescent="0.2">
      <c r="A30" s="16">
        <v>26</v>
      </c>
      <c r="B30" s="43" t="s">
        <v>302</v>
      </c>
      <c r="C30" s="43" t="s">
        <v>303</v>
      </c>
      <c r="D30" s="15">
        <f>300*I6</f>
        <v>0.29699999999999999</v>
      </c>
      <c r="E30" s="15">
        <f>3*L21</f>
        <v>1.881</v>
      </c>
      <c r="F30" s="15">
        <f t="shared" si="0"/>
        <v>2.1779999999999999</v>
      </c>
      <c r="G30" s="12"/>
      <c r="H30" s="12"/>
      <c r="I30" s="12"/>
      <c r="J30" s="12"/>
      <c r="K30" s="55" t="s">
        <v>98</v>
      </c>
      <c r="L30" s="79">
        <v>2900</v>
      </c>
      <c r="M30" s="12"/>
      <c r="N30" s="12"/>
      <c r="O30" s="12"/>
      <c r="P30" s="12"/>
      <c r="Q30" s="16"/>
      <c r="R30" s="41"/>
      <c r="S30" s="41"/>
      <c r="T30" s="41"/>
      <c r="U30" s="41"/>
      <c r="V30" s="41"/>
      <c r="W30" s="41"/>
      <c r="X30" s="41"/>
      <c r="Y30" s="41"/>
      <c r="Z30" s="41"/>
    </row>
    <row r="31" spans="1:26" ht="24" customHeight="1" x14ac:dyDescent="0.2">
      <c r="A31" s="16">
        <v>27</v>
      </c>
      <c r="B31" s="43" t="s">
        <v>253</v>
      </c>
      <c r="C31" s="43" t="s">
        <v>299</v>
      </c>
      <c r="D31" s="15">
        <f>L6</f>
        <v>0.627</v>
      </c>
      <c r="E31" s="15">
        <f>1000*I6</f>
        <v>0.99</v>
      </c>
      <c r="F31" s="15">
        <f t="shared" si="0"/>
        <v>1.617</v>
      </c>
      <c r="G31" s="12"/>
      <c r="H31" s="12"/>
      <c r="I31" s="12"/>
      <c r="J31" s="12"/>
      <c r="K31" s="58" t="s">
        <v>104</v>
      </c>
      <c r="L31" s="60">
        <f>IFERROR(L30/L29*$I$6,"")</f>
        <v>0.95699999999999996</v>
      </c>
      <c r="M31" s="12"/>
      <c r="N31" s="12"/>
      <c r="O31" s="12"/>
      <c r="P31" s="12"/>
      <c r="Q31" s="16"/>
      <c r="R31" s="41"/>
      <c r="S31" s="41"/>
      <c r="T31" s="41"/>
      <c r="U31" s="41"/>
      <c r="V31" s="41"/>
      <c r="W31" s="41"/>
      <c r="X31" s="41"/>
      <c r="Y31" s="41"/>
      <c r="Z31" s="41"/>
    </row>
    <row r="32" spans="1:26" ht="24" customHeight="1" x14ac:dyDescent="0.2">
      <c r="A32" s="16">
        <v>28</v>
      </c>
      <c r="B32" s="43" t="s">
        <v>288</v>
      </c>
      <c r="C32" s="43" t="s">
        <v>304</v>
      </c>
      <c r="D32" s="15">
        <f>L16</f>
        <v>0.29699999999999999</v>
      </c>
      <c r="E32" s="15">
        <v>0</v>
      </c>
      <c r="F32" s="15">
        <f t="shared" si="0"/>
        <v>0.29699999999999999</v>
      </c>
      <c r="G32" s="12"/>
      <c r="H32" s="12"/>
      <c r="I32" s="12"/>
      <c r="J32" s="12"/>
      <c r="K32" s="12"/>
      <c r="L32" s="82"/>
      <c r="M32" s="12"/>
      <c r="N32" s="12"/>
      <c r="O32" s="12"/>
      <c r="P32" s="12"/>
      <c r="Q32" s="16"/>
      <c r="R32" s="41"/>
      <c r="S32" s="41"/>
      <c r="T32" s="41"/>
      <c r="U32" s="41"/>
      <c r="V32" s="41"/>
      <c r="W32" s="41"/>
      <c r="X32" s="41"/>
      <c r="Y32" s="41"/>
      <c r="Z32" s="41"/>
    </row>
    <row r="33" spans="1:26" ht="24" customHeight="1" x14ac:dyDescent="0.2">
      <c r="A33" s="16">
        <v>29</v>
      </c>
      <c r="B33" s="43" t="s">
        <v>271</v>
      </c>
      <c r="C33" s="43" t="s">
        <v>305</v>
      </c>
      <c r="D33" s="15">
        <f>((I23*I17)/2)</f>
        <v>0.9106327810799999</v>
      </c>
      <c r="E33" s="15">
        <f>3*L11</f>
        <v>1.881</v>
      </c>
      <c r="F33" s="15">
        <f t="shared" si="0"/>
        <v>2.7916327810799997</v>
      </c>
      <c r="G33" s="12"/>
      <c r="H33" s="12"/>
      <c r="I33" s="12"/>
      <c r="J33" s="12"/>
      <c r="K33" s="49" t="s">
        <v>211</v>
      </c>
      <c r="L33" s="93" t="s">
        <v>306</v>
      </c>
      <c r="M33" s="12"/>
      <c r="N33" s="12"/>
      <c r="O33" s="12"/>
      <c r="P33" s="12"/>
      <c r="Q33" s="16"/>
      <c r="R33" s="41"/>
      <c r="S33" s="41"/>
      <c r="T33" s="41"/>
      <c r="U33" s="41"/>
      <c r="V33" s="41"/>
      <c r="W33" s="41"/>
      <c r="X33" s="41"/>
      <c r="Y33" s="41"/>
      <c r="Z33" s="41"/>
    </row>
    <row r="34" spans="1:26" ht="24" customHeight="1" x14ac:dyDescent="0.2">
      <c r="A34" s="16">
        <v>30</v>
      </c>
      <c r="B34" s="43" t="s">
        <v>307</v>
      </c>
      <c r="C34" s="43" t="s">
        <v>308</v>
      </c>
      <c r="D34" s="15">
        <f>(300*I6)+(1*L16)+(1*L11)+(1*L21)+(I23*I17)</f>
        <v>3.6692655621599997</v>
      </c>
      <c r="E34" s="15">
        <v>0</v>
      </c>
      <c r="F34" s="15">
        <f t="shared" si="0"/>
        <v>3.6692655621599997</v>
      </c>
      <c r="G34" s="12"/>
      <c r="H34" s="12"/>
      <c r="I34" s="12"/>
      <c r="J34" s="12"/>
      <c r="K34" s="52" t="s">
        <v>92</v>
      </c>
      <c r="L34" s="94">
        <v>3</v>
      </c>
      <c r="M34" s="12"/>
      <c r="N34" s="12"/>
      <c r="O34" s="12"/>
      <c r="P34" s="12"/>
      <c r="Q34" s="16"/>
      <c r="R34" s="41"/>
      <c r="S34" s="41"/>
      <c r="T34" s="41"/>
      <c r="U34" s="41"/>
      <c r="V34" s="41"/>
      <c r="W34" s="41"/>
      <c r="X34" s="41"/>
      <c r="Y34" s="41"/>
      <c r="Z34" s="41"/>
    </row>
    <row r="35" spans="1:26" ht="24" customHeight="1" x14ac:dyDescent="0.2">
      <c r="A35" s="16">
        <v>31</v>
      </c>
      <c r="B35" s="43" t="s">
        <v>278</v>
      </c>
      <c r="C35" s="43" t="s">
        <v>300</v>
      </c>
      <c r="D35" s="15">
        <f>500*I6</f>
        <v>0.495</v>
      </c>
      <c r="E35" s="15">
        <f>((I23*L16))</f>
        <v>3.0354426035999995</v>
      </c>
      <c r="F35" s="15">
        <f t="shared" si="0"/>
        <v>3.5304426035999996</v>
      </c>
      <c r="G35" s="12"/>
      <c r="H35" s="12"/>
      <c r="I35" s="12"/>
      <c r="J35" s="12"/>
      <c r="K35" s="55" t="s">
        <v>98</v>
      </c>
      <c r="L35" s="95">
        <v>3800</v>
      </c>
      <c r="M35" s="12"/>
      <c r="N35" s="12"/>
      <c r="O35" s="12"/>
      <c r="P35" s="12"/>
      <c r="Q35" s="16"/>
      <c r="R35" s="41"/>
      <c r="S35" s="41"/>
      <c r="T35" s="41"/>
      <c r="U35" s="41"/>
      <c r="V35" s="41"/>
      <c r="W35" s="41"/>
      <c r="X35" s="41"/>
      <c r="Y35" s="41"/>
      <c r="Z35" s="41"/>
    </row>
    <row r="36" spans="1:26" ht="24" customHeight="1" x14ac:dyDescent="0.2">
      <c r="A36" s="16">
        <v>32</v>
      </c>
      <c r="B36" s="43" t="s">
        <v>277</v>
      </c>
      <c r="C36" s="43" t="s">
        <v>225</v>
      </c>
      <c r="D36" s="15">
        <f>L21</f>
        <v>0.627</v>
      </c>
      <c r="E36" s="15">
        <f>L26</f>
        <v>0.89100000000000001</v>
      </c>
      <c r="F36" s="15">
        <f t="shared" si="0"/>
        <v>1.518</v>
      </c>
      <c r="G36" s="12"/>
      <c r="H36" s="12"/>
      <c r="I36" s="12"/>
      <c r="J36" s="12"/>
      <c r="K36" s="58" t="s">
        <v>104</v>
      </c>
      <c r="L36" s="96">
        <f>IFERROR(L35/L34*$I$6,"")</f>
        <v>1.254</v>
      </c>
      <c r="M36" s="12"/>
      <c r="N36" s="12"/>
      <c r="O36" s="12"/>
      <c r="P36" s="12"/>
      <c r="Q36" s="16"/>
      <c r="R36" s="41"/>
      <c r="S36" s="41"/>
      <c r="T36" s="41"/>
      <c r="U36" s="41"/>
      <c r="V36" s="41"/>
      <c r="W36" s="41"/>
      <c r="X36" s="41"/>
      <c r="Y36" s="41"/>
      <c r="Z36" s="41"/>
    </row>
    <row r="37" spans="1:26" ht="24" customHeight="1" x14ac:dyDescent="0.2">
      <c r="A37" s="16">
        <v>33</v>
      </c>
      <c r="B37" s="43" t="s">
        <v>218</v>
      </c>
      <c r="C37" s="97" t="s">
        <v>309</v>
      </c>
      <c r="D37" s="15">
        <f>((I23*I17))</f>
        <v>1.8212655621599998</v>
      </c>
      <c r="E37" s="15">
        <f>2000*I6</f>
        <v>1.98</v>
      </c>
      <c r="F37" s="15">
        <f t="shared" si="0"/>
        <v>3.8012655621599998</v>
      </c>
      <c r="G37" s="12"/>
      <c r="H37" s="12"/>
      <c r="I37" s="12"/>
      <c r="J37" s="12"/>
      <c r="K37" s="12"/>
      <c r="L37" s="98"/>
      <c r="M37" s="12"/>
      <c r="N37" s="12"/>
      <c r="O37" s="12"/>
      <c r="P37" s="12"/>
      <c r="Q37" s="16"/>
      <c r="R37" s="41"/>
      <c r="S37" s="41"/>
      <c r="T37" s="41"/>
      <c r="U37" s="41"/>
      <c r="V37" s="41"/>
      <c r="W37" s="41"/>
      <c r="X37" s="41"/>
      <c r="Y37" s="41"/>
      <c r="Z37" s="41"/>
    </row>
    <row r="38" spans="1:26" ht="24" customHeight="1" x14ac:dyDescent="0.2">
      <c r="A38" s="16">
        <v>34</v>
      </c>
      <c r="B38" s="43" t="s">
        <v>310</v>
      </c>
      <c r="C38" s="43" t="s">
        <v>261</v>
      </c>
      <c r="D38" s="15">
        <v>0</v>
      </c>
      <c r="E38" s="15">
        <f>((I23*I17)*3)</f>
        <v>5.4637966864799994</v>
      </c>
      <c r="F38" s="15">
        <f t="shared" si="0"/>
        <v>5.4637966864799994</v>
      </c>
      <c r="G38" s="12"/>
      <c r="H38" s="12"/>
      <c r="I38" s="12"/>
      <c r="J38" s="12"/>
      <c r="K38" s="58" t="s">
        <v>168</v>
      </c>
      <c r="L38" s="60">
        <f>AVERAGE(L6,L11,L16,L21,L26,L31,L36)</f>
        <v>0.75428571428571423</v>
      </c>
      <c r="M38" s="12"/>
      <c r="N38" s="12"/>
      <c r="O38" s="12"/>
      <c r="P38" s="12"/>
      <c r="Q38" s="16"/>
      <c r="R38" s="41"/>
      <c r="S38" s="41"/>
      <c r="T38" s="41"/>
      <c r="U38" s="41"/>
      <c r="V38" s="41"/>
      <c r="W38" s="41"/>
      <c r="X38" s="41"/>
      <c r="Y38" s="41"/>
      <c r="Z38" s="41"/>
    </row>
    <row r="39" spans="1:26" ht="24" customHeight="1" x14ac:dyDescent="0.2">
      <c r="A39" s="16">
        <v>35</v>
      </c>
      <c r="B39" s="43" t="s">
        <v>274</v>
      </c>
      <c r="C39" s="43" t="s">
        <v>284</v>
      </c>
      <c r="D39" s="15">
        <v>0</v>
      </c>
      <c r="E39" s="15">
        <f>O20</f>
        <v>6.5833177083333325</v>
      </c>
      <c r="F39" s="15">
        <f t="shared" si="0"/>
        <v>6.5833177083333325</v>
      </c>
      <c r="G39" s="12"/>
      <c r="H39" s="12"/>
      <c r="I39" s="12"/>
      <c r="J39" s="12"/>
      <c r="K39" s="12"/>
      <c r="L39" s="12"/>
      <c r="M39" s="12"/>
      <c r="N39" s="12"/>
      <c r="O39" s="12"/>
      <c r="P39" s="12"/>
      <c r="Q39" s="16"/>
      <c r="R39" s="41"/>
      <c r="S39" s="41"/>
      <c r="T39" s="41"/>
      <c r="U39" s="41"/>
      <c r="V39" s="41"/>
      <c r="W39" s="41"/>
      <c r="X39" s="41"/>
      <c r="Y39" s="41"/>
      <c r="Z39" s="41"/>
    </row>
    <row r="40" spans="1:26" ht="24" customHeight="1" x14ac:dyDescent="0.2">
      <c r="A40" s="28" t="s">
        <v>171</v>
      </c>
      <c r="B40" s="43"/>
      <c r="C40" s="43" t="s">
        <v>173</v>
      </c>
      <c r="D40" s="15">
        <v>0</v>
      </c>
      <c r="E40" s="15">
        <v>0</v>
      </c>
      <c r="F40" s="15">
        <f t="shared" si="0"/>
        <v>0</v>
      </c>
      <c r="G40" s="12"/>
      <c r="H40" s="12"/>
      <c r="I40" s="12"/>
      <c r="J40" s="12"/>
      <c r="K40" s="12"/>
      <c r="L40" s="12"/>
      <c r="M40" s="12"/>
      <c r="N40" s="12"/>
      <c r="O40" s="12"/>
      <c r="P40" s="12"/>
      <c r="Q40" s="16"/>
      <c r="R40" s="41"/>
      <c r="S40" s="41"/>
      <c r="T40" s="41"/>
      <c r="U40" s="41"/>
      <c r="V40" s="41"/>
      <c r="W40" s="41"/>
      <c r="X40" s="41"/>
      <c r="Y40" s="41"/>
      <c r="Z40" s="41"/>
    </row>
    <row r="41" spans="1:26" ht="24" customHeight="1" x14ac:dyDescent="0.2">
      <c r="A41" s="28" t="s">
        <v>81</v>
      </c>
      <c r="B41" s="32"/>
      <c r="C41" s="32"/>
      <c r="D41" s="72">
        <f t="shared" ref="D41:F41" si="1">SUM(D4:D40)</f>
        <v>20.887327810800006</v>
      </c>
      <c r="E41" s="72">
        <f t="shared" si="1"/>
        <v>59.272545055935304</v>
      </c>
      <c r="F41" s="72">
        <f t="shared" si="1"/>
        <v>80.159872866735299</v>
      </c>
      <c r="G41" s="12"/>
      <c r="H41" s="12"/>
      <c r="I41" s="12"/>
      <c r="J41" s="12"/>
      <c r="K41" s="12"/>
      <c r="L41" s="12"/>
      <c r="M41" s="12"/>
      <c r="N41" s="12"/>
      <c r="O41" s="12"/>
      <c r="P41" s="12"/>
      <c r="Q41" s="16"/>
      <c r="R41" s="41"/>
      <c r="S41" s="41"/>
      <c r="T41" s="41"/>
      <c r="U41" s="41"/>
      <c r="V41" s="41"/>
      <c r="W41" s="41"/>
      <c r="X41" s="41"/>
      <c r="Y41" s="41"/>
      <c r="Z41" s="41"/>
    </row>
    <row r="42" spans="1:26" ht="15.75" customHeight="1" x14ac:dyDescent="0.2">
      <c r="A42" s="28" t="s">
        <v>174</v>
      </c>
      <c r="B42" s="32"/>
      <c r="C42" s="32"/>
      <c r="D42" s="34">
        <f t="shared" ref="D42:F42" si="2">AVERAGE(D4:D40)</f>
        <v>0.56452237326486499</v>
      </c>
      <c r="E42" s="34">
        <f t="shared" si="2"/>
        <v>1.6019606771874406</v>
      </c>
      <c r="F42" s="34">
        <f t="shared" si="2"/>
        <v>2.1664830504523054</v>
      </c>
      <c r="G42" s="12"/>
      <c r="H42" s="12"/>
      <c r="I42" s="12"/>
      <c r="J42" s="12"/>
      <c r="K42" s="12"/>
      <c r="L42" s="12"/>
      <c r="M42" s="12"/>
      <c r="N42" s="12"/>
      <c r="O42" s="12"/>
      <c r="P42" s="12"/>
      <c r="Q42" s="16"/>
      <c r="R42" s="41"/>
      <c r="S42" s="41"/>
      <c r="T42" s="41"/>
      <c r="U42" s="41"/>
      <c r="V42" s="41"/>
      <c r="W42" s="41"/>
      <c r="X42" s="41"/>
      <c r="Y42" s="41"/>
      <c r="Z42" s="41"/>
    </row>
    <row r="43" spans="1:26" ht="15.75" customHeight="1" x14ac:dyDescent="0.2">
      <c r="A43" s="16"/>
      <c r="B43" s="43"/>
      <c r="C43" s="43"/>
      <c r="D43" s="15"/>
      <c r="E43" s="15"/>
      <c r="F43" s="15"/>
      <c r="G43" s="12"/>
      <c r="H43" s="12"/>
      <c r="I43" s="12"/>
      <c r="J43" s="12"/>
      <c r="K43" s="12"/>
      <c r="L43" s="12"/>
      <c r="M43" s="12"/>
      <c r="N43" s="12"/>
      <c r="O43" s="12"/>
      <c r="P43" s="12"/>
      <c r="Q43" s="16"/>
      <c r="R43" s="41"/>
      <c r="S43" s="41"/>
      <c r="T43" s="41"/>
      <c r="U43" s="41"/>
      <c r="V43" s="41"/>
      <c r="W43" s="41"/>
      <c r="X43" s="41"/>
      <c r="Y43" s="41"/>
      <c r="Z43" s="41"/>
    </row>
    <row r="44" spans="1:26" ht="15.75" customHeight="1" x14ac:dyDescent="0.2">
      <c r="A44" s="16"/>
      <c r="B44" s="43"/>
      <c r="C44" s="43"/>
      <c r="D44" s="15"/>
      <c r="E44" s="15"/>
      <c r="F44" s="15"/>
      <c r="G44" s="12"/>
      <c r="H44" s="12"/>
      <c r="I44" s="12"/>
      <c r="J44" s="12"/>
      <c r="K44" s="12"/>
      <c r="L44" s="12"/>
      <c r="M44" s="12"/>
      <c r="N44" s="12"/>
      <c r="O44" s="12"/>
      <c r="P44" s="12"/>
      <c r="Q44" s="16"/>
      <c r="R44" s="41"/>
      <c r="S44" s="41"/>
      <c r="T44" s="41"/>
      <c r="U44" s="41"/>
      <c r="V44" s="41"/>
      <c r="W44" s="41"/>
      <c r="X44" s="41"/>
      <c r="Y44" s="41"/>
      <c r="Z44" s="41"/>
    </row>
    <row r="45" spans="1:26" ht="15.75" customHeight="1" x14ac:dyDescent="0.2">
      <c r="A45" s="16"/>
      <c r="B45" s="43"/>
      <c r="C45" s="43"/>
      <c r="D45" s="15"/>
      <c r="E45" s="15"/>
      <c r="F45" s="15"/>
      <c r="G45" s="12"/>
      <c r="H45" s="12"/>
      <c r="I45" s="12"/>
      <c r="J45" s="12"/>
      <c r="K45" s="12"/>
      <c r="L45" s="12"/>
      <c r="M45" s="12"/>
      <c r="N45" s="12"/>
      <c r="O45" s="12"/>
      <c r="P45" s="12"/>
      <c r="Q45" s="16"/>
      <c r="R45" s="41"/>
      <c r="S45" s="41"/>
      <c r="T45" s="41"/>
      <c r="U45" s="41"/>
      <c r="V45" s="41"/>
      <c r="W45" s="41"/>
      <c r="X45" s="41"/>
      <c r="Y45" s="41"/>
      <c r="Z45" s="41"/>
    </row>
    <row r="46" spans="1:26" ht="15.75" customHeight="1" x14ac:dyDescent="0.2">
      <c r="A46" s="16"/>
      <c r="B46" s="43"/>
      <c r="C46" s="43"/>
      <c r="D46" s="15"/>
      <c r="E46" s="15"/>
      <c r="F46" s="15"/>
      <c r="G46" s="12"/>
      <c r="H46" s="12"/>
      <c r="I46" s="12"/>
      <c r="J46" s="12"/>
      <c r="K46" s="12"/>
      <c r="L46" s="12"/>
      <c r="M46" s="12"/>
      <c r="N46" s="12"/>
      <c r="O46" s="12"/>
      <c r="P46" s="12"/>
      <c r="Q46" s="16"/>
      <c r="R46" s="41"/>
      <c r="S46" s="41"/>
      <c r="T46" s="41"/>
      <c r="U46" s="41"/>
      <c r="V46" s="41"/>
      <c r="W46" s="41"/>
      <c r="X46" s="41"/>
      <c r="Y46" s="41"/>
      <c r="Z46" s="41"/>
    </row>
    <row r="47" spans="1:26" ht="15.75" customHeight="1" x14ac:dyDescent="0.2">
      <c r="A47" s="16"/>
      <c r="B47" s="43"/>
      <c r="C47" s="43"/>
      <c r="D47" s="15"/>
      <c r="E47" s="15"/>
      <c r="F47" s="15"/>
      <c r="G47" s="12"/>
      <c r="H47" s="12"/>
      <c r="I47" s="12"/>
      <c r="J47" s="12"/>
      <c r="K47" s="12"/>
      <c r="L47" s="12"/>
      <c r="M47" s="12"/>
      <c r="N47" s="12"/>
      <c r="O47" s="12"/>
      <c r="P47" s="12"/>
      <c r="Q47" s="16"/>
      <c r="R47" s="41"/>
      <c r="S47" s="41"/>
      <c r="T47" s="41"/>
      <c r="U47" s="41"/>
      <c r="V47" s="41"/>
      <c r="W47" s="41"/>
      <c r="X47" s="41"/>
      <c r="Y47" s="41"/>
      <c r="Z47" s="41"/>
    </row>
    <row r="48" spans="1:26" ht="15.75" customHeight="1" x14ac:dyDescent="0.2">
      <c r="A48" s="16"/>
      <c r="B48" s="43"/>
      <c r="C48" s="43"/>
      <c r="D48" s="15"/>
      <c r="E48" s="15"/>
      <c r="F48" s="15"/>
      <c r="G48" s="12"/>
      <c r="H48" s="12"/>
      <c r="I48" s="12"/>
      <c r="J48" s="12"/>
      <c r="K48" s="12"/>
      <c r="L48" s="12"/>
      <c r="M48" s="12"/>
      <c r="N48" s="12"/>
      <c r="O48" s="12"/>
      <c r="P48" s="12"/>
      <c r="Q48" s="16"/>
      <c r="R48" s="41"/>
      <c r="S48" s="41"/>
      <c r="T48" s="41"/>
      <c r="U48" s="41"/>
      <c r="V48" s="41"/>
      <c r="W48" s="41"/>
      <c r="X48" s="41"/>
      <c r="Y48" s="41"/>
      <c r="Z48" s="41"/>
    </row>
    <row r="49" spans="1:26" ht="15.75" customHeight="1" x14ac:dyDescent="0.2">
      <c r="A49" s="16"/>
      <c r="B49" s="43"/>
      <c r="C49" s="43"/>
      <c r="D49" s="15"/>
      <c r="E49" s="15"/>
      <c r="F49" s="15"/>
      <c r="G49" s="12"/>
      <c r="H49" s="12"/>
      <c r="I49" s="12"/>
      <c r="J49" s="12"/>
      <c r="K49" s="12"/>
      <c r="L49" s="12"/>
      <c r="M49" s="12"/>
      <c r="N49" s="12"/>
      <c r="O49" s="12"/>
      <c r="P49" s="12"/>
      <c r="Q49" s="16"/>
      <c r="R49" s="41"/>
      <c r="S49" s="41"/>
      <c r="T49" s="41"/>
      <c r="U49" s="41"/>
      <c r="V49" s="41"/>
      <c r="W49" s="41"/>
      <c r="X49" s="41"/>
      <c r="Y49" s="41"/>
      <c r="Z49" s="41"/>
    </row>
    <row r="50" spans="1:26" ht="15.75" customHeight="1" x14ac:dyDescent="0.2">
      <c r="A50" s="16"/>
      <c r="B50" s="43"/>
      <c r="C50" s="43"/>
      <c r="D50" s="15"/>
      <c r="E50" s="15"/>
      <c r="F50" s="15"/>
      <c r="G50" s="12"/>
      <c r="H50" s="12"/>
      <c r="I50" s="12"/>
      <c r="J50" s="12"/>
      <c r="K50" s="12"/>
      <c r="L50" s="12"/>
      <c r="M50" s="12"/>
      <c r="N50" s="12"/>
      <c r="O50" s="12"/>
      <c r="P50" s="12"/>
      <c r="Q50" s="16"/>
      <c r="R50" s="41"/>
      <c r="S50" s="41"/>
      <c r="T50" s="41"/>
      <c r="U50" s="41"/>
      <c r="V50" s="41"/>
      <c r="W50" s="41"/>
      <c r="X50" s="41"/>
      <c r="Y50" s="41"/>
      <c r="Z50" s="41"/>
    </row>
    <row r="51" spans="1:26" ht="15.75" customHeight="1" x14ac:dyDescent="0.2">
      <c r="A51" s="16"/>
      <c r="B51" s="43"/>
      <c r="C51" s="43"/>
      <c r="D51" s="15"/>
      <c r="E51" s="15"/>
      <c r="F51" s="15"/>
      <c r="G51" s="12"/>
      <c r="H51" s="12"/>
      <c r="I51" s="12"/>
      <c r="J51" s="12"/>
      <c r="K51" s="12"/>
      <c r="L51" s="12"/>
      <c r="M51" s="12"/>
      <c r="N51" s="12"/>
      <c r="O51" s="12"/>
      <c r="P51" s="12"/>
      <c r="Q51" s="16"/>
      <c r="R51" s="41"/>
      <c r="S51" s="41"/>
      <c r="T51" s="41"/>
      <c r="U51" s="41"/>
      <c r="V51" s="41"/>
      <c r="W51" s="41"/>
      <c r="X51" s="41"/>
      <c r="Y51" s="41"/>
      <c r="Z51" s="41"/>
    </row>
    <row r="52" spans="1:26" ht="15.75" customHeight="1" x14ac:dyDescent="0.2">
      <c r="A52" s="16"/>
      <c r="B52" s="43"/>
      <c r="C52" s="43"/>
      <c r="D52" s="15"/>
      <c r="E52" s="15"/>
      <c r="F52" s="15"/>
      <c r="G52" s="12"/>
      <c r="H52" s="12"/>
      <c r="I52" s="12"/>
      <c r="J52" s="12"/>
      <c r="K52" s="12"/>
      <c r="L52" s="12"/>
      <c r="M52" s="12"/>
      <c r="N52" s="12"/>
      <c r="O52" s="12"/>
      <c r="P52" s="12"/>
      <c r="Q52" s="16"/>
      <c r="R52" s="41"/>
      <c r="S52" s="41"/>
      <c r="T52" s="41"/>
      <c r="U52" s="41"/>
      <c r="V52" s="41"/>
      <c r="W52" s="41"/>
      <c r="X52" s="41"/>
      <c r="Y52" s="41"/>
      <c r="Z52" s="41"/>
    </row>
    <row r="53" spans="1:26" ht="15.75" customHeight="1" x14ac:dyDescent="0.2">
      <c r="A53" s="16"/>
      <c r="B53" s="43"/>
      <c r="C53" s="43"/>
      <c r="D53" s="15"/>
      <c r="E53" s="15"/>
      <c r="F53" s="15"/>
      <c r="G53" s="12"/>
      <c r="H53" s="12"/>
      <c r="I53" s="12"/>
      <c r="J53" s="12"/>
      <c r="K53" s="12"/>
      <c r="L53" s="12"/>
      <c r="M53" s="12"/>
      <c r="N53" s="12"/>
      <c r="O53" s="12"/>
      <c r="P53" s="12"/>
      <c r="Q53" s="16"/>
      <c r="R53" s="41"/>
      <c r="S53" s="41"/>
      <c r="T53" s="41"/>
      <c r="U53" s="41"/>
      <c r="V53" s="41"/>
      <c r="W53" s="41"/>
      <c r="X53" s="41"/>
      <c r="Y53" s="41"/>
      <c r="Z53" s="41"/>
    </row>
    <row r="54" spans="1:26" ht="15.75" customHeight="1" x14ac:dyDescent="0.2">
      <c r="A54" s="16"/>
      <c r="B54" s="43"/>
      <c r="C54" s="43"/>
      <c r="D54" s="15"/>
      <c r="E54" s="15"/>
      <c r="F54" s="15"/>
      <c r="G54" s="12"/>
      <c r="H54" s="12"/>
      <c r="I54" s="12"/>
      <c r="J54" s="12"/>
      <c r="K54" s="12"/>
      <c r="L54" s="12"/>
      <c r="M54" s="12"/>
      <c r="N54" s="12"/>
      <c r="O54" s="12"/>
      <c r="P54" s="12"/>
      <c r="Q54" s="16"/>
      <c r="R54" s="41"/>
      <c r="S54" s="41"/>
      <c r="T54" s="41"/>
      <c r="U54" s="41"/>
      <c r="V54" s="41"/>
      <c r="W54" s="41"/>
      <c r="X54" s="41"/>
      <c r="Y54" s="41"/>
      <c r="Z54" s="41"/>
    </row>
    <row r="55" spans="1:26" ht="15.75" customHeight="1" x14ac:dyDescent="0.2">
      <c r="A55" s="16"/>
      <c r="B55" s="43"/>
      <c r="C55" s="43"/>
      <c r="D55" s="15"/>
      <c r="E55" s="15"/>
      <c r="F55" s="15"/>
      <c r="G55" s="12"/>
      <c r="H55" s="12"/>
      <c r="I55" s="12"/>
      <c r="J55" s="12"/>
      <c r="K55" s="12"/>
      <c r="L55" s="12"/>
      <c r="M55" s="12"/>
      <c r="N55" s="12"/>
      <c r="O55" s="12"/>
      <c r="P55" s="12"/>
      <c r="Q55" s="16"/>
      <c r="R55" s="41"/>
      <c r="S55" s="41"/>
      <c r="T55" s="41"/>
      <c r="U55" s="41"/>
      <c r="V55" s="41"/>
      <c r="W55" s="41"/>
      <c r="X55" s="41"/>
      <c r="Y55" s="41"/>
      <c r="Z55" s="41"/>
    </row>
    <row r="56" spans="1:26" ht="15.75" customHeight="1" x14ac:dyDescent="0.2">
      <c r="A56" s="16"/>
      <c r="B56" s="43"/>
      <c r="C56" s="43"/>
      <c r="D56" s="16"/>
      <c r="E56" s="16"/>
      <c r="F56" s="16"/>
      <c r="G56" s="12"/>
      <c r="H56" s="12"/>
      <c r="I56" s="12"/>
      <c r="J56" s="12"/>
      <c r="K56" s="12"/>
      <c r="L56" s="12"/>
      <c r="M56" s="12"/>
      <c r="N56" s="12"/>
      <c r="O56" s="12"/>
      <c r="P56" s="12"/>
      <c r="Q56" s="16"/>
      <c r="R56" s="41"/>
      <c r="S56" s="41"/>
      <c r="T56" s="41"/>
      <c r="U56" s="41"/>
      <c r="V56" s="41"/>
      <c r="W56" s="41"/>
      <c r="X56" s="41"/>
      <c r="Y56" s="41"/>
      <c r="Z56" s="41"/>
    </row>
    <row r="57" spans="1:26" ht="15.75" customHeight="1" x14ac:dyDescent="0.2">
      <c r="A57" s="16"/>
      <c r="B57" s="43"/>
      <c r="C57" s="43"/>
      <c r="D57" s="16"/>
      <c r="E57" s="16"/>
      <c r="F57" s="16"/>
      <c r="G57" s="12"/>
      <c r="H57" s="12"/>
      <c r="I57" s="12"/>
      <c r="J57" s="12"/>
      <c r="K57" s="12"/>
      <c r="L57" s="12"/>
      <c r="M57" s="12"/>
      <c r="N57" s="12"/>
      <c r="O57" s="12"/>
      <c r="P57" s="12"/>
      <c r="Q57" s="16"/>
      <c r="R57" s="41"/>
      <c r="S57" s="41"/>
      <c r="T57" s="41"/>
      <c r="U57" s="41"/>
      <c r="V57" s="41"/>
      <c r="W57" s="41"/>
      <c r="X57" s="41"/>
      <c r="Y57" s="41"/>
      <c r="Z57" s="41"/>
    </row>
    <row r="58" spans="1:26" ht="15.75" customHeight="1" x14ac:dyDescent="0.2">
      <c r="A58" s="16"/>
      <c r="B58" s="43"/>
      <c r="C58" s="43"/>
      <c r="D58" s="16"/>
      <c r="E58" s="16"/>
      <c r="F58" s="16"/>
      <c r="G58" s="12"/>
      <c r="H58" s="12"/>
      <c r="I58" s="12"/>
      <c r="J58" s="12"/>
      <c r="K58" s="12"/>
      <c r="L58" s="12"/>
      <c r="M58" s="12"/>
      <c r="N58" s="12"/>
      <c r="O58" s="12"/>
      <c r="P58" s="12"/>
      <c r="Q58" s="16"/>
      <c r="R58" s="41"/>
      <c r="S58" s="41"/>
      <c r="T58" s="41"/>
      <c r="U58" s="41"/>
      <c r="V58" s="41"/>
      <c r="W58" s="41"/>
      <c r="X58" s="41"/>
      <c r="Y58" s="41"/>
      <c r="Z58" s="41"/>
    </row>
    <row r="59" spans="1:26" ht="15.75" customHeight="1" x14ac:dyDescent="0.2">
      <c r="A59" s="16"/>
      <c r="B59" s="43"/>
      <c r="C59" s="43"/>
      <c r="D59" s="16"/>
      <c r="E59" s="16"/>
      <c r="F59" s="16"/>
      <c r="G59" s="12"/>
      <c r="H59" s="12"/>
      <c r="I59" s="12"/>
      <c r="J59" s="12"/>
      <c r="K59" s="12"/>
      <c r="L59" s="12"/>
      <c r="M59" s="12"/>
      <c r="N59" s="12"/>
      <c r="O59" s="12"/>
      <c r="P59" s="12"/>
      <c r="Q59" s="16"/>
      <c r="R59" s="41"/>
      <c r="S59" s="41"/>
      <c r="T59" s="41"/>
      <c r="U59" s="41"/>
      <c r="V59" s="41"/>
      <c r="W59" s="41"/>
      <c r="X59" s="41"/>
      <c r="Y59" s="41"/>
      <c r="Z59" s="41"/>
    </row>
    <row r="60" spans="1:26" ht="15.75" customHeight="1" x14ac:dyDescent="0.2">
      <c r="A60" s="16"/>
      <c r="B60" s="43"/>
      <c r="C60" s="43"/>
      <c r="D60" s="16"/>
      <c r="E60" s="16"/>
      <c r="F60" s="16"/>
      <c r="G60" s="12"/>
      <c r="H60" s="12"/>
      <c r="I60" s="12"/>
      <c r="J60" s="12"/>
      <c r="K60" s="12"/>
      <c r="L60" s="12"/>
      <c r="M60" s="12"/>
      <c r="N60" s="12"/>
      <c r="O60" s="12"/>
      <c r="P60" s="12"/>
      <c r="Q60" s="16"/>
      <c r="R60" s="41"/>
      <c r="S60" s="41"/>
      <c r="T60" s="41"/>
      <c r="U60" s="41"/>
      <c r="V60" s="41"/>
      <c r="W60" s="41"/>
      <c r="X60" s="41"/>
      <c r="Y60" s="41"/>
      <c r="Z60" s="41"/>
    </row>
    <row r="61" spans="1:26" ht="15.75" customHeight="1" x14ac:dyDescent="0.2">
      <c r="A61" s="16"/>
      <c r="B61" s="43"/>
      <c r="C61" s="43"/>
      <c r="D61" s="16"/>
      <c r="E61" s="16"/>
      <c r="F61" s="16"/>
      <c r="G61" s="12"/>
      <c r="H61" s="12"/>
      <c r="I61" s="12"/>
      <c r="J61" s="12"/>
      <c r="K61" s="12"/>
      <c r="L61" s="12"/>
      <c r="M61" s="12"/>
      <c r="N61" s="12"/>
      <c r="O61" s="12"/>
      <c r="P61" s="12"/>
      <c r="Q61" s="16"/>
      <c r="R61" s="41"/>
      <c r="S61" s="41"/>
      <c r="T61" s="41"/>
      <c r="U61" s="41"/>
      <c r="V61" s="41"/>
      <c r="W61" s="41"/>
      <c r="X61" s="41"/>
      <c r="Y61" s="41"/>
      <c r="Z61" s="41"/>
    </row>
    <row r="62" spans="1:26" ht="15.75" customHeight="1" x14ac:dyDescent="0.2">
      <c r="A62" s="16"/>
      <c r="B62" s="43"/>
      <c r="C62" s="43"/>
      <c r="D62" s="16"/>
      <c r="E62" s="16"/>
      <c r="F62" s="16"/>
      <c r="G62" s="12"/>
      <c r="H62" s="12"/>
      <c r="I62" s="12"/>
      <c r="J62" s="12"/>
      <c r="K62" s="12"/>
      <c r="L62" s="12"/>
      <c r="M62" s="12"/>
      <c r="N62" s="12"/>
      <c r="O62" s="12"/>
      <c r="P62" s="12"/>
      <c r="Q62" s="16"/>
      <c r="R62" s="41"/>
      <c r="S62" s="41"/>
      <c r="T62" s="41"/>
      <c r="U62" s="41"/>
      <c r="V62" s="41"/>
      <c r="W62" s="41"/>
      <c r="X62" s="41"/>
      <c r="Y62" s="41"/>
      <c r="Z62" s="41"/>
    </row>
    <row r="63" spans="1:26" ht="15.75" customHeight="1" x14ac:dyDescent="0.2">
      <c r="A63" s="16"/>
      <c r="B63" s="43"/>
      <c r="C63" s="43"/>
      <c r="D63" s="16"/>
      <c r="E63" s="16"/>
      <c r="F63" s="16"/>
      <c r="G63" s="12"/>
      <c r="H63" s="12"/>
      <c r="I63" s="12"/>
      <c r="J63" s="12"/>
      <c r="K63" s="12"/>
      <c r="L63" s="12"/>
      <c r="M63" s="12"/>
      <c r="N63" s="12"/>
      <c r="O63" s="12"/>
      <c r="P63" s="12"/>
      <c r="Q63" s="16"/>
      <c r="R63" s="41"/>
      <c r="S63" s="41"/>
      <c r="T63" s="41"/>
      <c r="U63" s="41"/>
      <c r="V63" s="41"/>
      <c r="W63" s="41"/>
      <c r="X63" s="41"/>
      <c r="Y63" s="41"/>
      <c r="Z63" s="41"/>
    </row>
    <row r="64" spans="1:26" ht="15.75" customHeight="1" x14ac:dyDescent="0.2">
      <c r="A64" s="16"/>
      <c r="B64" s="43"/>
      <c r="C64" s="43"/>
      <c r="D64" s="16"/>
      <c r="E64" s="16"/>
      <c r="F64" s="16"/>
      <c r="G64" s="12"/>
      <c r="H64" s="12"/>
      <c r="I64" s="12"/>
      <c r="J64" s="12"/>
      <c r="K64" s="12"/>
      <c r="L64" s="12"/>
      <c r="M64" s="12"/>
      <c r="N64" s="12"/>
      <c r="O64" s="12"/>
      <c r="P64" s="12"/>
      <c r="Q64" s="16"/>
      <c r="R64" s="41"/>
      <c r="S64" s="41"/>
      <c r="T64" s="41"/>
      <c r="U64" s="41"/>
      <c r="V64" s="41"/>
      <c r="W64" s="41"/>
      <c r="X64" s="41"/>
      <c r="Y64" s="41"/>
      <c r="Z64" s="41"/>
    </row>
    <row r="65" spans="1:26" ht="15.75" customHeight="1" x14ac:dyDescent="0.2">
      <c r="A65" s="16"/>
      <c r="B65" s="43"/>
      <c r="C65" s="43"/>
      <c r="D65" s="16"/>
      <c r="E65" s="16"/>
      <c r="F65" s="16"/>
      <c r="G65" s="12"/>
      <c r="H65" s="12"/>
      <c r="I65" s="12"/>
      <c r="J65" s="12"/>
      <c r="K65" s="12"/>
      <c r="L65" s="12"/>
      <c r="M65" s="12"/>
      <c r="N65" s="12"/>
      <c r="O65" s="12"/>
      <c r="P65" s="12"/>
      <c r="Q65" s="16"/>
      <c r="R65" s="41"/>
      <c r="S65" s="41"/>
      <c r="T65" s="41"/>
      <c r="U65" s="41"/>
      <c r="V65" s="41"/>
      <c r="W65" s="41"/>
      <c r="X65" s="41"/>
      <c r="Y65" s="41"/>
      <c r="Z65" s="41"/>
    </row>
    <row r="66" spans="1:26" ht="15.75" customHeight="1" x14ac:dyDescent="0.2">
      <c r="A66" s="16"/>
      <c r="B66" s="43"/>
      <c r="C66" s="43"/>
      <c r="D66" s="16"/>
      <c r="E66" s="16"/>
      <c r="F66" s="16"/>
      <c r="G66" s="12"/>
      <c r="H66" s="12"/>
      <c r="I66" s="12"/>
      <c r="J66" s="12"/>
      <c r="K66" s="12"/>
      <c r="L66" s="12"/>
      <c r="M66" s="12"/>
      <c r="N66" s="12"/>
      <c r="O66" s="12"/>
      <c r="P66" s="12"/>
      <c r="Q66" s="16"/>
      <c r="R66" s="41"/>
      <c r="S66" s="41"/>
      <c r="T66" s="41"/>
      <c r="U66" s="41"/>
      <c r="V66" s="41"/>
      <c r="W66" s="41"/>
      <c r="X66" s="41"/>
      <c r="Y66" s="41"/>
      <c r="Z66" s="41"/>
    </row>
    <row r="67" spans="1:26" ht="15.75" customHeight="1" x14ac:dyDescent="0.2">
      <c r="A67" s="16"/>
      <c r="B67" s="43"/>
      <c r="C67" s="43"/>
      <c r="D67" s="16"/>
      <c r="E67" s="16"/>
      <c r="F67" s="16"/>
      <c r="G67" s="12"/>
      <c r="H67" s="12"/>
      <c r="I67" s="12"/>
      <c r="J67" s="12"/>
      <c r="K67" s="12"/>
      <c r="L67" s="12"/>
      <c r="M67" s="12"/>
      <c r="N67" s="12"/>
      <c r="O67" s="12"/>
      <c r="P67" s="12"/>
      <c r="Q67" s="16"/>
      <c r="R67" s="41"/>
      <c r="S67" s="41"/>
      <c r="T67" s="41"/>
      <c r="U67" s="41"/>
      <c r="V67" s="41"/>
      <c r="W67" s="41"/>
      <c r="X67" s="41"/>
      <c r="Y67" s="41"/>
      <c r="Z67" s="41"/>
    </row>
    <row r="68" spans="1:26" ht="15.75" customHeight="1" x14ac:dyDescent="0.2">
      <c r="A68" s="16"/>
      <c r="B68" s="43"/>
      <c r="C68" s="43"/>
      <c r="D68" s="16"/>
      <c r="E68" s="16"/>
      <c r="F68" s="16"/>
      <c r="G68" s="12"/>
      <c r="H68" s="12"/>
      <c r="I68" s="12"/>
      <c r="J68" s="12"/>
      <c r="K68" s="12"/>
      <c r="L68" s="12"/>
      <c r="M68" s="12"/>
      <c r="N68" s="12"/>
      <c r="O68" s="12"/>
      <c r="P68" s="12"/>
      <c r="Q68" s="16"/>
      <c r="R68" s="41"/>
      <c r="S68" s="41"/>
      <c r="T68" s="41"/>
      <c r="U68" s="41"/>
      <c r="V68" s="41"/>
      <c r="W68" s="41"/>
      <c r="X68" s="41"/>
      <c r="Y68" s="41"/>
      <c r="Z68" s="41"/>
    </row>
    <row r="69" spans="1:26" ht="15.75" customHeight="1" x14ac:dyDescent="0.2">
      <c r="A69" s="16"/>
      <c r="B69" s="43"/>
      <c r="C69" s="43"/>
      <c r="D69" s="16"/>
      <c r="E69" s="16"/>
      <c r="F69" s="16"/>
      <c r="G69" s="12"/>
      <c r="H69" s="12"/>
      <c r="I69" s="12"/>
      <c r="J69" s="12"/>
      <c r="K69" s="12"/>
      <c r="L69" s="12"/>
      <c r="M69" s="12"/>
      <c r="N69" s="12"/>
      <c r="O69" s="12"/>
      <c r="P69" s="12"/>
      <c r="Q69" s="16"/>
      <c r="R69" s="41"/>
      <c r="S69" s="41"/>
      <c r="T69" s="41"/>
      <c r="U69" s="41"/>
      <c r="V69" s="41"/>
      <c r="W69" s="41"/>
      <c r="X69" s="41"/>
      <c r="Y69" s="41"/>
      <c r="Z69" s="41"/>
    </row>
    <row r="70" spans="1:26" ht="15.75" customHeight="1" x14ac:dyDescent="0.2">
      <c r="A70" s="16"/>
      <c r="B70" s="43"/>
      <c r="C70" s="43"/>
      <c r="D70" s="16"/>
      <c r="E70" s="16"/>
      <c r="F70" s="16"/>
      <c r="G70" s="12"/>
      <c r="H70" s="12"/>
      <c r="I70" s="12"/>
      <c r="J70" s="12"/>
      <c r="K70" s="12"/>
      <c r="L70" s="12"/>
      <c r="M70" s="12"/>
      <c r="N70" s="12"/>
      <c r="O70" s="12"/>
      <c r="P70" s="12"/>
      <c r="Q70" s="16"/>
      <c r="R70" s="41"/>
      <c r="S70" s="41"/>
      <c r="T70" s="41"/>
      <c r="U70" s="41"/>
      <c r="V70" s="41"/>
      <c r="W70" s="41"/>
      <c r="X70" s="41"/>
      <c r="Y70" s="41"/>
      <c r="Z70" s="41"/>
    </row>
    <row r="71" spans="1:26" ht="15.75" customHeight="1" x14ac:dyDescent="0.2">
      <c r="A71" s="16"/>
      <c r="B71" s="43"/>
      <c r="C71" s="43"/>
      <c r="D71" s="16"/>
      <c r="E71" s="16"/>
      <c r="F71" s="16"/>
      <c r="G71" s="12"/>
      <c r="H71" s="12"/>
      <c r="I71" s="12"/>
      <c r="J71" s="12"/>
      <c r="K71" s="12"/>
      <c r="L71" s="12"/>
      <c r="M71" s="12"/>
      <c r="N71" s="12"/>
      <c r="O71" s="12"/>
      <c r="P71" s="12"/>
      <c r="Q71" s="16"/>
      <c r="R71" s="41"/>
      <c r="S71" s="41"/>
      <c r="T71" s="41"/>
      <c r="U71" s="41"/>
      <c r="V71" s="41"/>
      <c r="W71" s="41"/>
      <c r="X71" s="41"/>
      <c r="Y71" s="41"/>
      <c r="Z71" s="41"/>
    </row>
    <row r="72" spans="1:26" ht="15.75" customHeight="1" x14ac:dyDescent="0.2">
      <c r="A72" s="16"/>
      <c r="B72" s="43"/>
      <c r="C72" s="43"/>
      <c r="D72" s="16"/>
      <c r="E72" s="16"/>
      <c r="F72" s="16"/>
      <c r="G72" s="12"/>
      <c r="H72" s="12"/>
      <c r="I72" s="12"/>
      <c r="J72" s="12"/>
      <c r="K72" s="12"/>
      <c r="L72" s="12"/>
      <c r="M72" s="12"/>
      <c r="N72" s="12"/>
      <c r="O72" s="12"/>
      <c r="P72" s="12"/>
      <c r="Q72" s="16"/>
      <c r="R72" s="41"/>
      <c r="S72" s="41"/>
      <c r="T72" s="41"/>
      <c r="U72" s="41"/>
      <c r="V72" s="41"/>
      <c r="W72" s="41"/>
      <c r="X72" s="41"/>
      <c r="Y72" s="41"/>
      <c r="Z72" s="41"/>
    </row>
    <row r="73" spans="1:26" ht="15.75" customHeight="1" x14ac:dyDescent="0.2">
      <c r="A73" s="16"/>
      <c r="B73" s="43"/>
      <c r="C73" s="43"/>
      <c r="D73" s="16"/>
      <c r="E73" s="16"/>
      <c r="F73" s="16"/>
      <c r="G73" s="12"/>
      <c r="H73" s="12"/>
      <c r="I73" s="12"/>
      <c r="J73" s="12"/>
      <c r="K73" s="12"/>
      <c r="L73" s="12"/>
      <c r="M73" s="12"/>
      <c r="N73" s="12"/>
      <c r="O73" s="12"/>
      <c r="P73" s="12"/>
      <c r="Q73" s="16"/>
      <c r="R73" s="41"/>
      <c r="S73" s="41"/>
      <c r="T73" s="41"/>
      <c r="U73" s="41"/>
      <c r="V73" s="41"/>
      <c r="W73" s="41"/>
      <c r="X73" s="41"/>
      <c r="Y73" s="41"/>
      <c r="Z73" s="41"/>
    </row>
    <row r="74" spans="1:26" ht="15.75" customHeight="1" x14ac:dyDescent="0.2">
      <c r="A74" s="16"/>
      <c r="B74" s="43"/>
      <c r="C74" s="43"/>
      <c r="D74" s="16"/>
      <c r="E74" s="16"/>
      <c r="F74" s="16"/>
      <c r="G74" s="12"/>
      <c r="H74" s="12"/>
      <c r="I74" s="12"/>
      <c r="J74" s="12"/>
      <c r="K74" s="12"/>
      <c r="L74" s="12"/>
      <c r="M74" s="12"/>
      <c r="N74" s="12"/>
      <c r="O74" s="12"/>
      <c r="P74" s="12"/>
      <c r="Q74" s="16"/>
      <c r="R74" s="41"/>
      <c r="S74" s="41"/>
      <c r="T74" s="41"/>
      <c r="U74" s="41"/>
      <c r="V74" s="41"/>
      <c r="W74" s="41"/>
      <c r="X74" s="41"/>
      <c r="Y74" s="41"/>
      <c r="Z74" s="41"/>
    </row>
    <row r="75" spans="1:26" ht="15.75" customHeight="1" x14ac:dyDescent="0.2">
      <c r="A75" s="16"/>
      <c r="B75" s="43"/>
      <c r="C75" s="43"/>
      <c r="D75" s="16"/>
      <c r="E75" s="16"/>
      <c r="F75" s="16"/>
      <c r="G75" s="12"/>
      <c r="H75" s="12"/>
      <c r="I75" s="12"/>
      <c r="J75" s="12"/>
      <c r="K75" s="12"/>
      <c r="L75" s="12"/>
      <c r="M75" s="12"/>
      <c r="N75" s="12"/>
      <c r="O75" s="12"/>
      <c r="P75" s="12"/>
      <c r="Q75" s="16"/>
      <c r="R75" s="41"/>
      <c r="S75" s="41"/>
      <c r="T75" s="41"/>
      <c r="U75" s="41"/>
      <c r="V75" s="41"/>
      <c r="W75" s="41"/>
      <c r="X75" s="41"/>
      <c r="Y75" s="41"/>
      <c r="Z75" s="41"/>
    </row>
    <row r="76" spans="1:26" ht="15.75" customHeight="1" x14ac:dyDescent="0.2">
      <c r="A76" s="16"/>
      <c r="B76" s="43"/>
      <c r="C76" s="43"/>
      <c r="D76" s="16"/>
      <c r="E76" s="16"/>
      <c r="F76" s="16"/>
      <c r="G76" s="12"/>
      <c r="H76" s="12"/>
      <c r="I76" s="12"/>
      <c r="J76" s="12"/>
      <c r="K76" s="12"/>
      <c r="L76" s="12"/>
      <c r="M76" s="12"/>
      <c r="N76" s="12"/>
      <c r="O76" s="12"/>
      <c r="P76" s="12"/>
      <c r="Q76" s="16"/>
      <c r="R76" s="41"/>
      <c r="S76" s="41"/>
      <c r="T76" s="41"/>
      <c r="U76" s="41"/>
      <c r="V76" s="41"/>
      <c r="W76" s="41"/>
      <c r="X76" s="41"/>
      <c r="Y76" s="41"/>
      <c r="Z76" s="41"/>
    </row>
    <row r="77" spans="1:26" ht="15.75" customHeight="1" x14ac:dyDescent="0.2">
      <c r="A77" s="16"/>
      <c r="B77" s="43"/>
      <c r="C77" s="43"/>
      <c r="D77" s="16"/>
      <c r="E77" s="16"/>
      <c r="F77" s="16"/>
      <c r="G77" s="12"/>
      <c r="H77" s="12"/>
      <c r="I77" s="12"/>
      <c r="J77" s="12"/>
      <c r="K77" s="12"/>
      <c r="L77" s="12"/>
      <c r="M77" s="12"/>
      <c r="N77" s="12"/>
      <c r="O77" s="12"/>
      <c r="P77" s="12"/>
      <c r="Q77" s="16"/>
      <c r="R77" s="41"/>
      <c r="S77" s="41"/>
      <c r="T77" s="41"/>
      <c r="U77" s="41"/>
      <c r="V77" s="41"/>
      <c r="W77" s="41"/>
      <c r="X77" s="41"/>
      <c r="Y77" s="41"/>
      <c r="Z77" s="41"/>
    </row>
    <row r="78" spans="1:26" ht="15.75" customHeight="1" x14ac:dyDescent="0.2">
      <c r="A78" s="16"/>
      <c r="B78" s="43"/>
      <c r="C78" s="43"/>
      <c r="D78" s="16"/>
      <c r="E78" s="16"/>
      <c r="F78" s="16"/>
      <c r="G78" s="12"/>
      <c r="H78" s="12"/>
      <c r="I78" s="12"/>
      <c r="J78" s="12"/>
      <c r="K78" s="12"/>
      <c r="L78" s="12"/>
      <c r="M78" s="12"/>
      <c r="N78" s="12"/>
      <c r="O78" s="12"/>
      <c r="P78" s="12"/>
      <c r="Q78" s="16"/>
      <c r="R78" s="41"/>
      <c r="S78" s="41"/>
      <c r="T78" s="41"/>
      <c r="U78" s="41"/>
      <c r="V78" s="41"/>
      <c r="W78" s="41"/>
      <c r="X78" s="41"/>
      <c r="Y78" s="41"/>
      <c r="Z78" s="41"/>
    </row>
    <row r="79" spans="1:26" ht="15.75" customHeight="1" x14ac:dyDescent="0.2">
      <c r="A79" s="16"/>
      <c r="B79" s="43"/>
      <c r="C79" s="43"/>
      <c r="D79" s="16"/>
      <c r="E79" s="16"/>
      <c r="F79" s="16"/>
      <c r="G79" s="12"/>
      <c r="H79" s="12"/>
      <c r="I79" s="12"/>
      <c r="J79" s="12"/>
      <c r="K79" s="12"/>
      <c r="L79" s="12"/>
      <c r="M79" s="12"/>
      <c r="N79" s="12"/>
      <c r="O79" s="12"/>
      <c r="P79" s="12"/>
      <c r="Q79" s="16"/>
      <c r="R79" s="41"/>
      <c r="S79" s="41"/>
      <c r="T79" s="41"/>
      <c r="U79" s="41"/>
      <c r="V79" s="41"/>
      <c r="W79" s="41"/>
      <c r="X79" s="41"/>
      <c r="Y79" s="41"/>
      <c r="Z79" s="41"/>
    </row>
    <row r="80" spans="1:26" ht="15.75" customHeight="1" x14ac:dyDescent="0.2">
      <c r="A80" s="16"/>
      <c r="B80" s="43"/>
      <c r="C80" s="43"/>
      <c r="D80" s="16"/>
      <c r="E80" s="16"/>
      <c r="F80" s="16"/>
      <c r="G80" s="12"/>
      <c r="H80" s="12"/>
      <c r="I80" s="12"/>
      <c r="J80" s="12"/>
      <c r="K80" s="12"/>
      <c r="L80" s="12"/>
      <c r="M80" s="12"/>
      <c r="N80" s="12"/>
      <c r="O80" s="12"/>
      <c r="P80" s="12"/>
      <c r="Q80" s="16"/>
      <c r="R80" s="41"/>
      <c r="S80" s="41"/>
      <c r="T80" s="41"/>
      <c r="U80" s="41"/>
      <c r="V80" s="41"/>
      <c r="W80" s="41"/>
      <c r="X80" s="41"/>
      <c r="Y80" s="41"/>
      <c r="Z80" s="41"/>
    </row>
    <row r="81" spans="1:26" ht="15.75" customHeight="1" x14ac:dyDescent="0.2">
      <c r="A81" s="16"/>
      <c r="B81" s="43"/>
      <c r="C81" s="43"/>
      <c r="D81" s="16"/>
      <c r="E81" s="16"/>
      <c r="F81" s="16"/>
      <c r="G81" s="12"/>
      <c r="H81" s="12"/>
      <c r="I81" s="12"/>
      <c r="J81" s="12"/>
      <c r="K81" s="12"/>
      <c r="L81" s="12"/>
      <c r="M81" s="12"/>
      <c r="N81" s="12"/>
      <c r="O81" s="12"/>
      <c r="P81" s="12"/>
      <c r="Q81" s="16"/>
      <c r="R81" s="41"/>
      <c r="S81" s="41"/>
      <c r="T81" s="41"/>
      <c r="U81" s="41"/>
      <c r="V81" s="41"/>
      <c r="W81" s="41"/>
      <c r="X81" s="41"/>
      <c r="Y81" s="41"/>
      <c r="Z81" s="41"/>
    </row>
    <row r="82" spans="1:26" ht="15.75" customHeight="1" x14ac:dyDescent="0.2">
      <c r="A82" s="16"/>
      <c r="B82" s="43"/>
      <c r="C82" s="43"/>
      <c r="D82" s="16"/>
      <c r="E82" s="16"/>
      <c r="F82" s="16"/>
      <c r="G82" s="12"/>
      <c r="H82" s="12"/>
      <c r="I82" s="12"/>
      <c r="J82" s="12"/>
      <c r="K82" s="12"/>
      <c r="L82" s="12"/>
      <c r="M82" s="12"/>
      <c r="N82" s="12"/>
      <c r="O82" s="12"/>
      <c r="P82" s="12"/>
      <c r="Q82" s="16"/>
      <c r="R82" s="41"/>
      <c r="S82" s="41"/>
      <c r="T82" s="41"/>
      <c r="U82" s="41"/>
      <c r="V82" s="41"/>
      <c r="W82" s="41"/>
      <c r="X82" s="41"/>
      <c r="Y82" s="41"/>
      <c r="Z82" s="41"/>
    </row>
    <row r="83" spans="1:26" ht="15.75" customHeight="1" x14ac:dyDescent="0.2">
      <c r="A83" s="16"/>
      <c r="B83" s="43"/>
      <c r="C83" s="43"/>
      <c r="D83" s="16"/>
      <c r="E83" s="16"/>
      <c r="F83" s="16"/>
      <c r="G83" s="12"/>
      <c r="H83" s="12"/>
      <c r="I83" s="12"/>
      <c r="J83" s="12"/>
      <c r="K83" s="12"/>
      <c r="L83" s="12"/>
      <c r="M83" s="12"/>
      <c r="N83" s="12"/>
      <c r="O83" s="12"/>
      <c r="P83" s="12"/>
      <c r="Q83" s="16"/>
      <c r="R83" s="41"/>
      <c r="S83" s="41"/>
      <c r="T83" s="41"/>
      <c r="U83" s="41"/>
      <c r="V83" s="41"/>
      <c r="W83" s="41"/>
      <c r="X83" s="41"/>
      <c r="Y83" s="41"/>
      <c r="Z83" s="41"/>
    </row>
    <row r="84" spans="1:26" ht="15.75" customHeight="1" x14ac:dyDescent="0.2">
      <c r="A84" s="16"/>
      <c r="B84" s="43"/>
      <c r="C84" s="43"/>
      <c r="D84" s="16"/>
      <c r="E84" s="16"/>
      <c r="F84" s="16"/>
      <c r="G84" s="12"/>
      <c r="H84" s="12"/>
      <c r="I84" s="12"/>
      <c r="J84" s="12"/>
      <c r="K84" s="12"/>
      <c r="L84" s="12"/>
      <c r="M84" s="12"/>
      <c r="N84" s="12"/>
      <c r="O84" s="12"/>
      <c r="P84" s="12"/>
      <c r="Q84" s="16"/>
      <c r="R84" s="41"/>
      <c r="S84" s="41"/>
      <c r="T84" s="41"/>
      <c r="U84" s="41"/>
      <c r="V84" s="41"/>
      <c r="W84" s="41"/>
      <c r="X84" s="41"/>
      <c r="Y84" s="41"/>
      <c r="Z84" s="41"/>
    </row>
    <row r="85" spans="1:26" ht="15.75" customHeight="1" x14ac:dyDescent="0.2">
      <c r="A85" s="16"/>
      <c r="B85" s="43"/>
      <c r="C85" s="43"/>
      <c r="D85" s="16"/>
      <c r="E85" s="16"/>
      <c r="F85" s="16"/>
      <c r="G85" s="12"/>
      <c r="H85" s="12"/>
      <c r="I85" s="12"/>
      <c r="J85" s="12"/>
      <c r="K85" s="12"/>
      <c r="L85" s="12"/>
      <c r="M85" s="12"/>
      <c r="N85" s="12"/>
      <c r="O85" s="12"/>
      <c r="P85" s="12"/>
      <c r="Q85" s="16"/>
      <c r="R85" s="41"/>
      <c r="S85" s="41"/>
      <c r="T85" s="41"/>
      <c r="U85" s="41"/>
      <c r="V85" s="41"/>
      <c r="W85" s="41"/>
      <c r="X85" s="41"/>
      <c r="Y85" s="41"/>
      <c r="Z85" s="41"/>
    </row>
    <row r="86" spans="1:26" ht="15.75" customHeight="1" x14ac:dyDescent="0.2">
      <c r="A86" s="16"/>
      <c r="B86" s="43"/>
      <c r="C86" s="43"/>
      <c r="D86" s="16"/>
      <c r="E86" s="16"/>
      <c r="F86" s="16"/>
      <c r="G86" s="12"/>
      <c r="H86" s="12"/>
      <c r="I86" s="12"/>
      <c r="J86" s="12"/>
      <c r="K86" s="12"/>
      <c r="L86" s="12"/>
      <c r="M86" s="12"/>
      <c r="N86" s="12"/>
      <c r="O86" s="12"/>
      <c r="P86" s="12"/>
      <c r="Q86" s="16"/>
      <c r="R86" s="41"/>
      <c r="S86" s="41"/>
      <c r="T86" s="41"/>
      <c r="U86" s="41"/>
      <c r="V86" s="41"/>
      <c r="W86" s="41"/>
      <c r="X86" s="41"/>
      <c r="Y86" s="41"/>
      <c r="Z86" s="41"/>
    </row>
    <row r="87" spans="1:26" ht="15.75" customHeight="1" x14ac:dyDescent="0.2">
      <c r="A87" s="16"/>
      <c r="B87" s="43"/>
      <c r="C87" s="43"/>
      <c r="D87" s="16"/>
      <c r="E87" s="16"/>
      <c r="F87" s="16"/>
      <c r="G87" s="12"/>
      <c r="H87" s="12"/>
      <c r="I87" s="12"/>
      <c r="J87" s="12"/>
      <c r="K87" s="12"/>
      <c r="L87" s="12"/>
      <c r="M87" s="12"/>
      <c r="N87" s="12"/>
      <c r="O87" s="12"/>
      <c r="P87" s="12"/>
      <c r="Q87" s="16"/>
      <c r="R87" s="41"/>
      <c r="S87" s="41"/>
      <c r="T87" s="41"/>
      <c r="U87" s="41"/>
      <c r="V87" s="41"/>
      <c r="W87" s="41"/>
      <c r="X87" s="41"/>
      <c r="Y87" s="41"/>
      <c r="Z87" s="41"/>
    </row>
    <row r="88" spans="1:26" ht="15.75" customHeight="1" x14ac:dyDescent="0.2">
      <c r="A88" s="16"/>
      <c r="B88" s="43"/>
      <c r="C88" s="43"/>
      <c r="D88" s="16"/>
      <c r="E88" s="16"/>
      <c r="F88" s="16"/>
      <c r="G88" s="12"/>
      <c r="H88" s="12"/>
      <c r="I88" s="12"/>
      <c r="J88" s="12"/>
      <c r="K88" s="12"/>
      <c r="L88" s="12"/>
      <c r="M88" s="12"/>
      <c r="N88" s="12"/>
      <c r="O88" s="12"/>
      <c r="P88" s="12"/>
      <c r="Q88" s="16"/>
      <c r="R88" s="41"/>
      <c r="S88" s="41"/>
      <c r="T88" s="41"/>
      <c r="U88" s="41"/>
      <c r="V88" s="41"/>
      <c r="W88" s="41"/>
      <c r="X88" s="41"/>
      <c r="Y88" s="41"/>
      <c r="Z88" s="41"/>
    </row>
    <row r="89" spans="1:26" ht="15.75" customHeight="1" x14ac:dyDescent="0.2">
      <c r="A89" s="16"/>
      <c r="B89" s="43"/>
      <c r="C89" s="43"/>
      <c r="D89" s="16"/>
      <c r="E89" s="16"/>
      <c r="F89" s="16"/>
      <c r="G89" s="12"/>
      <c r="H89" s="12"/>
      <c r="I89" s="12"/>
      <c r="J89" s="12"/>
      <c r="K89" s="12"/>
      <c r="L89" s="12"/>
      <c r="M89" s="12"/>
      <c r="N89" s="12"/>
      <c r="O89" s="12"/>
      <c r="P89" s="12"/>
      <c r="Q89" s="16"/>
      <c r="R89" s="41"/>
      <c r="S89" s="41"/>
      <c r="T89" s="41"/>
      <c r="U89" s="41"/>
      <c r="V89" s="41"/>
      <c r="W89" s="41"/>
      <c r="X89" s="41"/>
      <c r="Y89" s="41"/>
      <c r="Z89" s="41"/>
    </row>
    <row r="90" spans="1:26" ht="15.75" customHeight="1" x14ac:dyDescent="0.2">
      <c r="A90" s="16"/>
      <c r="B90" s="43"/>
      <c r="C90" s="43"/>
      <c r="D90" s="16"/>
      <c r="E90" s="16"/>
      <c r="F90" s="16"/>
      <c r="G90" s="12"/>
      <c r="H90" s="12"/>
      <c r="I90" s="12"/>
      <c r="J90" s="12"/>
      <c r="K90" s="12"/>
      <c r="L90" s="12"/>
      <c r="M90" s="12"/>
      <c r="N90" s="12"/>
      <c r="O90" s="12"/>
      <c r="P90" s="12"/>
      <c r="Q90" s="16"/>
      <c r="R90" s="41"/>
      <c r="S90" s="41"/>
      <c r="T90" s="41"/>
      <c r="U90" s="41"/>
      <c r="V90" s="41"/>
      <c r="W90" s="41"/>
      <c r="X90" s="41"/>
      <c r="Y90" s="41"/>
      <c r="Z90" s="41"/>
    </row>
    <row r="91" spans="1:26" ht="15.75" customHeight="1" x14ac:dyDescent="0.2">
      <c r="A91" s="16"/>
      <c r="B91" s="43"/>
      <c r="C91" s="43"/>
      <c r="D91" s="16"/>
      <c r="E91" s="16"/>
      <c r="F91" s="16"/>
      <c r="G91" s="12"/>
      <c r="H91" s="12"/>
      <c r="I91" s="12"/>
      <c r="J91" s="12"/>
      <c r="K91" s="12"/>
      <c r="L91" s="12"/>
      <c r="M91" s="12"/>
      <c r="N91" s="12"/>
      <c r="O91" s="12"/>
      <c r="P91" s="12"/>
      <c r="Q91" s="16"/>
      <c r="R91" s="41"/>
      <c r="S91" s="41"/>
      <c r="T91" s="41"/>
      <c r="U91" s="41"/>
      <c r="V91" s="41"/>
      <c r="W91" s="41"/>
      <c r="X91" s="41"/>
      <c r="Y91" s="41"/>
      <c r="Z91" s="41"/>
    </row>
    <row r="92" spans="1:26" ht="15.75" customHeight="1" x14ac:dyDescent="0.2">
      <c r="A92" s="16"/>
      <c r="B92" s="43"/>
      <c r="C92" s="43"/>
      <c r="D92" s="16"/>
      <c r="E92" s="16"/>
      <c r="F92" s="16"/>
      <c r="G92" s="12"/>
      <c r="H92" s="12"/>
      <c r="I92" s="12"/>
      <c r="J92" s="12"/>
      <c r="K92" s="12"/>
      <c r="L92" s="12"/>
      <c r="M92" s="12"/>
      <c r="N92" s="12"/>
      <c r="O92" s="12"/>
      <c r="P92" s="12"/>
      <c r="Q92" s="16"/>
      <c r="R92" s="41"/>
      <c r="S92" s="41"/>
      <c r="T92" s="41"/>
      <c r="U92" s="41"/>
      <c r="V92" s="41"/>
      <c r="W92" s="41"/>
      <c r="X92" s="41"/>
      <c r="Y92" s="41"/>
      <c r="Z92" s="41"/>
    </row>
    <row r="93" spans="1:26" ht="15.75" customHeight="1" x14ac:dyDescent="0.2">
      <c r="A93" s="16"/>
      <c r="B93" s="43"/>
      <c r="C93" s="43"/>
      <c r="D93" s="16"/>
      <c r="E93" s="16"/>
      <c r="F93" s="16"/>
      <c r="G93" s="12"/>
      <c r="H93" s="12"/>
      <c r="I93" s="12"/>
      <c r="J93" s="12"/>
      <c r="K93" s="12"/>
      <c r="L93" s="12"/>
      <c r="M93" s="12"/>
      <c r="N93" s="12"/>
      <c r="O93" s="12"/>
      <c r="P93" s="12"/>
      <c r="Q93" s="16"/>
      <c r="R93" s="41"/>
      <c r="S93" s="41"/>
      <c r="T93" s="41"/>
      <c r="U93" s="41"/>
      <c r="V93" s="41"/>
      <c r="W93" s="41"/>
      <c r="X93" s="41"/>
      <c r="Y93" s="41"/>
      <c r="Z93" s="41"/>
    </row>
    <row r="94" spans="1:26" ht="15.75" customHeight="1" x14ac:dyDescent="0.2">
      <c r="A94" s="16"/>
      <c r="B94" s="43"/>
      <c r="C94" s="43"/>
      <c r="D94" s="16"/>
      <c r="E94" s="16"/>
      <c r="F94" s="16"/>
      <c r="G94" s="12"/>
      <c r="H94" s="12"/>
      <c r="I94" s="12"/>
      <c r="J94" s="12"/>
      <c r="K94" s="12"/>
      <c r="L94" s="12"/>
      <c r="M94" s="12"/>
      <c r="N94" s="12"/>
      <c r="O94" s="12"/>
      <c r="P94" s="12"/>
      <c r="Q94" s="16"/>
      <c r="R94" s="41"/>
      <c r="S94" s="41"/>
      <c r="T94" s="41"/>
      <c r="U94" s="41"/>
      <c r="V94" s="41"/>
      <c r="W94" s="41"/>
      <c r="X94" s="41"/>
      <c r="Y94" s="41"/>
      <c r="Z94" s="41"/>
    </row>
    <row r="95" spans="1:26" ht="15.75" customHeight="1" x14ac:dyDescent="0.2">
      <c r="A95" s="16"/>
      <c r="B95" s="43"/>
      <c r="C95" s="43"/>
      <c r="D95" s="16"/>
      <c r="E95" s="16"/>
      <c r="F95" s="16"/>
      <c r="G95" s="12"/>
      <c r="H95" s="12"/>
      <c r="I95" s="12"/>
      <c r="J95" s="12"/>
      <c r="K95" s="12"/>
      <c r="L95" s="12"/>
      <c r="M95" s="12"/>
      <c r="N95" s="12"/>
      <c r="O95" s="12"/>
      <c r="P95" s="12"/>
      <c r="Q95" s="16"/>
      <c r="R95" s="41"/>
      <c r="S95" s="41"/>
      <c r="T95" s="41"/>
      <c r="U95" s="41"/>
      <c r="V95" s="41"/>
      <c r="W95" s="41"/>
      <c r="X95" s="41"/>
      <c r="Y95" s="41"/>
      <c r="Z95" s="41"/>
    </row>
    <row r="96" spans="1:26" ht="15.75" customHeight="1" x14ac:dyDescent="0.2">
      <c r="A96" s="16"/>
      <c r="B96" s="43"/>
      <c r="C96" s="43"/>
      <c r="D96" s="16"/>
      <c r="E96" s="16"/>
      <c r="F96" s="16"/>
      <c r="G96" s="12"/>
      <c r="H96" s="12"/>
      <c r="I96" s="12"/>
      <c r="J96" s="12"/>
      <c r="K96" s="12"/>
      <c r="L96" s="12"/>
      <c r="M96" s="12"/>
      <c r="N96" s="12"/>
      <c r="O96" s="12"/>
      <c r="P96" s="12"/>
      <c r="Q96" s="16"/>
      <c r="R96" s="41"/>
      <c r="S96" s="41"/>
      <c r="T96" s="41"/>
      <c r="U96" s="41"/>
      <c r="V96" s="41"/>
      <c r="W96" s="41"/>
      <c r="X96" s="41"/>
      <c r="Y96" s="41"/>
      <c r="Z96" s="41"/>
    </row>
    <row r="97" spans="1:26" ht="15.75" customHeight="1" x14ac:dyDescent="0.2">
      <c r="A97" s="16"/>
      <c r="B97" s="43"/>
      <c r="C97" s="43"/>
      <c r="D97" s="16"/>
      <c r="E97" s="16"/>
      <c r="F97" s="16"/>
      <c r="G97" s="12"/>
      <c r="H97" s="12"/>
      <c r="I97" s="12"/>
      <c r="J97" s="12"/>
      <c r="K97" s="12"/>
      <c r="L97" s="12"/>
      <c r="M97" s="12"/>
      <c r="N97" s="12"/>
      <c r="O97" s="12"/>
      <c r="P97" s="12"/>
      <c r="Q97" s="16"/>
      <c r="R97" s="41"/>
      <c r="S97" s="41"/>
      <c r="T97" s="41"/>
      <c r="U97" s="41"/>
      <c r="V97" s="41"/>
      <c r="W97" s="41"/>
      <c r="X97" s="41"/>
      <c r="Y97" s="41"/>
      <c r="Z97" s="41"/>
    </row>
    <row r="98" spans="1:26" ht="15.75" customHeight="1" x14ac:dyDescent="0.2">
      <c r="A98" s="16"/>
      <c r="B98" s="43"/>
      <c r="C98" s="43"/>
      <c r="D98" s="16"/>
      <c r="E98" s="16"/>
      <c r="F98" s="16"/>
      <c r="G98" s="12"/>
      <c r="H98" s="12"/>
      <c r="I98" s="12"/>
      <c r="J98" s="12"/>
      <c r="K98" s="12"/>
      <c r="L98" s="12"/>
      <c r="M98" s="12"/>
      <c r="N98" s="12"/>
      <c r="O98" s="12"/>
      <c r="P98" s="12"/>
      <c r="Q98" s="16"/>
      <c r="R98" s="41"/>
      <c r="S98" s="41"/>
      <c r="T98" s="41"/>
      <c r="U98" s="41"/>
      <c r="V98" s="41"/>
      <c r="W98" s="41"/>
      <c r="X98" s="41"/>
      <c r="Y98" s="41"/>
      <c r="Z98" s="41"/>
    </row>
    <row r="99" spans="1:26" ht="15.75" customHeight="1" x14ac:dyDescent="0.2">
      <c r="A99" s="16"/>
      <c r="B99" s="43"/>
      <c r="C99" s="43"/>
      <c r="D99" s="16"/>
      <c r="E99" s="16"/>
      <c r="F99" s="16"/>
      <c r="G99" s="12"/>
      <c r="H99" s="12"/>
      <c r="I99" s="12"/>
      <c r="J99" s="12"/>
      <c r="K99" s="12"/>
      <c r="L99" s="12"/>
      <c r="M99" s="12"/>
      <c r="N99" s="12"/>
      <c r="O99" s="12"/>
      <c r="P99" s="12"/>
      <c r="Q99" s="16"/>
      <c r="R99" s="41"/>
      <c r="S99" s="41"/>
      <c r="T99" s="41"/>
      <c r="U99" s="41"/>
      <c r="V99" s="41"/>
      <c r="W99" s="41"/>
      <c r="X99" s="41"/>
      <c r="Y99" s="41"/>
      <c r="Z99" s="41"/>
    </row>
    <row r="100" spans="1:26" ht="15.75" customHeight="1" x14ac:dyDescent="0.2">
      <c r="A100" s="16"/>
      <c r="B100" s="43"/>
      <c r="C100" s="43"/>
      <c r="D100" s="16"/>
      <c r="E100" s="16"/>
      <c r="F100" s="16"/>
      <c r="G100" s="12"/>
      <c r="H100" s="12"/>
      <c r="I100" s="12"/>
      <c r="J100" s="12"/>
      <c r="K100" s="12"/>
      <c r="L100" s="12"/>
      <c r="M100" s="12"/>
      <c r="N100" s="12"/>
      <c r="O100" s="12"/>
      <c r="P100" s="12"/>
      <c r="Q100" s="16"/>
      <c r="R100" s="41"/>
      <c r="S100" s="41"/>
      <c r="T100" s="41"/>
      <c r="U100" s="41"/>
      <c r="V100" s="41"/>
      <c r="W100" s="41"/>
      <c r="X100" s="41"/>
      <c r="Y100" s="41"/>
      <c r="Z100" s="41"/>
    </row>
    <row r="101" spans="1:26" ht="15.75" customHeight="1" x14ac:dyDescent="0.2">
      <c r="A101" s="16"/>
      <c r="B101" s="43"/>
      <c r="C101" s="43"/>
      <c r="D101" s="16"/>
      <c r="E101" s="16"/>
      <c r="F101" s="16"/>
      <c r="G101" s="12"/>
      <c r="H101" s="12"/>
      <c r="I101" s="12"/>
      <c r="J101" s="12"/>
      <c r="K101" s="12"/>
      <c r="L101" s="12"/>
      <c r="M101" s="12"/>
      <c r="N101" s="12"/>
      <c r="O101" s="12"/>
      <c r="P101" s="12"/>
      <c r="Q101" s="16"/>
      <c r="R101" s="41"/>
      <c r="S101" s="41"/>
      <c r="T101" s="41"/>
      <c r="U101" s="41"/>
      <c r="V101" s="41"/>
      <c r="W101" s="41"/>
      <c r="X101" s="41"/>
      <c r="Y101" s="41"/>
      <c r="Z101" s="41"/>
    </row>
    <row r="102" spans="1:26" ht="15.75" customHeight="1" x14ac:dyDescent="0.2">
      <c r="A102" s="16"/>
      <c r="B102" s="43"/>
      <c r="C102" s="43"/>
      <c r="D102" s="16"/>
      <c r="E102" s="16"/>
      <c r="F102" s="16"/>
      <c r="G102" s="12"/>
      <c r="H102" s="12"/>
      <c r="I102" s="12"/>
      <c r="J102" s="12"/>
      <c r="K102" s="12"/>
      <c r="L102" s="12"/>
      <c r="M102" s="12"/>
      <c r="N102" s="12"/>
      <c r="O102" s="12"/>
      <c r="P102" s="12"/>
      <c r="Q102" s="16"/>
      <c r="R102" s="41"/>
      <c r="S102" s="41"/>
      <c r="T102" s="41"/>
      <c r="U102" s="41"/>
      <c r="V102" s="41"/>
      <c r="W102" s="41"/>
      <c r="X102" s="41"/>
      <c r="Y102" s="41"/>
      <c r="Z102" s="41"/>
    </row>
    <row r="103" spans="1:26" ht="15.75" customHeight="1" x14ac:dyDescent="0.2">
      <c r="A103" s="16"/>
      <c r="B103" s="43"/>
      <c r="C103" s="43"/>
      <c r="D103" s="16"/>
      <c r="E103" s="16"/>
      <c r="F103" s="16"/>
      <c r="G103" s="12"/>
      <c r="H103" s="12"/>
      <c r="I103" s="12"/>
      <c r="J103" s="12"/>
      <c r="K103" s="12"/>
      <c r="L103" s="12"/>
      <c r="M103" s="12"/>
      <c r="N103" s="12"/>
      <c r="O103" s="12"/>
      <c r="P103" s="12"/>
      <c r="Q103" s="16"/>
      <c r="R103" s="41"/>
      <c r="S103" s="41"/>
      <c r="T103" s="41"/>
      <c r="U103" s="41"/>
      <c r="V103" s="41"/>
      <c r="W103" s="41"/>
      <c r="X103" s="41"/>
      <c r="Y103" s="41"/>
      <c r="Z103" s="41"/>
    </row>
    <row r="104" spans="1:26" ht="15.75" customHeight="1" x14ac:dyDescent="0.2">
      <c r="A104" s="16"/>
      <c r="B104" s="43"/>
      <c r="C104" s="43"/>
      <c r="D104" s="16"/>
      <c r="E104" s="16"/>
      <c r="F104" s="16"/>
      <c r="G104" s="12"/>
      <c r="H104" s="12"/>
      <c r="I104" s="12"/>
      <c r="J104" s="12"/>
      <c r="K104" s="12"/>
      <c r="L104" s="12"/>
      <c r="M104" s="12"/>
      <c r="N104" s="12"/>
      <c r="O104" s="12"/>
      <c r="P104" s="12"/>
      <c r="Q104" s="16"/>
      <c r="R104" s="41"/>
      <c r="S104" s="41"/>
      <c r="T104" s="41"/>
      <c r="U104" s="41"/>
      <c r="V104" s="41"/>
      <c r="W104" s="41"/>
      <c r="X104" s="41"/>
      <c r="Y104" s="41"/>
      <c r="Z104" s="41"/>
    </row>
    <row r="105" spans="1:26" ht="15.75" customHeight="1" x14ac:dyDescent="0.2">
      <c r="A105" s="16"/>
      <c r="B105" s="43"/>
      <c r="C105" s="43"/>
      <c r="D105" s="16"/>
      <c r="E105" s="16"/>
      <c r="F105" s="16"/>
      <c r="G105" s="12"/>
      <c r="H105" s="12"/>
      <c r="I105" s="12"/>
      <c r="J105" s="12"/>
      <c r="K105" s="12"/>
      <c r="L105" s="12"/>
      <c r="M105" s="12"/>
      <c r="N105" s="12"/>
      <c r="O105" s="12"/>
      <c r="P105" s="12"/>
      <c r="Q105" s="16"/>
      <c r="R105" s="41"/>
      <c r="S105" s="41"/>
      <c r="T105" s="41"/>
      <c r="U105" s="41"/>
      <c r="V105" s="41"/>
      <c r="W105" s="41"/>
      <c r="X105" s="41"/>
      <c r="Y105" s="41"/>
      <c r="Z105" s="41"/>
    </row>
    <row r="106" spans="1:26" ht="15.75" customHeight="1" x14ac:dyDescent="0.2">
      <c r="A106" s="16"/>
      <c r="B106" s="43"/>
      <c r="C106" s="43"/>
      <c r="D106" s="16"/>
      <c r="E106" s="16"/>
      <c r="F106" s="16"/>
      <c r="G106" s="12"/>
      <c r="H106" s="12"/>
      <c r="I106" s="12"/>
      <c r="J106" s="12"/>
      <c r="K106" s="12"/>
      <c r="L106" s="12"/>
      <c r="M106" s="12"/>
      <c r="N106" s="12"/>
      <c r="O106" s="12"/>
      <c r="P106" s="12"/>
      <c r="Q106" s="16"/>
      <c r="R106" s="41"/>
      <c r="S106" s="41"/>
      <c r="T106" s="41"/>
      <c r="U106" s="41"/>
      <c r="V106" s="41"/>
      <c r="W106" s="41"/>
      <c r="X106" s="41"/>
      <c r="Y106" s="41"/>
      <c r="Z106" s="41"/>
    </row>
    <row r="107" spans="1:26" ht="15.75" customHeight="1" x14ac:dyDescent="0.2">
      <c r="A107" s="16"/>
      <c r="B107" s="43"/>
      <c r="C107" s="43"/>
      <c r="D107" s="16"/>
      <c r="E107" s="16"/>
      <c r="F107" s="16"/>
      <c r="G107" s="12"/>
      <c r="H107" s="12"/>
      <c r="I107" s="12"/>
      <c r="J107" s="12"/>
      <c r="K107" s="12"/>
      <c r="L107" s="12"/>
      <c r="M107" s="12"/>
      <c r="N107" s="12"/>
      <c r="O107" s="12"/>
      <c r="P107" s="12"/>
      <c r="Q107" s="16"/>
      <c r="R107" s="41"/>
      <c r="S107" s="41"/>
      <c r="T107" s="41"/>
      <c r="U107" s="41"/>
      <c r="V107" s="41"/>
      <c r="W107" s="41"/>
      <c r="X107" s="41"/>
      <c r="Y107" s="41"/>
      <c r="Z107" s="41"/>
    </row>
    <row r="108" spans="1:26" ht="15.75" customHeight="1" x14ac:dyDescent="0.2">
      <c r="A108" s="16"/>
      <c r="B108" s="43"/>
      <c r="C108" s="43"/>
      <c r="D108" s="16"/>
      <c r="E108" s="16"/>
      <c r="F108" s="16"/>
      <c r="G108" s="12"/>
      <c r="H108" s="12"/>
      <c r="I108" s="12"/>
      <c r="J108" s="12"/>
      <c r="K108" s="12"/>
      <c r="L108" s="12"/>
      <c r="M108" s="12"/>
      <c r="N108" s="12"/>
      <c r="O108" s="12"/>
      <c r="P108" s="12"/>
      <c r="Q108" s="16"/>
      <c r="R108" s="41"/>
      <c r="S108" s="41"/>
      <c r="T108" s="41"/>
      <c r="U108" s="41"/>
      <c r="V108" s="41"/>
      <c r="W108" s="41"/>
      <c r="X108" s="41"/>
      <c r="Y108" s="41"/>
      <c r="Z108" s="41"/>
    </row>
    <row r="109" spans="1:26" ht="15.75" customHeight="1" x14ac:dyDescent="0.2">
      <c r="A109" s="16"/>
      <c r="B109" s="43"/>
      <c r="C109" s="43"/>
      <c r="D109" s="16"/>
      <c r="E109" s="16"/>
      <c r="F109" s="16"/>
      <c r="G109" s="12"/>
      <c r="H109" s="12"/>
      <c r="I109" s="12"/>
      <c r="J109" s="12"/>
      <c r="K109" s="12"/>
      <c r="L109" s="12"/>
      <c r="M109" s="12"/>
      <c r="N109" s="12"/>
      <c r="O109" s="12"/>
      <c r="P109" s="12"/>
      <c r="Q109" s="16"/>
      <c r="R109" s="41"/>
      <c r="S109" s="41"/>
      <c r="T109" s="41"/>
      <c r="U109" s="41"/>
      <c r="V109" s="41"/>
      <c r="W109" s="41"/>
      <c r="X109" s="41"/>
      <c r="Y109" s="41"/>
      <c r="Z109" s="41"/>
    </row>
    <row r="110" spans="1:26" ht="15.75" customHeight="1" x14ac:dyDescent="0.2">
      <c r="A110" s="16"/>
      <c r="B110" s="43"/>
      <c r="C110" s="43"/>
      <c r="D110" s="16"/>
      <c r="E110" s="16"/>
      <c r="F110" s="16"/>
      <c r="G110" s="12"/>
      <c r="H110" s="12"/>
      <c r="I110" s="12"/>
      <c r="J110" s="12"/>
      <c r="K110" s="12"/>
      <c r="L110" s="12"/>
      <c r="M110" s="12"/>
      <c r="N110" s="12"/>
      <c r="O110" s="12"/>
      <c r="P110" s="12"/>
      <c r="Q110" s="16"/>
      <c r="R110" s="41"/>
      <c r="S110" s="41"/>
      <c r="T110" s="41"/>
      <c r="U110" s="41"/>
      <c r="V110" s="41"/>
      <c r="W110" s="41"/>
      <c r="X110" s="41"/>
      <c r="Y110" s="41"/>
      <c r="Z110" s="41"/>
    </row>
    <row r="111" spans="1:26" ht="15.75" customHeight="1" x14ac:dyDescent="0.2">
      <c r="A111" s="16"/>
      <c r="B111" s="43"/>
      <c r="C111" s="43"/>
      <c r="D111" s="16"/>
      <c r="E111" s="16"/>
      <c r="F111" s="16"/>
      <c r="G111" s="12"/>
      <c r="H111" s="12"/>
      <c r="I111" s="12"/>
      <c r="J111" s="12"/>
      <c r="K111" s="12"/>
      <c r="L111" s="12"/>
      <c r="M111" s="12"/>
      <c r="N111" s="12"/>
      <c r="O111" s="12"/>
      <c r="P111" s="12"/>
      <c r="Q111" s="16"/>
      <c r="R111" s="41"/>
      <c r="S111" s="41"/>
      <c r="T111" s="41"/>
      <c r="U111" s="41"/>
      <c r="V111" s="41"/>
      <c r="W111" s="41"/>
      <c r="X111" s="41"/>
      <c r="Y111" s="41"/>
      <c r="Z111" s="41"/>
    </row>
    <row r="112" spans="1:26" ht="15.75" customHeight="1" x14ac:dyDescent="0.2">
      <c r="A112" s="16"/>
      <c r="B112" s="43"/>
      <c r="C112" s="43"/>
      <c r="D112" s="16"/>
      <c r="E112" s="16"/>
      <c r="F112" s="16"/>
      <c r="G112" s="12"/>
      <c r="H112" s="12"/>
      <c r="I112" s="12"/>
      <c r="J112" s="12"/>
      <c r="K112" s="12"/>
      <c r="L112" s="12"/>
      <c r="M112" s="12"/>
      <c r="N112" s="12"/>
      <c r="O112" s="12"/>
      <c r="P112" s="12"/>
      <c r="Q112" s="16"/>
      <c r="R112" s="41"/>
      <c r="S112" s="41"/>
      <c r="T112" s="41"/>
      <c r="U112" s="41"/>
      <c r="V112" s="41"/>
      <c r="W112" s="41"/>
      <c r="X112" s="41"/>
      <c r="Y112" s="41"/>
      <c r="Z112" s="41"/>
    </row>
    <row r="113" spans="1:26" ht="15.75" customHeight="1" x14ac:dyDescent="0.2">
      <c r="A113" s="16"/>
      <c r="B113" s="43"/>
      <c r="C113" s="43"/>
      <c r="D113" s="16"/>
      <c r="E113" s="16"/>
      <c r="F113" s="16"/>
      <c r="G113" s="12"/>
      <c r="H113" s="12"/>
      <c r="I113" s="12"/>
      <c r="J113" s="12"/>
      <c r="K113" s="12"/>
      <c r="L113" s="12"/>
      <c r="M113" s="12"/>
      <c r="N113" s="12"/>
      <c r="O113" s="12"/>
      <c r="P113" s="12"/>
      <c r="Q113" s="16"/>
      <c r="R113" s="41"/>
      <c r="S113" s="41"/>
      <c r="T113" s="41"/>
      <c r="U113" s="41"/>
      <c r="V113" s="41"/>
      <c r="W113" s="41"/>
      <c r="X113" s="41"/>
      <c r="Y113" s="41"/>
      <c r="Z113" s="41"/>
    </row>
    <row r="114" spans="1:26" ht="15.75" customHeight="1" x14ac:dyDescent="0.2">
      <c r="A114" s="16"/>
      <c r="B114" s="43"/>
      <c r="C114" s="43"/>
      <c r="D114" s="16"/>
      <c r="E114" s="16"/>
      <c r="F114" s="16"/>
      <c r="G114" s="12"/>
      <c r="H114" s="12"/>
      <c r="I114" s="12"/>
      <c r="J114" s="12"/>
      <c r="K114" s="12"/>
      <c r="L114" s="12"/>
      <c r="M114" s="12"/>
      <c r="N114" s="12"/>
      <c r="O114" s="12"/>
      <c r="P114" s="12"/>
      <c r="Q114" s="16"/>
      <c r="R114" s="41"/>
      <c r="S114" s="41"/>
      <c r="T114" s="41"/>
      <c r="U114" s="41"/>
      <c r="V114" s="41"/>
      <c r="W114" s="41"/>
      <c r="X114" s="41"/>
      <c r="Y114" s="41"/>
      <c r="Z114" s="41"/>
    </row>
    <row r="115" spans="1:26" ht="15.75" customHeight="1" x14ac:dyDescent="0.2">
      <c r="A115" s="16"/>
      <c r="B115" s="43"/>
      <c r="C115" s="43"/>
      <c r="D115" s="16"/>
      <c r="E115" s="16"/>
      <c r="F115" s="16"/>
      <c r="G115" s="12"/>
      <c r="H115" s="12"/>
      <c r="I115" s="12"/>
      <c r="J115" s="12"/>
      <c r="K115" s="12"/>
      <c r="L115" s="12"/>
      <c r="M115" s="12"/>
      <c r="N115" s="12"/>
      <c r="O115" s="12"/>
      <c r="P115" s="12"/>
      <c r="Q115" s="16"/>
      <c r="R115" s="41"/>
      <c r="S115" s="41"/>
      <c r="T115" s="41"/>
      <c r="U115" s="41"/>
      <c r="V115" s="41"/>
      <c r="W115" s="41"/>
      <c r="X115" s="41"/>
      <c r="Y115" s="41"/>
      <c r="Z115" s="41"/>
    </row>
    <row r="116" spans="1:26" ht="15.75" customHeight="1" x14ac:dyDescent="0.2">
      <c r="A116" s="16"/>
      <c r="B116" s="43"/>
      <c r="C116" s="43"/>
      <c r="D116" s="16"/>
      <c r="E116" s="16"/>
      <c r="F116" s="16"/>
      <c r="G116" s="12"/>
      <c r="H116" s="12"/>
      <c r="I116" s="12"/>
      <c r="J116" s="12"/>
      <c r="K116" s="12"/>
      <c r="L116" s="12"/>
      <c r="M116" s="12"/>
      <c r="N116" s="12"/>
      <c r="O116" s="12"/>
      <c r="P116" s="12"/>
      <c r="Q116" s="16"/>
      <c r="R116" s="41"/>
      <c r="S116" s="41"/>
      <c r="T116" s="41"/>
      <c r="U116" s="41"/>
      <c r="V116" s="41"/>
      <c r="W116" s="41"/>
      <c r="X116" s="41"/>
      <c r="Y116" s="41"/>
      <c r="Z116" s="41"/>
    </row>
    <row r="117" spans="1:26" ht="15.75" customHeight="1" x14ac:dyDescent="0.2">
      <c r="A117" s="16"/>
      <c r="B117" s="43"/>
      <c r="C117" s="43"/>
      <c r="D117" s="16"/>
      <c r="E117" s="16"/>
      <c r="F117" s="16"/>
      <c r="G117" s="12"/>
      <c r="H117" s="12"/>
      <c r="I117" s="12"/>
      <c r="J117" s="12"/>
      <c r="K117" s="12"/>
      <c r="L117" s="12"/>
      <c r="M117" s="12"/>
      <c r="N117" s="12"/>
      <c r="O117" s="12"/>
      <c r="P117" s="12"/>
      <c r="Q117" s="16"/>
      <c r="R117" s="41"/>
      <c r="S117" s="41"/>
      <c r="T117" s="41"/>
      <c r="U117" s="41"/>
      <c r="V117" s="41"/>
      <c r="W117" s="41"/>
      <c r="X117" s="41"/>
      <c r="Y117" s="41"/>
      <c r="Z117" s="41"/>
    </row>
    <row r="118" spans="1:26" ht="15.75" customHeight="1" x14ac:dyDescent="0.2">
      <c r="A118" s="16"/>
      <c r="B118" s="43"/>
      <c r="C118" s="43"/>
      <c r="D118" s="16"/>
      <c r="E118" s="16"/>
      <c r="F118" s="16"/>
      <c r="G118" s="12"/>
      <c r="H118" s="12"/>
      <c r="I118" s="12"/>
      <c r="J118" s="12"/>
      <c r="K118" s="12"/>
      <c r="L118" s="12"/>
      <c r="M118" s="12"/>
      <c r="N118" s="12"/>
      <c r="O118" s="12"/>
      <c r="P118" s="12"/>
      <c r="Q118" s="16"/>
      <c r="R118" s="41"/>
      <c r="S118" s="41"/>
      <c r="T118" s="41"/>
      <c r="U118" s="41"/>
      <c r="V118" s="41"/>
      <c r="W118" s="41"/>
      <c r="X118" s="41"/>
      <c r="Y118" s="41"/>
      <c r="Z118" s="41"/>
    </row>
    <row r="119" spans="1:26" ht="15.75" customHeight="1" x14ac:dyDescent="0.2">
      <c r="A119" s="16"/>
      <c r="B119" s="43"/>
      <c r="C119" s="43"/>
      <c r="D119" s="16"/>
      <c r="E119" s="16"/>
      <c r="F119" s="16"/>
      <c r="G119" s="12"/>
      <c r="H119" s="12"/>
      <c r="I119" s="12"/>
      <c r="J119" s="12"/>
      <c r="K119" s="12"/>
      <c r="L119" s="12"/>
      <c r="M119" s="12"/>
      <c r="N119" s="12"/>
      <c r="O119" s="12"/>
      <c r="P119" s="12"/>
      <c r="Q119" s="16"/>
      <c r="R119" s="41"/>
      <c r="S119" s="41"/>
      <c r="T119" s="41"/>
      <c r="U119" s="41"/>
      <c r="V119" s="41"/>
      <c r="W119" s="41"/>
      <c r="X119" s="41"/>
      <c r="Y119" s="41"/>
      <c r="Z119" s="41"/>
    </row>
    <row r="120" spans="1:26" ht="15.75" customHeight="1" x14ac:dyDescent="0.2">
      <c r="A120" s="16"/>
      <c r="B120" s="43"/>
      <c r="C120" s="43"/>
      <c r="D120" s="16"/>
      <c r="E120" s="16"/>
      <c r="F120" s="16"/>
      <c r="G120" s="12"/>
      <c r="H120" s="12"/>
      <c r="I120" s="12"/>
      <c r="J120" s="12"/>
      <c r="K120" s="12"/>
      <c r="L120" s="12"/>
      <c r="M120" s="12"/>
      <c r="N120" s="12"/>
      <c r="O120" s="12"/>
      <c r="P120" s="12"/>
      <c r="Q120" s="16"/>
      <c r="R120" s="41"/>
      <c r="S120" s="41"/>
      <c r="T120" s="41"/>
      <c r="U120" s="41"/>
      <c r="V120" s="41"/>
      <c r="W120" s="41"/>
      <c r="X120" s="41"/>
      <c r="Y120" s="41"/>
      <c r="Z120" s="41"/>
    </row>
    <row r="121" spans="1:26" ht="15.75" customHeight="1" x14ac:dyDescent="0.2">
      <c r="A121" s="16"/>
      <c r="B121" s="43"/>
      <c r="C121" s="43"/>
      <c r="D121" s="16"/>
      <c r="E121" s="16"/>
      <c r="F121" s="16"/>
      <c r="G121" s="12"/>
      <c r="H121" s="12"/>
      <c r="I121" s="12"/>
      <c r="J121" s="12"/>
      <c r="K121" s="12"/>
      <c r="L121" s="12"/>
      <c r="M121" s="12"/>
      <c r="N121" s="12"/>
      <c r="O121" s="12"/>
      <c r="P121" s="12"/>
      <c r="Q121" s="16"/>
      <c r="R121" s="41"/>
      <c r="S121" s="41"/>
      <c r="T121" s="41"/>
      <c r="U121" s="41"/>
      <c r="V121" s="41"/>
      <c r="W121" s="41"/>
      <c r="X121" s="41"/>
      <c r="Y121" s="41"/>
      <c r="Z121" s="41"/>
    </row>
    <row r="122" spans="1:26" ht="15.75" customHeight="1" x14ac:dyDescent="0.2">
      <c r="A122" s="16"/>
      <c r="B122" s="43"/>
      <c r="C122" s="43"/>
      <c r="D122" s="16"/>
      <c r="E122" s="16"/>
      <c r="F122" s="16"/>
      <c r="G122" s="12"/>
      <c r="H122" s="12"/>
      <c r="I122" s="12"/>
      <c r="J122" s="12"/>
      <c r="K122" s="12"/>
      <c r="L122" s="12"/>
      <c r="M122" s="12"/>
      <c r="N122" s="12"/>
      <c r="O122" s="12"/>
      <c r="P122" s="12"/>
      <c r="Q122" s="16"/>
      <c r="R122" s="41"/>
      <c r="S122" s="41"/>
      <c r="T122" s="41"/>
      <c r="U122" s="41"/>
      <c r="V122" s="41"/>
      <c r="W122" s="41"/>
      <c r="X122" s="41"/>
      <c r="Y122" s="41"/>
      <c r="Z122" s="41"/>
    </row>
    <row r="123" spans="1:26" ht="15.75" customHeight="1" x14ac:dyDescent="0.2">
      <c r="A123" s="16"/>
      <c r="B123" s="43"/>
      <c r="C123" s="43"/>
      <c r="D123" s="16"/>
      <c r="E123" s="16"/>
      <c r="F123" s="16"/>
      <c r="G123" s="12"/>
      <c r="H123" s="12"/>
      <c r="I123" s="12"/>
      <c r="J123" s="12"/>
      <c r="K123" s="12"/>
      <c r="L123" s="12"/>
      <c r="M123" s="12"/>
      <c r="N123" s="12"/>
      <c r="O123" s="12"/>
      <c r="P123" s="12"/>
      <c r="Q123" s="16"/>
      <c r="R123" s="41"/>
      <c r="S123" s="41"/>
      <c r="T123" s="41"/>
      <c r="U123" s="41"/>
      <c r="V123" s="41"/>
      <c r="W123" s="41"/>
      <c r="X123" s="41"/>
      <c r="Y123" s="41"/>
      <c r="Z123" s="41"/>
    </row>
    <row r="124" spans="1:26" ht="15.75" customHeight="1" x14ac:dyDescent="0.2">
      <c r="A124" s="16"/>
      <c r="B124" s="43"/>
      <c r="C124" s="43"/>
      <c r="D124" s="16"/>
      <c r="E124" s="16"/>
      <c r="F124" s="16"/>
      <c r="G124" s="12"/>
      <c r="H124" s="12"/>
      <c r="I124" s="12"/>
      <c r="J124" s="12"/>
      <c r="K124" s="12"/>
      <c r="L124" s="12"/>
      <c r="M124" s="12"/>
      <c r="N124" s="12"/>
      <c r="O124" s="12"/>
      <c r="P124" s="12"/>
      <c r="Q124" s="16"/>
      <c r="R124" s="41"/>
      <c r="S124" s="41"/>
      <c r="T124" s="41"/>
      <c r="U124" s="41"/>
      <c r="V124" s="41"/>
      <c r="W124" s="41"/>
      <c r="X124" s="41"/>
      <c r="Y124" s="41"/>
      <c r="Z124" s="41"/>
    </row>
    <row r="125" spans="1:26" ht="15.75" customHeight="1" x14ac:dyDescent="0.2">
      <c r="A125" s="16"/>
      <c r="B125" s="43"/>
      <c r="C125" s="43"/>
      <c r="D125" s="16"/>
      <c r="E125" s="16"/>
      <c r="F125" s="16"/>
      <c r="G125" s="12"/>
      <c r="H125" s="12"/>
      <c r="I125" s="12"/>
      <c r="J125" s="12"/>
      <c r="K125" s="12"/>
      <c r="L125" s="12"/>
      <c r="M125" s="12"/>
      <c r="N125" s="12"/>
      <c r="O125" s="12"/>
      <c r="P125" s="12"/>
      <c r="Q125" s="16"/>
      <c r="R125" s="41"/>
      <c r="S125" s="41"/>
      <c r="T125" s="41"/>
      <c r="U125" s="41"/>
      <c r="V125" s="41"/>
      <c r="W125" s="41"/>
      <c r="X125" s="41"/>
      <c r="Y125" s="41"/>
      <c r="Z125" s="41"/>
    </row>
    <row r="126" spans="1:26" ht="15.75" customHeight="1" x14ac:dyDescent="0.2">
      <c r="A126" s="16"/>
      <c r="B126" s="43"/>
      <c r="C126" s="43"/>
      <c r="D126" s="16"/>
      <c r="E126" s="16"/>
      <c r="F126" s="16"/>
      <c r="G126" s="12"/>
      <c r="H126" s="12"/>
      <c r="I126" s="12"/>
      <c r="J126" s="12"/>
      <c r="K126" s="12"/>
      <c r="L126" s="12"/>
      <c r="M126" s="12"/>
      <c r="N126" s="12"/>
      <c r="O126" s="12"/>
      <c r="P126" s="12"/>
      <c r="Q126" s="16"/>
      <c r="R126" s="41"/>
      <c r="S126" s="41"/>
      <c r="T126" s="41"/>
      <c r="U126" s="41"/>
      <c r="V126" s="41"/>
      <c r="W126" s="41"/>
      <c r="X126" s="41"/>
      <c r="Y126" s="41"/>
      <c r="Z126" s="41"/>
    </row>
    <row r="127" spans="1:26" ht="15.75" customHeight="1" x14ac:dyDescent="0.2">
      <c r="A127" s="16"/>
      <c r="B127" s="43"/>
      <c r="C127" s="43"/>
      <c r="D127" s="16"/>
      <c r="E127" s="16"/>
      <c r="F127" s="16"/>
      <c r="G127" s="12"/>
      <c r="H127" s="12"/>
      <c r="I127" s="12"/>
      <c r="J127" s="12"/>
      <c r="K127" s="12"/>
      <c r="L127" s="12"/>
      <c r="M127" s="12"/>
      <c r="N127" s="12"/>
      <c r="O127" s="12"/>
      <c r="P127" s="12"/>
      <c r="Q127" s="16"/>
      <c r="R127" s="41"/>
      <c r="S127" s="41"/>
      <c r="T127" s="41"/>
      <c r="U127" s="41"/>
      <c r="V127" s="41"/>
      <c r="W127" s="41"/>
      <c r="X127" s="41"/>
      <c r="Y127" s="41"/>
      <c r="Z127" s="41"/>
    </row>
    <row r="128" spans="1:26" ht="15.75" customHeight="1" x14ac:dyDescent="0.2">
      <c r="A128" s="16"/>
      <c r="B128" s="43"/>
      <c r="C128" s="43"/>
      <c r="D128" s="16"/>
      <c r="E128" s="16"/>
      <c r="F128" s="16"/>
      <c r="G128" s="12"/>
      <c r="H128" s="12"/>
      <c r="I128" s="12"/>
      <c r="J128" s="12"/>
      <c r="K128" s="12"/>
      <c r="L128" s="12"/>
      <c r="M128" s="12"/>
      <c r="N128" s="12"/>
      <c r="O128" s="12"/>
      <c r="P128" s="12"/>
      <c r="Q128" s="16"/>
      <c r="R128" s="41"/>
      <c r="S128" s="41"/>
      <c r="T128" s="41"/>
      <c r="U128" s="41"/>
      <c r="V128" s="41"/>
      <c r="W128" s="41"/>
      <c r="X128" s="41"/>
      <c r="Y128" s="41"/>
      <c r="Z128" s="41"/>
    </row>
    <row r="129" spans="1:26" ht="15.75" customHeight="1" x14ac:dyDescent="0.2">
      <c r="A129" s="16"/>
      <c r="B129" s="43"/>
      <c r="C129" s="43"/>
      <c r="D129" s="16"/>
      <c r="E129" s="16"/>
      <c r="F129" s="16"/>
      <c r="G129" s="12"/>
      <c r="H129" s="12"/>
      <c r="I129" s="12"/>
      <c r="J129" s="12"/>
      <c r="K129" s="12"/>
      <c r="L129" s="12"/>
      <c r="M129" s="12"/>
      <c r="N129" s="12"/>
      <c r="O129" s="12"/>
      <c r="P129" s="12"/>
      <c r="Q129" s="16"/>
      <c r="R129" s="41"/>
      <c r="S129" s="41"/>
      <c r="T129" s="41"/>
      <c r="U129" s="41"/>
      <c r="V129" s="41"/>
      <c r="W129" s="41"/>
      <c r="X129" s="41"/>
      <c r="Y129" s="41"/>
      <c r="Z129" s="41"/>
    </row>
    <row r="130" spans="1:26" ht="15.75" customHeight="1" x14ac:dyDescent="0.2">
      <c r="A130" s="16"/>
      <c r="B130" s="43"/>
      <c r="C130" s="43"/>
      <c r="D130" s="16"/>
      <c r="E130" s="16"/>
      <c r="F130" s="16"/>
      <c r="G130" s="12"/>
      <c r="H130" s="12"/>
      <c r="I130" s="12"/>
      <c r="J130" s="12"/>
      <c r="K130" s="12"/>
      <c r="L130" s="12"/>
      <c r="M130" s="12"/>
      <c r="N130" s="12"/>
      <c r="O130" s="12"/>
      <c r="P130" s="12"/>
      <c r="Q130" s="16"/>
      <c r="R130" s="41"/>
      <c r="S130" s="41"/>
      <c r="T130" s="41"/>
      <c r="U130" s="41"/>
      <c r="V130" s="41"/>
      <c r="W130" s="41"/>
      <c r="X130" s="41"/>
      <c r="Y130" s="41"/>
      <c r="Z130" s="41"/>
    </row>
    <row r="131" spans="1:26" ht="15.75" customHeight="1" x14ac:dyDescent="0.2">
      <c r="A131" s="16"/>
      <c r="B131" s="43"/>
      <c r="C131" s="43"/>
      <c r="D131" s="16"/>
      <c r="E131" s="16"/>
      <c r="F131" s="16"/>
      <c r="G131" s="12"/>
      <c r="H131" s="12"/>
      <c r="I131" s="12"/>
      <c r="J131" s="12"/>
      <c r="K131" s="12"/>
      <c r="L131" s="12"/>
      <c r="M131" s="12"/>
      <c r="N131" s="12"/>
      <c r="O131" s="12"/>
      <c r="P131" s="12"/>
      <c r="Q131" s="16"/>
      <c r="R131" s="41"/>
      <c r="S131" s="41"/>
      <c r="T131" s="41"/>
      <c r="U131" s="41"/>
      <c r="V131" s="41"/>
      <c r="W131" s="41"/>
      <c r="X131" s="41"/>
      <c r="Y131" s="41"/>
      <c r="Z131" s="41"/>
    </row>
    <row r="132" spans="1:26" ht="15.75" customHeight="1" x14ac:dyDescent="0.2">
      <c r="A132" s="16"/>
      <c r="B132" s="43"/>
      <c r="C132" s="43"/>
      <c r="D132" s="16"/>
      <c r="E132" s="16"/>
      <c r="F132" s="16"/>
      <c r="G132" s="12"/>
      <c r="H132" s="12"/>
      <c r="I132" s="12"/>
      <c r="J132" s="12"/>
      <c r="K132" s="12"/>
      <c r="L132" s="12"/>
      <c r="M132" s="12"/>
      <c r="N132" s="12"/>
      <c r="O132" s="12"/>
      <c r="P132" s="12"/>
      <c r="Q132" s="16"/>
      <c r="R132" s="41"/>
      <c r="S132" s="41"/>
      <c r="T132" s="41"/>
      <c r="U132" s="41"/>
      <c r="V132" s="41"/>
      <c r="W132" s="41"/>
      <c r="X132" s="41"/>
      <c r="Y132" s="41"/>
      <c r="Z132" s="41"/>
    </row>
    <row r="133" spans="1:26" ht="15.75" customHeight="1" x14ac:dyDescent="0.2">
      <c r="A133" s="16"/>
      <c r="B133" s="43"/>
      <c r="C133" s="43"/>
      <c r="D133" s="16"/>
      <c r="E133" s="16"/>
      <c r="F133" s="16"/>
      <c r="G133" s="12"/>
      <c r="H133" s="12"/>
      <c r="I133" s="12"/>
      <c r="J133" s="12"/>
      <c r="K133" s="12"/>
      <c r="L133" s="12"/>
      <c r="M133" s="12"/>
      <c r="N133" s="12"/>
      <c r="O133" s="12"/>
      <c r="P133" s="12"/>
      <c r="Q133" s="16"/>
      <c r="R133" s="41"/>
      <c r="S133" s="41"/>
      <c r="T133" s="41"/>
      <c r="U133" s="41"/>
      <c r="V133" s="41"/>
      <c r="W133" s="41"/>
      <c r="X133" s="41"/>
      <c r="Y133" s="41"/>
      <c r="Z133" s="41"/>
    </row>
    <row r="134" spans="1:26" ht="15.75" customHeight="1" x14ac:dyDescent="0.2">
      <c r="A134" s="16"/>
      <c r="B134" s="43"/>
      <c r="C134" s="43"/>
      <c r="D134" s="16"/>
      <c r="E134" s="16"/>
      <c r="F134" s="16"/>
      <c r="G134" s="12"/>
      <c r="H134" s="12"/>
      <c r="I134" s="12"/>
      <c r="J134" s="12"/>
      <c r="K134" s="12"/>
      <c r="L134" s="12"/>
      <c r="M134" s="12"/>
      <c r="N134" s="12"/>
      <c r="O134" s="12"/>
      <c r="P134" s="12"/>
      <c r="Q134" s="16"/>
      <c r="R134" s="41"/>
      <c r="S134" s="41"/>
      <c r="T134" s="41"/>
      <c r="U134" s="41"/>
      <c r="V134" s="41"/>
      <c r="W134" s="41"/>
      <c r="X134" s="41"/>
      <c r="Y134" s="41"/>
      <c r="Z134" s="41"/>
    </row>
    <row r="135" spans="1:26" ht="15.75" customHeight="1" x14ac:dyDescent="0.2">
      <c r="A135" s="16"/>
      <c r="B135" s="43"/>
      <c r="C135" s="43"/>
      <c r="D135" s="16"/>
      <c r="E135" s="16"/>
      <c r="F135" s="16"/>
      <c r="G135" s="12"/>
      <c r="H135" s="12"/>
      <c r="I135" s="12"/>
      <c r="J135" s="12"/>
      <c r="K135" s="12"/>
      <c r="L135" s="12"/>
      <c r="M135" s="12"/>
      <c r="N135" s="12"/>
      <c r="O135" s="12"/>
      <c r="P135" s="12"/>
      <c r="Q135" s="16"/>
      <c r="R135" s="41"/>
      <c r="S135" s="41"/>
      <c r="T135" s="41"/>
      <c r="U135" s="41"/>
      <c r="V135" s="41"/>
      <c r="W135" s="41"/>
      <c r="X135" s="41"/>
      <c r="Y135" s="41"/>
      <c r="Z135" s="41"/>
    </row>
    <row r="136" spans="1:26" ht="15.75" customHeight="1" x14ac:dyDescent="0.2">
      <c r="A136" s="16"/>
      <c r="B136" s="43"/>
      <c r="C136" s="43"/>
      <c r="D136" s="16"/>
      <c r="E136" s="16"/>
      <c r="F136" s="16"/>
      <c r="G136" s="12"/>
      <c r="H136" s="12"/>
      <c r="I136" s="12"/>
      <c r="J136" s="12"/>
      <c r="K136" s="12"/>
      <c r="L136" s="12"/>
      <c r="M136" s="12"/>
      <c r="N136" s="12"/>
      <c r="O136" s="12"/>
      <c r="P136" s="12"/>
      <c r="Q136" s="16"/>
      <c r="R136" s="41"/>
      <c r="S136" s="41"/>
      <c r="T136" s="41"/>
      <c r="U136" s="41"/>
      <c r="V136" s="41"/>
      <c r="W136" s="41"/>
      <c r="X136" s="41"/>
      <c r="Y136" s="41"/>
      <c r="Z136" s="41"/>
    </row>
    <row r="137" spans="1:26" ht="15.75" customHeight="1" x14ac:dyDescent="0.2">
      <c r="A137" s="16"/>
      <c r="B137" s="43"/>
      <c r="C137" s="43"/>
      <c r="D137" s="16"/>
      <c r="E137" s="16"/>
      <c r="F137" s="16"/>
      <c r="G137" s="12"/>
      <c r="H137" s="12"/>
      <c r="I137" s="12"/>
      <c r="J137" s="12"/>
      <c r="K137" s="12"/>
      <c r="L137" s="12"/>
      <c r="M137" s="12"/>
      <c r="N137" s="12"/>
      <c r="O137" s="12"/>
      <c r="P137" s="12"/>
      <c r="Q137" s="16"/>
      <c r="R137" s="41"/>
      <c r="S137" s="41"/>
      <c r="T137" s="41"/>
      <c r="U137" s="41"/>
      <c r="V137" s="41"/>
      <c r="W137" s="41"/>
      <c r="X137" s="41"/>
      <c r="Y137" s="41"/>
      <c r="Z137" s="41"/>
    </row>
    <row r="138" spans="1:26" ht="15.75" customHeight="1" x14ac:dyDescent="0.2">
      <c r="A138" s="16"/>
      <c r="B138" s="43"/>
      <c r="C138" s="43"/>
      <c r="D138" s="16"/>
      <c r="E138" s="16"/>
      <c r="F138" s="16"/>
      <c r="G138" s="12"/>
      <c r="H138" s="12"/>
      <c r="I138" s="12"/>
      <c r="J138" s="12"/>
      <c r="K138" s="12"/>
      <c r="L138" s="12"/>
      <c r="M138" s="12"/>
      <c r="N138" s="12"/>
      <c r="O138" s="12"/>
      <c r="P138" s="12"/>
      <c r="Q138" s="16"/>
      <c r="R138" s="41"/>
      <c r="S138" s="41"/>
      <c r="T138" s="41"/>
      <c r="U138" s="41"/>
      <c r="V138" s="41"/>
      <c r="W138" s="41"/>
      <c r="X138" s="41"/>
      <c r="Y138" s="41"/>
      <c r="Z138" s="41"/>
    </row>
    <row r="139" spans="1:26" ht="15.75" customHeight="1" x14ac:dyDescent="0.2">
      <c r="A139" s="16"/>
      <c r="B139" s="43"/>
      <c r="C139" s="43"/>
      <c r="D139" s="16"/>
      <c r="E139" s="16"/>
      <c r="F139" s="16"/>
      <c r="G139" s="12"/>
      <c r="H139" s="12"/>
      <c r="I139" s="12"/>
      <c r="J139" s="12"/>
      <c r="K139" s="12"/>
      <c r="L139" s="12"/>
      <c r="M139" s="12"/>
      <c r="N139" s="12"/>
      <c r="O139" s="12"/>
      <c r="P139" s="12"/>
      <c r="Q139" s="16"/>
      <c r="R139" s="41"/>
      <c r="S139" s="41"/>
      <c r="T139" s="41"/>
      <c r="U139" s="41"/>
      <c r="V139" s="41"/>
      <c r="W139" s="41"/>
      <c r="X139" s="41"/>
      <c r="Y139" s="41"/>
      <c r="Z139" s="41"/>
    </row>
    <row r="140" spans="1:26" ht="15.75" customHeight="1" x14ac:dyDescent="0.2">
      <c r="A140" s="16"/>
      <c r="B140" s="43"/>
      <c r="C140" s="43"/>
      <c r="D140" s="16"/>
      <c r="E140" s="16"/>
      <c r="F140" s="16"/>
      <c r="G140" s="12"/>
      <c r="H140" s="12"/>
      <c r="I140" s="12"/>
      <c r="J140" s="12"/>
      <c r="K140" s="12"/>
      <c r="L140" s="12"/>
      <c r="M140" s="12"/>
      <c r="N140" s="12"/>
      <c r="O140" s="12"/>
      <c r="P140" s="12"/>
      <c r="Q140" s="16"/>
      <c r="R140" s="41"/>
      <c r="S140" s="41"/>
      <c r="T140" s="41"/>
      <c r="U140" s="41"/>
      <c r="V140" s="41"/>
      <c r="W140" s="41"/>
      <c r="X140" s="41"/>
      <c r="Y140" s="41"/>
      <c r="Z140" s="41"/>
    </row>
    <row r="141" spans="1:26" ht="15.75" customHeight="1" x14ac:dyDescent="0.2">
      <c r="A141" s="16"/>
      <c r="B141" s="43"/>
      <c r="C141" s="43"/>
      <c r="D141" s="16"/>
      <c r="E141" s="16"/>
      <c r="F141" s="16"/>
      <c r="G141" s="12"/>
      <c r="H141" s="12"/>
      <c r="I141" s="12"/>
      <c r="J141" s="12"/>
      <c r="K141" s="12"/>
      <c r="L141" s="12"/>
      <c r="M141" s="12"/>
      <c r="N141" s="12"/>
      <c r="O141" s="12"/>
      <c r="P141" s="12"/>
      <c r="Q141" s="16"/>
      <c r="R141" s="41"/>
      <c r="S141" s="41"/>
      <c r="T141" s="41"/>
      <c r="U141" s="41"/>
      <c r="V141" s="41"/>
      <c r="W141" s="41"/>
      <c r="X141" s="41"/>
      <c r="Y141" s="41"/>
      <c r="Z141" s="41"/>
    </row>
    <row r="142" spans="1:26" ht="15.75" customHeight="1" x14ac:dyDescent="0.2">
      <c r="A142" s="16"/>
      <c r="B142" s="43"/>
      <c r="C142" s="43"/>
      <c r="D142" s="16"/>
      <c r="E142" s="16"/>
      <c r="F142" s="16"/>
      <c r="G142" s="12"/>
      <c r="H142" s="12"/>
      <c r="I142" s="12"/>
      <c r="J142" s="12"/>
      <c r="K142" s="12"/>
      <c r="L142" s="12"/>
      <c r="M142" s="12"/>
      <c r="N142" s="12"/>
      <c r="O142" s="12"/>
      <c r="P142" s="12"/>
      <c r="Q142" s="16"/>
      <c r="R142" s="41"/>
      <c r="S142" s="41"/>
      <c r="T142" s="41"/>
      <c r="U142" s="41"/>
      <c r="V142" s="41"/>
      <c r="W142" s="41"/>
      <c r="X142" s="41"/>
      <c r="Y142" s="41"/>
      <c r="Z142" s="41"/>
    </row>
    <row r="143" spans="1:26" ht="15.75" customHeight="1" x14ac:dyDescent="0.2">
      <c r="A143" s="16"/>
      <c r="B143" s="43"/>
      <c r="C143" s="43"/>
      <c r="D143" s="16"/>
      <c r="E143" s="16"/>
      <c r="F143" s="16"/>
      <c r="G143" s="12"/>
      <c r="H143" s="12"/>
      <c r="I143" s="12"/>
      <c r="J143" s="12"/>
      <c r="K143" s="12"/>
      <c r="L143" s="12"/>
      <c r="M143" s="12"/>
      <c r="N143" s="12"/>
      <c r="O143" s="12"/>
      <c r="P143" s="12"/>
      <c r="Q143" s="16"/>
      <c r="R143" s="41"/>
      <c r="S143" s="41"/>
      <c r="T143" s="41"/>
      <c r="U143" s="41"/>
      <c r="V143" s="41"/>
      <c r="W143" s="41"/>
      <c r="X143" s="41"/>
      <c r="Y143" s="41"/>
      <c r="Z143" s="41"/>
    </row>
    <row r="144" spans="1:26" ht="15.75" customHeight="1" x14ac:dyDescent="0.2">
      <c r="A144" s="16"/>
      <c r="B144" s="43"/>
      <c r="C144" s="43"/>
      <c r="D144" s="16"/>
      <c r="E144" s="16"/>
      <c r="F144" s="16"/>
      <c r="G144" s="12"/>
      <c r="H144" s="12"/>
      <c r="I144" s="12"/>
      <c r="J144" s="12"/>
      <c r="K144" s="12"/>
      <c r="L144" s="12"/>
      <c r="M144" s="12"/>
      <c r="N144" s="12"/>
      <c r="O144" s="12"/>
      <c r="P144" s="12"/>
      <c r="Q144" s="16"/>
      <c r="R144" s="41"/>
      <c r="S144" s="41"/>
      <c r="T144" s="41"/>
      <c r="U144" s="41"/>
      <c r="V144" s="41"/>
      <c r="W144" s="41"/>
      <c r="X144" s="41"/>
      <c r="Y144" s="41"/>
      <c r="Z144" s="41"/>
    </row>
    <row r="145" spans="1:26" ht="15.75" customHeight="1" x14ac:dyDescent="0.2">
      <c r="A145" s="16"/>
      <c r="B145" s="43"/>
      <c r="C145" s="43"/>
      <c r="D145" s="16"/>
      <c r="E145" s="16"/>
      <c r="F145" s="16"/>
      <c r="G145" s="12"/>
      <c r="H145" s="12"/>
      <c r="I145" s="12"/>
      <c r="J145" s="12"/>
      <c r="K145" s="12"/>
      <c r="L145" s="12"/>
      <c r="M145" s="12"/>
      <c r="N145" s="12"/>
      <c r="O145" s="12"/>
      <c r="P145" s="12"/>
      <c r="Q145" s="16"/>
      <c r="R145" s="41"/>
      <c r="S145" s="41"/>
      <c r="T145" s="41"/>
      <c r="U145" s="41"/>
      <c r="V145" s="41"/>
      <c r="W145" s="41"/>
      <c r="X145" s="41"/>
      <c r="Y145" s="41"/>
      <c r="Z145" s="41"/>
    </row>
    <row r="146" spans="1:26" ht="15.75" customHeight="1" x14ac:dyDescent="0.2">
      <c r="A146" s="16"/>
      <c r="B146" s="43"/>
      <c r="C146" s="43"/>
      <c r="D146" s="16"/>
      <c r="E146" s="16"/>
      <c r="F146" s="16"/>
      <c r="G146" s="12"/>
      <c r="H146" s="12"/>
      <c r="I146" s="12"/>
      <c r="J146" s="12"/>
      <c r="K146" s="12"/>
      <c r="L146" s="12"/>
      <c r="M146" s="12"/>
      <c r="N146" s="12"/>
      <c r="O146" s="12"/>
      <c r="P146" s="12"/>
      <c r="Q146" s="16"/>
      <c r="R146" s="41"/>
      <c r="S146" s="41"/>
      <c r="T146" s="41"/>
      <c r="U146" s="41"/>
      <c r="V146" s="41"/>
      <c r="W146" s="41"/>
      <c r="X146" s="41"/>
      <c r="Y146" s="41"/>
      <c r="Z146" s="41"/>
    </row>
    <row r="147" spans="1:26" ht="15.75" customHeight="1" x14ac:dyDescent="0.2">
      <c r="A147" s="16"/>
      <c r="B147" s="43"/>
      <c r="C147" s="43"/>
      <c r="D147" s="16"/>
      <c r="E147" s="16"/>
      <c r="F147" s="16"/>
      <c r="G147" s="12"/>
      <c r="H147" s="12"/>
      <c r="I147" s="12"/>
      <c r="J147" s="12"/>
      <c r="K147" s="12"/>
      <c r="L147" s="12"/>
      <c r="M147" s="12"/>
      <c r="N147" s="12"/>
      <c r="O147" s="12"/>
      <c r="P147" s="12"/>
      <c r="Q147" s="16"/>
      <c r="R147" s="41"/>
      <c r="S147" s="41"/>
      <c r="T147" s="41"/>
      <c r="U147" s="41"/>
      <c r="V147" s="41"/>
      <c r="W147" s="41"/>
      <c r="X147" s="41"/>
      <c r="Y147" s="41"/>
      <c r="Z147" s="41"/>
    </row>
    <row r="148" spans="1:26" ht="15.75" customHeight="1" x14ac:dyDescent="0.2">
      <c r="A148" s="16"/>
      <c r="B148" s="43"/>
      <c r="C148" s="43"/>
      <c r="D148" s="16"/>
      <c r="E148" s="16"/>
      <c r="F148" s="16"/>
      <c r="G148" s="12"/>
      <c r="H148" s="12"/>
      <c r="I148" s="12"/>
      <c r="J148" s="12"/>
      <c r="K148" s="12"/>
      <c r="L148" s="12"/>
      <c r="M148" s="12"/>
      <c r="N148" s="12"/>
      <c r="O148" s="12"/>
      <c r="P148" s="12"/>
      <c r="Q148" s="16"/>
      <c r="R148" s="41"/>
      <c r="S148" s="41"/>
      <c r="T148" s="41"/>
      <c r="U148" s="41"/>
      <c r="V148" s="41"/>
      <c r="W148" s="41"/>
      <c r="X148" s="41"/>
      <c r="Y148" s="41"/>
      <c r="Z148" s="41"/>
    </row>
    <row r="149" spans="1:26" ht="15.75" customHeight="1" x14ac:dyDescent="0.2">
      <c r="A149" s="16"/>
      <c r="B149" s="43"/>
      <c r="C149" s="43"/>
      <c r="D149" s="16"/>
      <c r="E149" s="16"/>
      <c r="F149" s="16"/>
      <c r="G149" s="12"/>
      <c r="H149" s="12"/>
      <c r="I149" s="12"/>
      <c r="J149" s="12"/>
      <c r="K149" s="12"/>
      <c r="L149" s="12"/>
      <c r="M149" s="12"/>
      <c r="N149" s="12"/>
      <c r="O149" s="12"/>
      <c r="P149" s="12"/>
      <c r="Q149" s="16"/>
      <c r="R149" s="41"/>
      <c r="S149" s="41"/>
      <c r="T149" s="41"/>
      <c r="U149" s="41"/>
      <c r="V149" s="41"/>
      <c r="W149" s="41"/>
      <c r="X149" s="41"/>
      <c r="Y149" s="41"/>
      <c r="Z149" s="41"/>
    </row>
    <row r="150" spans="1:26" ht="15.75" customHeight="1" x14ac:dyDescent="0.2">
      <c r="A150" s="16"/>
      <c r="B150" s="43"/>
      <c r="C150" s="43"/>
      <c r="D150" s="16"/>
      <c r="E150" s="16"/>
      <c r="F150" s="16"/>
      <c r="G150" s="12"/>
      <c r="H150" s="12"/>
      <c r="I150" s="12"/>
      <c r="J150" s="12"/>
      <c r="K150" s="12"/>
      <c r="L150" s="12"/>
      <c r="M150" s="12"/>
      <c r="N150" s="12"/>
      <c r="O150" s="12"/>
      <c r="P150" s="12"/>
      <c r="Q150" s="16"/>
      <c r="R150" s="41"/>
      <c r="S150" s="41"/>
      <c r="T150" s="41"/>
      <c r="U150" s="41"/>
      <c r="V150" s="41"/>
      <c r="W150" s="41"/>
      <c r="X150" s="41"/>
      <c r="Y150" s="41"/>
      <c r="Z150" s="41"/>
    </row>
    <row r="151" spans="1:26" ht="15.75" customHeight="1" x14ac:dyDescent="0.2">
      <c r="A151" s="16"/>
      <c r="B151" s="43"/>
      <c r="C151" s="43"/>
      <c r="D151" s="16"/>
      <c r="E151" s="16"/>
      <c r="F151" s="16"/>
      <c r="G151" s="12"/>
      <c r="H151" s="12"/>
      <c r="I151" s="12"/>
      <c r="J151" s="12"/>
      <c r="K151" s="12"/>
      <c r="L151" s="12"/>
      <c r="M151" s="12"/>
      <c r="N151" s="12"/>
      <c r="O151" s="12"/>
      <c r="P151" s="12"/>
      <c r="Q151" s="16"/>
      <c r="R151" s="41"/>
      <c r="S151" s="41"/>
      <c r="T151" s="41"/>
      <c r="U151" s="41"/>
      <c r="V151" s="41"/>
      <c r="W151" s="41"/>
      <c r="X151" s="41"/>
      <c r="Y151" s="41"/>
      <c r="Z151" s="41"/>
    </row>
    <row r="152" spans="1:26" ht="15.75" customHeight="1" x14ac:dyDescent="0.2">
      <c r="A152" s="16"/>
      <c r="B152" s="43"/>
      <c r="C152" s="43"/>
      <c r="D152" s="16"/>
      <c r="E152" s="16"/>
      <c r="F152" s="16"/>
      <c r="G152" s="12"/>
      <c r="H152" s="12"/>
      <c r="I152" s="12"/>
      <c r="J152" s="12"/>
      <c r="K152" s="12"/>
      <c r="L152" s="12"/>
      <c r="M152" s="12"/>
      <c r="N152" s="12"/>
      <c r="O152" s="12"/>
      <c r="P152" s="12"/>
      <c r="Q152" s="16"/>
      <c r="R152" s="41"/>
      <c r="S152" s="41"/>
      <c r="T152" s="41"/>
      <c r="U152" s="41"/>
      <c r="V152" s="41"/>
      <c r="W152" s="41"/>
      <c r="X152" s="41"/>
      <c r="Y152" s="41"/>
      <c r="Z152" s="41"/>
    </row>
    <row r="153" spans="1:26" ht="15.75" customHeight="1" x14ac:dyDescent="0.2">
      <c r="A153" s="16"/>
      <c r="B153" s="43"/>
      <c r="C153" s="43"/>
      <c r="D153" s="16"/>
      <c r="E153" s="16"/>
      <c r="F153" s="16"/>
      <c r="G153" s="12"/>
      <c r="H153" s="12"/>
      <c r="I153" s="12"/>
      <c r="J153" s="12"/>
      <c r="K153" s="12"/>
      <c r="L153" s="12"/>
      <c r="M153" s="12"/>
      <c r="N153" s="12"/>
      <c r="O153" s="12"/>
      <c r="P153" s="12"/>
      <c r="Q153" s="16"/>
      <c r="R153" s="41"/>
      <c r="S153" s="41"/>
      <c r="T153" s="41"/>
      <c r="U153" s="41"/>
      <c r="V153" s="41"/>
      <c r="W153" s="41"/>
      <c r="X153" s="41"/>
      <c r="Y153" s="41"/>
      <c r="Z153" s="41"/>
    </row>
    <row r="154" spans="1:26" ht="15.75" customHeight="1" x14ac:dyDescent="0.2">
      <c r="A154" s="16"/>
      <c r="B154" s="43"/>
      <c r="C154" s="43"/>
      <c r="D154" s="16"/>
      <c r="E154" s="16"/>
      <c r="F154" s="16"/>
      <c r="G154" s="12"/>
      <c r="H154" s="12"/>
      <c r="I154" s="12"/>
      <c r="J154" s="12"/>
      <c r="K154" s="12"/>
      <c r="L154" s="12"/>
      <c r="M154" s="12"/>
      <c r="N154" s="12"/>
      <c r="O154" s="12"/>
      <c r="P154" s="12"/>
      <c r="Q154" s="16"/>
      <c r="R154" s="41"/>
      <c r="S154" s="41"/>
      <c r="T154" s="41"/>
      <c r="U154" s="41"/>
      <c r="V154" s="41"/>
      <c r="W154" s="41"/>
      <c r="X154" s="41"/>
      <c r="Y154" s="41"/>
      <c r="Z154" s="41"/>
    </row>
    <row r="155" spans="1:26" ht="15.75" customHeight="1" x14ac:dyDescent="0.2">
      <c r="A155" s="16"/>
      <c r="B155" s="43"/>
      <c r="C155" s="43"/>
      <c r="D155" s="16"/>
      <c r="E155" s="16"/>
      <c r="F155" s="16"/>
      <c r="G155" s="12"/>
      <c r="H155" s="12"/>
      <c r="I155" s="12"/>
      <c r="J155" s="12"/>
      <c r="K155" s="12"/>
      <c r="L155" s="12"/>
      <c r="M155" s="12"/>
      <c r="N155" s="12"/>
      <c r="O155" s="12"/>
      <c r="P155" s="12"/>
      <c r="Q155" s="16"/>
      <c r="R155" s="41"/>
      <c r="S155" s="41"/>
      <c r="T155" s="41"/>
      <c r="U155" s="41"/>
      <c r="V155" s="41"/>
      <c r="W155" s="41"/>
      <c r="X155" s="41"/>
      <c r="Y155" s="41"/>
      <c r="Z155" s="41"/>
    </row>
    <row r="156" spans="1:26" ht="15.75" customHeight="1" x14ac:dyDescent="0.2">
      <c r="A156" s="16"/>
      <c r="B156" s="43"/>
      <c r="C156" s="43"/>
      <c r="D156" s="16"/>
      <c r="E156" s="16"/>
      <c r="F156" s="16"/>
      <c r="G156" s="12"/>
      <c r="H156" s="12"/>
      <c r="I156" s="12"/>
      <c r="J156" s="12"/>
      <c r="K156" s="12"/>
      <c r="L156" s="12"/>
      <c r="M156" s="12"/>
      <c r="N156" s="12"/>
      <c r="O156" s="12"/>
      <c r="P156" s="12"/>
      <c r="Q156" s="16"/>
      <c r="R156" s="41"/>
      <c r="S156" s="41"/>
      <c r="T156" s="41"/>
      <c r="U156" s="41"/>
      <c r="V156" s="41"/>
      <c r="W156" s="41"/>
      <c r="X156" s="41"/>
      <c r="Y156" s="41"/>
      <c r="Z156" s="41"/>
    </row>
    <row r="157" spans="1:26" ht="15.75" customHeight="1" x14ac:dyDescent="0.2">
      <c r="A157" s="16"/>
      <c r="B157" s="43"/>
      <c r="C157" s="43"/>
      <c r="D157" s="16"/>
      <c r="E157" s="16"/>
      <c r="F157" s="16"/>
      <c r="G157" s="12"/>
      <c r="H157" s="12"/>
      <c r="I157" s="12"/>
      <c r="J157" s="12"/>
      <c r="K157" s="12"/>
      <c r="L157" s="12"/>
      <c r="M157" s="12"/>
      <c r="N157" s="12"/>
      <c r="O157" s="12"/>
      <c r="P157" s="12"/>
      <c r="Q157" s="16"/>
      <c r="R157" s="41"/>
      <c r="S157" s="41"/>
      <c r="T157" s="41"/>
      <c r="U157" s="41"/>
      <c r="V157" s="41"/>
      <c r="W157" s="41"/>
      <c r="X157" s="41"/>
      <c r="Y157" s="41"/>
      <c r="Z157" s="41"/>
    </row>
    <row r="158" spans="1:26" ht="15.75" customHeight="1" x14ac:dyDescent="0.2">
      <c r="A158" s="16"/>
      <c r="B158" s="43"/>
      <c r="C158" s="43"/>
      <c r="D158" s="16"/>
      <c r="E158" s="16"/>
      <c r="F158" s="16"/>
      <c r="G158" s="12"/>
      <c r="H158" s="12"/>
      <c r="I158" s="12"/>
      <c r="J158" s="12"/>
      <c r="K158" s="12"/>
      <c r="L158" s="12"/>
      <c r="M158" s="12"/>
      <c r="N158" s="12"/>
      <c r="O158" s="12"/>
      <c r="P158" s="12"/>
      <c r="Q158" s="16"/>
      <c r="R158" s="41"/>
      <c r="S158" s="41"/>
      <c r="T158" s="41"/>
      <c r="U158" s="41"/>
      <c r="V158" s="41"/>
      <c r="W158" s="41"/>
      <c r="X158" s="41"/>
      <c r="Y158" s="41"/>
      <c r="Z158" s="41"/>
    </row>
    <row r="159" spans="1:26" ht="15.75" customHeight="1" x14ac:dyDescent="0.2">
      <c r="A159" s="16"/>
      <c r="B159" s="43"/>
      <c r="C159" s="43"/>
      <c r="D159" s="16"/>
      <c r="E159" s="16"/>
      <c r="F159" s="16"/>
      <c r="G159" s="12"/>
      <c r="H159" s="12"/>
      <c r="I159" s="12"/>
      <c r="J159" s="12"/>
      <c r="K159" s="12"/>
      <c r="L159" s="12"/>
      <c r="M159" s="12"/>
      <c r="N159" s="12"/>
      <c r="O159" s="12"/>
      <c r="P159" s="12"/>
      <c r="Q159" s="16"/>
      <c r="R159" s="41"/>
      <c r="S159" s="41"/>
      <c r="T159" s="41"/>
      <c r="U159" s="41"/>
      <c r="V159" s="41"/>
      <c r="W159" s="41"/>
      <c r="X159" s="41"/>
      <c r="Y159" s="41"/>
      <c r="Z159" s="41"/>
    </row>
    <row r="160" spans="1:26" ht="15.75" customHeight="1" x14ac:dyDescent="0.2">
      <c r="A160" s="16"/>
      <c r="B160" s="43"/>
      <c r="C160" s="43"/>
      <c r="D160" s="16"/>
      <c r="E160" s="16"/>
      <c r="F160" s="16"/>
      <c r="G160" s="12"/>
      <c r="H160" s="12"/>
      <c r="I160" s="12"/>
      <c r="J160" s="12"/>
      <c r="K160" s="12"/>
      <c r="L160" s="12"/>
      <c r="M160" s="12"/>
      <c r="N160" s="12"/>
      <c r="O160" s="12"/>
      <c r="P160" s="12"/>
      <c r="Q160" s="16"/>
      <c r="R160" s="41"/>
      <c r="S160" s="41"/>
      <c r="T160" s="41"/>
      <c r="U160" s="41"/>
      <c r="V160" s="41"/>
      <c r="W160" s="41"/>
      <c r="X160" s="41"/>
      <c r="Y160" s="41"/>
      <c r="Z160" s="41"/>
    </row>
    <row r="161" spans="1:26" ht="15.75" customHeight="1" x14ac:dyDescent="0.2">
      <c r="A161" s="16"/>
      <c r="B161" s="43"/>
      <c r="C161" s="43"/>
      <c r="D161" s="16"/>
      <c r="E161" s="16"/>
      <c r="F161" s="16"/>
      <c r="G161" s="12"/>
      <c r="H161" s="12"/>
      <c r="I161" s="12"/>
      <c r="J161" s="12"/>
      <c r="K161" s="12"/>
      <c r="L161" s="12"/>
      <c r="M161" s="12"/>
      <c r="N161" s="12"/>
      <c r="O161" s="12"/>
      <c r="P161" s="12"/>
      <c r="Q161" s="16"/>
      <c r="R161" s="41"/>
      <c r="S161" s="41"/>
      <c r="T161" s="41"/>
      <c r="U161" s="41"/>
      <c r="V161" s="41"/>
      <c r="W161" s="41"/>
      <c r="X161" s="41"/>
      <c r="Y161" s="41"/>
      <c r="Z161" s="41"/>
    </row>
    <row r="162" spans="1:26" ht="15.75" customHeight="1" x14ac:dyDescent="0.2">
      <c r="A162" s="16"/>
      <c r="B162" s="43"/>
      <c r="C162" s="43"/>
      <c r="D162" s="16"/>
      <c r="E162" s="16"/>
      <c r="F162" s="16"/>
      <c r="G162" s="12"/>
      <c r="H162" s="12"/>
      <c r="I162" s="12"/>
      <c r="J162" s="12"/>
      <c r="K162" s="12"/>
      <c r="L162" s="12"/>
      <c r="M162" s="12"/>
      <c r="N162" s="12"/>
      <c r="O162" s="12"/>
      <c r="P162" s="12"/>
      <c r="Q162" s="16"/>
      <c r="R162" s="41"/>
      <c r="S162" s="41"/>
      <c r="T162" s="41"/>
      <c r="U162" s="41"/>
      <c r="V162" s="41"/>
      <c r="W162" s="41"/>
      <c r="X162" s="41"/>
      <c r="Y162" s="41"/>
      <c r="Z162" s="41"/>
    </row>
    <row r="163" spans="1:26" ht="15.75" customHeight="1" x14ac:dyDescent="0.2">
      <c r="A163" s="16"/>
      <c r="B163" s="43"/>
      <c r="C163" s="43"/>
      <c r="D163" s="16"/>
      <c r="E163" s="16"/>
      <c r="F163" s="16"/>
      <c r="G163" s="12"/>
      <c r="H163" s="12"/>
      <c r="I163" s="12"/>
      <c r="J163" s="12"/>
      <c r="K163" s="12"/>
      <c r="L163" s="12"/>
      <c r="M163" s="12"/>
      <c r="N163" s="12"/>
      <c r="O163" s="12"/>
      <c r="P163" s="12"/>
      <c r="Q163" s="16"/>
      <c r="R163" s="41"/>
      <c r="S163" s="41"/>
      <c r="T163" s="41"/>
      <c r="U163" s="41"/>
      <c r="V163" s="41"/>
      <c r="W163" s="41"/>
      <c r="X163" s="41"/>
      <c r="Y163" s="41"/>
      <c r="Z163" s="41"/>
    </row>
    <row r="164" spans="1:26" ht="15.75" customHeight="1" x14ac:dyDescent="0.2">
      <c r="A164" s="16"/>
      <c r="B164" s="43"/>
      <c r="C164" s="43"/>
      <c r="D164" s="16"/>
      <c r="E164" s="16"/>
      <c r="F164" s="16"/>
      <c r="G164" s="12"/>
      <c r="H164" s="12"/>
      <c r="I164" s="12"/>
      <c r="J164" s="12"/>
      <c r="K164" s="12"/>
      <c r="L164" s="12"/>
      <c r="M164" s="12"/>
      <c r="N164" s="12"/>
      <c r="O164" s="12"/>
      <c r="P164" s="12"/>
      <c r="Q164" s="16"/>
      <c r="R164" s="41"/>
      <c r="S164" s="41"/>
      <c r="T164" s="41"/>
      <c r="U164" s="41"/>
      <c r="V164" s="41"/>
      <c r="W164" s="41"/>
      <c r="X164" s="41"/>
      <c r="Y164" s="41"/>
      <c r="Z164" s="41"/>
    </row>
    <row r="165" spans="1:26" ht="15.75" customHeight="1" x14ac:dyDescent="0.2">
      <c r="A165" s="16"/>
      <c r="B165" s="43"/>
      <c r="C165" s="43"/>
      <c r="D165" s="16"/>
      <c r="E165" s="16"/>
      <c r="F165" s="16"/>
      <c r="G165" s="12"/>
      <c r="H165" s="12"/>
      <c r="I165" s="12"/>
      <c r="J165" s="12"/>
      <c r="K165" s="12"/>
      <c r="L165" s="12"/>
      <c r="M165" s="12"/>
      <c r="N165" s="12"/>
      <c r="O165" s="12"/>
      <c r="P165" s="12"/>
      <c r="Q165" s="16"/>
      <c r="R165" s="41"/>
      <c r="S165" s="41"/>
      <c r="T165" s="41"/>
      <c r="U165" s="41"/>
      <c r="V165" s="41"/>
      <c r="W165" s="41"/>
      <c r="X165" s="41"/>
      <c r="Y165" s="41"/>
      <c r="Z165" s="41"/>
    </row>
    <row r="166" spans="1:26" ht="15.75" customHeight="1" x14ac:dyDescent="0.2">
      <c r="A166" s="16"/>
      <c r="B166" s="43"/>
      <c r="C166" s="43"/>
      <c r="D166" s="16"/>
      <c r="E166" s="16"/>
      <c r="F166" s="16"/>
      <c r="G166" s="12"/>
      <c r="H166" s="12"/>
      <c r="I166" s="12"/>
      <c r="J166" s="12"/>
      <c r="K166" s="12"/>
      <c r="L166" s="12"/>
      <c r="M166" s="12"/>
      <c r="N166" s="12"/>
      <c r="O166" s="12"/>
      <c r="P166" s="12"/>
      <c r="Q166" s="16"/>
      <c r="R166" s="41"/>
      <c r="S166" s="41"/>
      <c r="T166" s="41"/>
      <c r="U166" s="41"/>
      <c r="V166" s="41"/>
      <c r="W166" s="41"/>
      <c r="X166" s="41"/>
      <c r="Y166" s="41"/>
      <c r="Z166" s="41"/>
    </row>
    <row r="167" spans="1:26" ht="15.75" customHeight="1" x14ac:dyDescent="0.2">
      <c r="A167" s="16"/>
      <c r="B167" s="43"/>
      <c r="C167" s="43"/>
      <c r="D167" s="16"/>
      <c r="E167" s="16"/>
      <c r="F167" s="16"/>
      <c r="G167" s="12"/>
      <c r="H167" s="12"/>
      <c r="I167" s="12"/>
      <c r="J167" s="12"/>
      <c r="K167" s="12"/>
      <c r="L167" s="12"/>
      <c r="M167" s="12"/>
      <c r="N167" s="12"/>
      <c r="O167" s="12"/>
      <c r="P167" s="12"/>
      <c r="Q167" s="16"/>
      <c r="R167" s="41"/>
      <c r="S167" s="41"/>
      <c r="T167" s="41"/>
      <c r="U167" s="41"/>
      <c r="V167" s="41"/>
      <c r="W167" s="41"/>
      <c r="X167" s="41"/>
      <c r="Y167" s="41"/>
      <c r="Z167" s="41"/>
    </row>
    <row r="168" spans="1:26" ht="15.75" customHeight="1" x14ac:dyDescent="0.2">
      <c r="A168" s="16"/>
      <c r="B168" s="43"/>
      <c r="C168" s="43"/>
      <c r="D168" s="16"/>
      <c r="E168" s="16"/>
      <c r="F168" s="16"/>
      <c r="G168" s="12"/>
      <c r="H168" s="12"/>
      <c r="I168" s="12"/>
      <c r="J168" s="12"/>
      <c r="K168" s="12"/>
      <c r="L168" s="12"/>
      <c r="M168" s="12"/>
      <c r="N168" s="12"/>
      <c r="O168" s="12"/>
      <c r="P168" s="12"/>
      <c r="Q168" s="16"/>
      <c r="R168" s="41"/>
      <c r="S168" s="41"/>
      <c r="T168" s="41"/>
      <c r="U168" s="41"/>
      <c r="V168" s="41"/>
      <c r="W168" s="41"/>
      <c r="X168" s="41"/>
      <c r="Y168" s="41"/>
      <c r="Z168" s="41"/>
    </row>
    <row r="169" spans="1:26" ht="15.75" customHeight="1" x14ac:dyDescent="0.2">
      <c r="A169" s="16"/>
      <c r="B169" s="43"/>
      <c r="C169" s="43"/>
      <c r="D169" s="16"/>
      <c r="E169" s="16"/>
      <c r="F169" s="16"/>
      <c r="G169" s="12"/>
      <c r="H169" s="12"/>
      <c r="I169" s="12"/>
      <c r="J169" s="12"/>
      <c r="K169" s="12"/>
      <c r="L169" s="12"/>
      <c r="M169" s="12"/>
      <c r="N169" s="12"/>
      <c r="O169" s="12"/>
      <c r="P169" s="12"/>
      <c r="Q169" s="16"/>
      <c r="R169" s="41"/>
      <c r="S169" s="41"/>
      <c r="T169" s="41"/>
      <c r="U169" s="41"/>
      <c r="V169" s="41"/>
      <c r="W169" s="41"/>
      <c r="X169" s="41"/>
      <c r="Y169" s="41"/>
      <c r="Z169" s="41"/>
    </row>
    <row r="170" spans="1:26" ht="15.75" customHeight="1" x14ac:dyDescent="0.2">
      <c r="A170" s="16"/>
      <c r="B170" s="43"/>
      <c r="C170" s="43"/>
      <c r="D170" s="16"/>
      <c r="E170" s="16"/>
      <c r="F170" s="16"/>
      <c r="G170" s="12"/>
      <c r="H170" s="12"/>
      <c r="I170" s="12"/>
      <c r="J170" s="12"/>
      <c r="K170" s="12"/>
      <c r="L170" s="12"/>
      <c r="M170" s="12"/>
      <c r="N170" s="12"/>
      <c r="O170" s="12"/>
      <c r="P170" s="12"/>
      <c r="Q170" s="16"/>
      <c r="R170" s="41"/>
      <c r="S170" s="41"/>
      <c r="T170" s="41"/>
      <c r="U170" s="41"/>
      <c r="V170" s="41"/>
      <c r="W170" s="41"/>
      <c r="X170" s="41"/>
      <c r="Y170" s="41"/>
      <c r="Z170" s="41"/>
    </row>
    <row r="171" spans="1:26" ht="15.75" customHeight="1" x14ac:dyDescent="0.2">
      <c r="A171" s="16"/>
      <c r="B171" s="43"/>
      <c r="C171" s="43"/>
      <c r="D171" s="16"/>
      <c r="E171" s="16"/>
      <c r="F171" s="16"/>
      <c r="G171" s="12"/>
      <c r="H171" s="12"/>
      <c r="I171" s="12"/>
      <c r="J171" s="12"/>
      <c r="K171" s="12"/>
      <c r="L171" s="12"/>
      <c r="M171" s="12"/>
      <c r="N171" s="12"/>
      <c r="O171" s="12"/>
      <c r="P171" s="12"/>
      <c r="Q171" s="16"/>
      <c r="R171" s="41"/>
      <c r="S171" s="41"/>
      <c r="T171" s="41"/>
      <c r="U171" s="41"/>
      <c r="V171" s="41"/>
      <c r="W171" s="41"/>
      <c r="X171" s="41"/>
      <c r="Y171" s="41"/>
      <c r="Z171" s="41"/>
    </row>
    <row r="172" spans="1:26" ht="15.75" customHeight="1" x14ac:dyDescent="0.2">
      <c r="A172" s="16"/>
      <c r="B172" s="43"/>
      <c r="C172" s="43"/>
      <c r="D172" s="16"/>
      <c r="E172" s="16"/>
      <c r="F172" s="16"/>
      <c r="G172" s="12"/>
      <c r="H172" s="12"/>
      <c r="I172" s="12"/>
      <c r="J172" s="12"/>
      <c r="K172" s="12"/>
      <c r="L172" s="12"/>
      <c r="M172" s="12"/>
      <c r="N172" s="12"/>
      <c r="O172" s="12"/>
      <c r="P172" s="12"/>
      <c r="Q172" s="16"/>
      <c r="R172" s="41"/>
      <c r="S172" s="41"/>
      <c r="T172" s="41"/>
      <c r="U172" s="41"/>
      <c r="V172" s="41"/>
      <c r="W172" s="41"/>
      <c r="X172" s="41"/>
      <c r="Y172" s="41"/>
      <c r="Z172" s="41"/>
    </row>
    <row r="173" spans="1:26" ht="15.75" customHeight="1" x14ac:dyDescent="0.2">
      <c r="A173" s="16"/>
      <c r="B173" s="43"/>
      <c r="C173" s="43"/>
      <c r="D173" s="16"/>
      <c r="E173" s="16"/>
      <c r="F173" s="16"/>
      <c r="G173" s="12"/>
      <c r="H173" s="12"/>
      <c r="I173" s="12"/>
      <c r="J173" s="12"/>
      <c r="K173" s="12"/>
      <c r="L173" s="12"/>
      <c r="M173" s="12"/>
      <c r="N173" s="12"/>
      <c r="O173" s="12"/>
      <c r="P173" s="12"/>
      <c r="Q173" s="16"/>
      <c r="R173" s="41"/>
      <c r="S173" s="41"/>
      <c r="T173" s="41"/>
      <c r="U173" s="41"/>
      <c r="V173" s="41"/>
      <c r="W173" s="41"/>
      <c r="X173" s="41"/>
      <c r="Y173" s="41"/>
      <c r="Z173" s="41"/>
    </row>
    <row r="174" spans="1:26" ht="15.75" customHeight="1" x14ac:dyDescent="0.2">
      <c r="A174" s="16"/>
      <c r="B174" s="43"/>
      <c r="C174" s="43"/>
      <c r="D174" s="16"/>
      <c r="E174" s="16"/>
      <c r="F174" s="16"/>
      <c r="G174" s="12"/>
      <c r="H174" s="12"/>
      <c r="I174" s="12"/>
      <c r="J174" s="12"/>
      <c r="K174" s="12"/>
      <c r="L174" s="12"/>
      <c r="M174" s="12"/>
      <c r="N174" s="12"/>
      <c r="O174" s="12"/>
      <c r="P174" s="12"/>
      <c r="Q174" s="16"/>
      <c r="R174" s="41"/>
      <c r="S174" s="41"/>
      <c r="T174" s="41"/>
      <c r="U174" s="41"/>
      <c r="V174" s="41"/>
      <c r="W174" s="41"/>
      <c r="X174" s="41"/>
      <c r="Y174" s="41"/>
      <c r="Z174" s="41"/>
    </row>
    <row r="175" spans="1:26" ht="15.75" customHeight="1" x14ac:dyDescent="0.2">
      <c r="A175" s="16"/>
      <c r="B175" s="43"/>
      <c r="C175" s="43"/>
      <c r="D175" s="16"/>
      <c r="E175" s="16"/>
      <c r="F175" s="16"/>
      <c r="G175" s="12"/>
      <c r="H175" s="12"/>
      <c r="I175" s="12"/>
      <c r="J175" s="12"/>
      <c r="K175" s="12"/>
      <c r="L175" s="12"/>
      <c r="M175" s="12"/>
      <c r="N175" s="12"/>
      <c r="O175" s="12"/>
      <c r="P175" s="12"/>
      <c r="Q175" s="16"/>
      <c r="R175" s="41"/>
      <c r="S175" s="41"/>
      <c r="T175" s="41"/>
      <c r="U175" s="41"/>
      <c r="V175" s="41"/>
      <c r="W175" s="41"/>
      <c r="X175" s="41"/>
      <c r="Y175" s="41"/>
      <c r="Z175" s="41"/>
    </row>
    <row r="176" spans="1:26" ht="15.75" customHeight="1" x14ac:dyDescent="0.2">
      <c r="A176" s="16"/>
      <c r="B176" s="43"/>
      <c r="C176" s="43"/>
      <c r="D176" s="16"/>
      <c r="E176" s="16"/>
      <c r="F176" s="16"/>
      <c r="G176" s="12"/>
      <c r="H176" s="12"/>
      <c r="I176" s="12"/>
      <c r="J176" s="12"/>
      <c r="K176" s="12"/>
      <c r="L176" s="12"/>
      <c r="M176" s="12"/>
      <c r="N176" s="12"/>
      <c r="O176" s="12"/>
      <c r="P176" s="12"/>
      <c r="Q176" s="16"/>
      <c r="R176" s="41"/>
      <c r="S176" s="41"/>
      <c r="T176" s="41"/>
      <c r="U176" s="41"/>
      <c r="V176" s="41"/>
      <c r="W176" s="41"/>
      <c r="X176" s="41"/>
      <c r="Y176" s="41"/>
      <c r="Z176" s="41"/>
    </row>
    <row r="177" spans="1:26" ht="15.75" customHeight="1" x14ac:dyDescent="0.2">
      <c r="A177" s="16"/>
      <c r="B177" s="43"/>
      <c r="C177" s="43"/>
      <c r="D177" s="16"/>
      <c r="E177" s="16"/>
      <c r="F177" s="16"/>
      <c r="G177" s="12"/>
      <c r="H177" s="12"/>
      <c r="I177" s="12"/>
      <c r="J177" s="12"/>
      <c r="K177" s="12"/>
      <c r="L177" s="12"/>
      <c r="M177" s="12"/>
      <c r="N177" s="12"/>
      <c r="O177" s="12"/>
      <c r="P177" s="12"/>
      <c r="Q177" s="16"/>
      <c r="R177" s="41"/>
      <c r="S177" s="41"/>
      <c r="T177" s="41"/>
      <c r="U177" s="41"/>
      <c r="V177" s="41"/>
      <c r="W177" s="41"/>
      <c r="X177" s="41"/>
      <c r="Y177" s="41"/>
      <c r="Z177" s="41"/>
    </row>
    <row r="178" spans="1:26" ht="15.75" customHeight="1" x14ac:dyDescent="0.2">
      <c r="A178" s="16"/>
      <c r="B178" s="43"/>
      <c r="C178" s="43"/>
      <c r="D178" s="16"/>
      <c r="E178" s="16"/>
      <c r="F178" s="16"/>
      <c r="G178" s="12"/>
      <c r="H178" s="12"/>
      <c r="I178" s="12"/>
      <c r="J178" s="12"/>
      <c r="K178" s="12"/>
      <c r="L178" s="12"/>
      <c r="M178" s="12"/>
      <c r="N178" s="12"/>
      <c r="O178" s="12"/>
      <c r="P178" s="12"/>
      <c r="Q178" s="16"/>
      <c r="R178" s="41"/>
      <c r="S178" s="41"/>
      <c r="T178" s="41"/>
      <c r="U178" s="41"/>
      <c r="V178" s="41"/>
      <c r="W178" s="41"/>
      <c r="X178" s="41"/>
      <c r="Y178" s="41"/>
      <c r="Z178" s="41"/>
    </row>
    <row r="179" spans="1:26" ht="15.75" customHeight="1" x14ac:dyDescent="0.2">
      <c r="A179" s="16"/>
      <c r="B179" s="43"/>
      <c r="C179" s="43"/>
      <c r="D179" s="16"/>
      <c r="E179" s="16"/>
      <c r="F179" s="16"/>
      <c r="G179" s="12"/>
      <c r="H179" s="12"/>
      <c r="I179" s="12"/>
      <c r="J179" s="12"/>
      <c r="K179" s="12"/>
      <c r="L179" s="12"/>
      <c r="M179" s="12"/>
      <c r="N179" s="12"/>
      <c r="O179" s="12"/>
      <c r="P179" s="12"/>
      <c r="Q179" s="16"/>
      <c r="R179" s="41"/>
      <c r="S179" s="41"/>
      <c r="T179" s="41"/>
      <c r="U179" s="41"/>
      <c r="V179" s="41"/>
      <c r="W179" s="41"/>
      <c r="X179" s="41"/>
      <c r="Y179" s="41"/>
      <c r="Z179" s="41"/>
    </row>
    <row r="180" spans="1:26" ht="15.75" customHeight="1" x14ac:dyDescent="0.2">
      <c r="A180" s="16"/>
      <c r="B180" s="43"/>
      <c r="C180" s="43"/>
      <c r="D180" s="16"/>
      <c r="E180" s="16"/>
      <c r="F180" s="16"/>
      <c r="G180" s="12"/>
      <c r="H180" s="12"/>
      <c r="I180" s="12"/>
      <c r="J180" s="12"/>
      <c r="K180" s="12"/>
      <c r="L180" s="12"/>
      <c r="M180" s="12"/>
      <c r="N180" s="12"/>
      <c r="O180" s="12"/>
      <c r="P180" s="12"/>
      <c r="Q180" s="16"/>
      <c r="R180" s="41"/>
      <c r="S180" s="41"/>
      <c r="T180" s="41"/>
      <c r="U180" s="41"/>
      <c r="V180" s="41"/>
      <c r="W180" s="41"/>
      <c r="X180" s="41"/>
      <c r="Y180" s="41"/>
      <c r="Z180" s="41"/>
    </row>
    <row r="181" spans="1:26" ht="15.75" customHeight="1" x14ac:dyDescent="0.2">
      <c r="A181" s="16"/>
      <c r="B181" s="43"/>
      <c r="C181" s="43"/>
      <c r="D181" s="16"/>
      <c r="E181" s="16"/>
      <c r="F181" s="16"/>
      <c r="G181" s="12"/>
      <c r="H181" s="12"/>
      <c r="I181" s="12"/>
      <c r="J181" s="12"/>
      <c r="K181" s="12"/>
      <c r="L181" s="12"/>
      <c r="M181" s="12"/>
      <c r="N181" s="12"/>
      <c r="O181" s="12"/>
      <c r="P181" s="12"/>
      <c r="Q181" s="16"/>
      <c r="R181" s="41"/>
      <c r="S181" s="41"/>
      <c r="T181" s="41"/>
      <c r="U181" s="41"/>
      <c r="V181" s="41"/>
      <c r="W181" s="41"/>
      <c r="X181" s="41"/>
      <c r="Y181" s="41"/>
      <c r="Z181" s="41"/>
    </row>
    <row r="182" spans="1:26" ht="15.75" customHeight="1" x14ac:dyDescent="0.2">
      <c r="A182" s="16"/>
      <c r="B182" s="43"/>
      <c r="C182" s="43"/>
      <c r="D182" s="16"/>
      <c r="E182" s="16"/>
      <c r="F182" s="16"/>
      <c r="G182" s="12"/>
      <c r="H182" s="12"/>
      <c r="I182" s="12"/>
      <c r="J182" s="12"/>
      <c r="K182" s="12"/>
      <c r="L182" s="12"/>
      <c r="M182" s="12"/>
      <c r="N182" s="12"/>
      <c r="O182" s="12"/>
      <c r="P182" s="12"/>
      <c r="Q182" s="16"/>
      <c r="R182" s="41"/>
      <c r="S182" s="41"/>
      <c r="T182" s="41"/>
      <c r="U182" s="41"/>
      <c r="V182" s="41"/>
      <c r="W182" s="41"/>
      <c r="X182" s="41"/>
      <c r="Y182" s="41"/>
      <c r="Z182" s="41"/>
    </row>
    <row r="183" spans="1:26" ht="15.75" customHeight="1" x14ac:dyDescent="0.2">
      <c r="A183" s="16"/>
      <c r="B183" s="43"/>
      <c r="C183" s="43"/>
      <c r="D183" s="16"/>
      <c r="E183" s="16"/>
      <c r="F183" s="16"/>
      <c r="G183" s="12"/>
      <c r="H183" s="12"/>
      <c r="I183" s="12"/>
      <c r="J183" s="12"/>
      <c r="K183" s="12"/>
      <c r="L183" s="12"/>
      <c r="M183" s="12"/>
      <c r="N183" s="12"/>
      <c r="O183" s="12"/>
      <c r="P183" s="12"/>
      <c r="Q183" s="16"/>
      <c r="R183" s="41"/>
      <c r="S183" s="41"/>
      <c r="T183" s="41"/>
      <c r="U183" s="41"/>
      <c r="V183" s="41"/>
      <c r="W183" s="41"/>
      <c r="X183" s="41"/>
      <c r="Y183" s="41"/>
      <c r="Z183" s="41"/>
    </row>
    <row r="184" spans="1:26" ht="15.75" customHeight="1" x14ac:dyDescent="0.2">
      <c r="A184" s="16"/>
      <c r="B184" s="43"/>
      <c r="C184" s="43"/>
      <c r="D184" s="16"/>
      <c r="E184" s="16"/>
      <c r="F184" s="16"/>
      <c r="G184" s="12"/>
      <c r="H184" s="12"/>
      <c r="I184" s="12"/>
      <c r="J184" s="12"/>
      <c r="K184" s="12"/>
      <c r="L184" s="12"/>
      <c r="M184" s="12"/>
      <c r="N184" s="12"/>
      <c r="O184" s="12"/>
      <c r="P184" s="12"/>
      <c r="Q184" s="16"/>
      <c r="R184" s="41"/>
      <c r="S184" s="41"/>
      <c r="T184" s="41"/>
      <c r="U184" s="41"/>
      <c r="V184" s="41"/>
      <c r="W184" s="41"/>
      <c r="X184" s="41"/>
      <c r="Y184" s="41"/>
      <c r="Z184" s="41"/>
    </row>
    <row r="185" spans="1:26" ht="15.75" customHeight="1" x14ac:dyDescent="0.2">
      <c r="A185" s="16"/>
      <c r="B185" s="43"/>
      <c r="C185" s="43"/>
      <c r="D185" s="16"/>
      <c r="E185" s="16"/>
      <c r="F185" s="16"/>
      <c r="G185" s="12"/>
      <c r="H185" s="12"/>
      <c r="I185" s="12"/>
      <c r="J185" s="12"/>
      <c r="K185" s="12"/>
      <c r="L185" s="12"/>
      <c r="M185" s="12"/>
      <c r="N185" s="12"/>
      <c r="O185" s="12"/>
      <c r="P185" s="12"/>
      <c r="Q185" s="16"/>
      <c r="R185" s="41"/>
      <c r="S185" s="41"/>
      <c r="T185" s="41"/>
      <c r="U185" s="41"/>
      <c r="V185" s="41"/>
      <c r="W185" s="41"/>
      <c r="X185" s="41"/>
      <c r="Y185" s="41"/>
      <c r="Z185" s="41"/>
    </row>
    <row r="186" spans="1:26" ht="15.75" customHeight="1" x14ac:dyDescent="0.2">
      <c r="A186" s="16"/>
      <c r="B186" s="43"/>
      <c r="C186" s="43"/>
      <c r="D186" s="16"/>
      <c r="E186" s="16"/>
      <c r="F186" s="16"/>
      <c r="G186" s="12"/>
      <c r="H186" s="12"/>
      <c r="I186" s="12"/>
      <c r="J186" s="12"/>
      <c r="K186" s="12"/>
      <c r="L186" s="12"/>
      <c r="M186" s="12"/>
      <c r="N186" s="12"/>
      <c r="O186" s="12"/>
      <c r="P186" s="12"/>
      <c r="Q186" s="16"/>
      <c r="R186" s="41"/>
      <c r="S186" s="41"/>
      <c r="T186" s="41"/>
      <c r="U186" s="41"/>
      <c r="V186" s="41"/>
      <c r="W186" s="41"/>
      <c r="X186" s="41"/>
      <c r="Y186" s="41"/>
      <c r="Z186" s="41"/>
    </row>
    <row r="187" spans="1:26" ht="15.75" customHeight="1" x14ac:dyDescent="0.2">
      <c r="A187" s="16"/>
      <c r="B187" s="43"/>
      <c r="C187" s="43"/>
      <c r="D187" s="16"/>
      <c r="E187" s="16"/>
      <c r="F187" s="16"/>
      <c r="G187" s="12"/>
      <c r="H187" s="12"/>
      <c r="I187" s="12"/>
      <c r="J187" s="12"/>
      <c r="K187" s="12"/>
      <c r="L187" s="12"/>
      <c r="M187" s="12"/>
      <c r="N187" s="12"/>
      <c r="O187" s="12"/>
      <c r="P187" s="12"/>
      <c r="Q187" s="16"/>
      <c r="R187" s="41"/>
      <c r="S187" s="41"/>
      <c r="T187" s="41"/>
      <c r="U187" s="41"/>
      <c r="V187" s="41"/>
      <c r="W187" s="41"/>
      <c r="X187" s="41"/>
      <c r="Y187" s="41"/>
      <c r="Z187" s="41"/>
    </row>
    <row r="188" spans="1:26" ht="15.75" customHeight="1" x14ac:dyDescent="0.2">
      <c r="A188" s="16"/>
      <c r="B188" s="43"/>
      <c r="C188" s="43"/>
      <c r="D188" s="16"/>
      <c r="E188" s="16"/>
      <c r="F188" s="16"/>
      <c r="G188" s="12"/>
      <c r="H188" s="12"/>
      <c r="I188" s="12"/>
      <c r="J188" s="12"/>
      <c r="K188" s="12"/>
      <c r="L188" s="12"/>
      <c r="M188" s="12"/>
      <c r="N188" s="12"/>
      <c r="O188" s="12"/>
      <c r="P188" s="12"/>
      <c r="Q188" s="16"/>
      <c r="R188" s="41"/>
      <c r="S188" s="41"/>
      <c r="T188" s="41"/>
      <c r="U188" s="41"/>
      <c r="V188" s="41"/>
      <c r="W188" s="41"/>
      <c r="X188" s="41"/>
      <c r="Y188" s="41"/>
      <c r="Z188" s="41"/>
    </row>
    <row r="189" spans="1:26" ht="15.75" customHeight="1" x14ac:dyDescent="0.2">
      <c r="A189" s="16"/>
      <c r="B189" s="43"/>
      <c r="C189" s="43"/>
      <c r="D189" s="16"/>
      <c r="E189" s="16"/>
      <c r="F189" s="16"/>
      <c r="G189" s="12"/>
      <c r="H189" s="12"/>
      <c r="I189" s="12"/>
      <c r="J189" s="12"/>
      <c r="K189" s="12"/>
      <c r="L189" s="12"/>
      <c r="M189" s="12"/>
      <c r="N189" s="12"/>
      <c r="O189" s="12"/>
      <c r="P189" s="12"/>
      <c r="Q189" s="16"/>
      <c r="R189" s="41"/>
      <c r="S189" s="41"/>
      <c r="T189" s="41"/>
      <c r="U189" s="41"/>
      <c r="V189" s="41"/>
      <c r="W189" s="41"/>
      <c r="X189" s="41"/>
      <c r="Y189" s="41"/>
      <c r="Z189" s="41"/>
    </row>
    <row r="190" spans="1:26" ht="15.75" customHeight="1" x14ac:dyDescent="0.2">
      <c r="A190" s="16"/>
      <c r="B190" s="43"/>
      <c r="C190" s="43"/>
      <c r="D190" s="16"/>
      <c r="E190" s="16"/>
      <c r="F190" s="16"/>
      <c r="G190" s="12"/>
      <c r="H190" s="12"/>
      <c r="I190" s="12"/>
      <c r="J190" s="12"/>
      <c r="K190" s="12"/>
      <c r="L190" s="12"/>
      <c r="M190" s="12"/>
      <c r="N190" s="12"/>
      <c r="O190" s="12"/>
      <c r="P190" s="12"/>
      <c r="Q190" s="16"/>
      <c r="R190" s="41"/>
      <c r="S190" s="41"/>
      <c r="T190" s="41"/>
      <c r="U190" s="41"/>
      <c r="V190" s="41"/>
      <c r="W190" s="41"/>
      <c r="X190" s="41"/>
      <c r="Y190" s="41"/>
      <c r="Z190" s="41"/>
    </row>
    <row r="191" spans="1:26" ht="15.75" customHeight="1" x14ac:dyDescent="0.2">
      <c r="A191" s="16"/>
      <c r="B191" s="43"/>
      <c r="C191" s="43"/>
      <c r="D191" s="16"/>
      <c r="E191" s="16"/>
      <c r="F191" s="16"/>
      <c r="G191" s="12"/>
      <c r="H191" s="12"/>
      <c r="I191" s="12"/>
      <c r="J191" s="12"/>
      <c r="K191" s="12"/>
      <c r="L191" s="12"/>
      <c r="M191" s="12"/>
      <c r="N191" s="12"/>
      <c r="O191" s="12"/>
      <c r="P191" s="12"/>
      <c r="Q191" s="16"/>
      <c r="R191" s="41"/>
      <c r="S191" s="41"/>
      <c r="T191" s="41"/>
      <c r="U191" s="41"/>
      <c r="V191" s="41"/>
      <c r="W191" s="41"/>
      <c r="X191" s="41"/>
      <c r="Y191" s="41"/>
      <c r="Z191" s="41"/>
    </row>
    <row r="192" spans="1:26" ht="15.75" customHeight="1" x14ac:dyDescent="0.2">
      <c r="A192" s="16"/>
      <c r="B192" s="43"/>
      <c r="C192" s="43"/>
      <c r="D192" s="16"/>
      <c r="E192" s="16"/>
      <c r="F192" s="16"/>
      <c r="G192" s="12"/>
      <c r="H192" s="12"/>
      <c r="I192" s="12"/>
      <c r="J192" s="12"/>
      <c r="K192" s="12"/>
      <c r="L192" s="12"/>
      <c r="M192" s="12"/>
      <c r="N192" s="12"/>
      <c r="O192" s="12"/>
      <c r="P192" s="12"/>
      <c r="Q192" s="16"/>
      <c r="R192" s="41"/>
      <c r="S192" s="41"/>
      <c r="T192" s="41"/>
      <c r="U192" s="41"/>
      <c r="V192" s="41"/>
      <c r="W192" s="41"/>
      <c r="X192" s="41"/>
      <c r="Y192" s="41"/>
      <c r="Z192" s="41"/>
    </row>
    <row r="193" spans="1:26" ht="15.75" customHeight="1" x14ac:dyDescent="0.2">
      <c r="A193" s="16"/>
      <c r="B193" s="43"/>
      <c r="C193" s="43"/>
      <c r="D193" s="16"/>
      <c r="E193" s="16"/>
      <c r="F193" s="16"/>
      <c r="G193" s="12"/>
      <c r="H193" s="12"/>
      <c r="I193" s="12"/>
      <c r="J193" s="12"/>
      <c r="K193" s="12"/>
      <c r="L193" s="12"/>
      <c r="M193" s="12"/>
      <c r="N193" s="12"/>
      <c r="O193" s="12"/>
      <c r="P193" s="12"/>
      <c r="Q193" s="16"/>
      <c r="R193" s="41"/>
      <c r="S193" s="41"/>
      <c r="T193" s="41"/>
      <c r="U193" s="41"/>
      <c r="V193" s="41"/>
      <c r="W193" s="41"/>
      <c r="X193" s="41"/>
      <c r="Y193" s="41"/>
      <c r="Z193" s="41"/>
    </row>
    <row r="194" spans="1:26" ht="15.75" customHeight="1" x14ac:dyDescent="0.2">
      <c r="A194" s="16"/>
      <c r="B194" s="43"/>
      <c r="C194" s="43"/>
      <c r="D194" s="16"/>
      <c r="E194" s="16"/>
      <c r="F194" s="16"/>
      <c r="G194" s="12"/>
      <c r="H194" s="12"/>
      <c r="I194" s="12"/>
      <c r="J194" s="12"/>
      <c r="K194" s="12"/>
      <c r="L194" s="12"/>
      <c r="M194" s="12"/>
      <c r="N194" s="12"/>
      <c r="O194" s="12"/>
      <c r="P194" s="12"/>
      <c r="Q194" s="16"/>
      <c r="R194" s="41"/>
      <c r="S194" s="41"/>
      <c r="T194" s="41"/>
      <c r="U194" s="41"/>
      <c r="V194" s="41"/>
      <c r="W194" s="41"/>
      <c r="X194" s="41"/>
      <c r="Y194" s="41"/>
      <c r="Z194" s="41"/>
    </row>
    <row r="195" spans="1:26" ht="15.75" customHeight="1" x14ac:dyDescent="0.2">
      <c r="A195" s="16"/>
      <c r="B195" s="43"/>
      <c r="C195" s="43"/>
      <c r="D195" s="16"/>
      <c r="E195" s="16"/>
      <c r="F195" s="16"/>
      <c r="G195" s="12"/>
      <c r="H195" s="12"/>
      <c r="I195" s="12"/>
      <c r="J195" s="12"/>
      <c r="K195" s="12"/>
      <c r="L195" s="12"/>
      <c r="M195" s="12"/>
      <c r="N195" s="12"/>
      <c r="O195" s="12"/>
      <c r="P195" s="12"/>
      <c r="Q195" s="16"/>
      <c r="R195" s="41"/>
      <c r="S195" s="41"/>
      <c r="T195" s="41"/>
      <c r="U195" s="41"/>
      <c r="V195" s="41"/>
      <c r="W195" s="41"/>
      <c r="X195" s="41"/>
      <c r="Y195" s="41"/>
      <c r="Z195" s="41"/>
    </row>
    <row r="196" spans="1:26" ht="15.75" customHeight="1" x14ac:dyDescent="0.2">
      <c r="A196" s="16"/>
      <c r="B196" s="43"/>
      <c r="C196" s="43"/>
      <c r="D196" s="16"/>
      <c r="E196" s="16"/>
      <c r="F196" s="16"/>
      <c r="G196" s="12"/>
      <c r="H196" s="12"/>
      <c r="I196" s="12"/>
      <c r="J196" s="12"/>
      <c r="K196" s="12"/>
      <c r="L196" s="12"/>
      <c r="M196" s="12"/>
      <c r="N196" s="12"/>
      <c r="O196" s="12"/>
      <c r="P196" s="12"/>
      <c r="Q196" s="16"/>
      <c r="R196" s="41"/>
      <c r="S196" s="41"/>
      <c r="T196" s="41"/>
      <c r="U196" s="41"/>
      <c r="V196" s="41"/>
      <c r="W196" s="41"/>
      <c r="X196" s="41"/>
      <c r="Y196" s="41"/>
      <c r="Z196" s="41"/>
    </row>
    <row r="197" spans="1:26" ht="15.75" customHeight="1" x14ac:dyDescent="0.2">
      <c r="A197" s="16"/>
      <c r="B197" s="43"/>
      <c r="C197" s="43"/>
      <c r="D197" s="16"/>
      <c r="E197" s="16"/>
      <c r="F197" s="16"/>
      <c r="G197" s="12"/>
      <c r="H197" s="12"/>
      <c r="I197" s="12"/>
      <c r="J197" s="12"/>
      <c r="K197" s="12"/>
      <c r="L197" s="12"/>
      <c r="M197" s="12"/>
      <c r="N197" s="12"/>
      <c r="O197" s="12"/>
      <c r="P197" s="12"/>
      <c r="Q197" s="16"/>
      <c r="R197" s="41"/>
      <c r="S197" s="41"/>
      <c r="T197" s="41"/>
      <c r="U197" s="41"/>
      <c r="V197" s="41"/>
      <c r="W197" s="41"/>
      <c r="X197" s="41"/>
      <c r="Y197" s="41"/>
      <c r="Z197" s="41"/>
    </row>
    <row r="198" spans="1:26" ht="15.75" customHeight="1" x14ac:dyDescent="0.2">
      <c r="A198" s="16"/>
      <c r="B198" s="43"/>
      <c r="C198" s="43"/>
      <c r="D198" s="16"/>
      <c r="E198" s="16"/>
      <c r="F198" s="16"/>
      <c r="G198" s="12"/>
      <c r="H198" s="12"/>
      <c r="I198" s="12"/>
      <c r="J198" s="12"/>
      <c r="K198" s="12"/>
      <c r="L198" s="12"/>
      <c r="M198" s="12"/>
      <c r="N198" s="12"/>
      <c r="O198" s="12"/>
      <c r="P198" s="12"/>
      <c r="Q198" s="16"/>
      <c r="R198" s="41"/>
      <c r="S198" s="41"/>
      <c r="T198" s="41"/>
      <c r="U198" s="41"/>
      <c r="V198" s="41"/>
      <c r="W198" s="41"/>
      <c r="X198" s="41"/>
      <c r="Y198" s="41"/>
      <c r="Z198" s="41"/>
    </row>
    <row r="199" spans="1:26" ht="15.75" customHeight="1" x14ac:dyDescent="0.2">
      <c r="A199" s="16"/>
      <c r="B199" s="43"/>
      <c r="C199" s="43"/>
      <c r="D199" s="16"/>
      <c r="E199" s="16"/>
      <c r="F199" s="16"/>
      <c r="G199" s="12"/>
      <c r="H199" s="12"/>
      <c r="I199" s="12"/>
      <c r="J199" s="12"/>
      <c r="K199" s="12"/>
      <c r="L199" s="12"/>
      <c r="M199" s="12"/>
      <c r="N199" s="12"/>
      <c r="O199" s="12"/>
      <c r="P199" s="12"/>
      <c r="Q199" s="16"/>
      <c r="R199" s="41"/>
      <c r="S199" s="41"/>
      <c r="T199" s="41"/>
      <c r="U199" s="41"/>
      <c r="V199" s="41"/>
      <c r="W199" s="41"/>
      <c r="X199" s="41"/>
      <c r="Y199" s="41"/>
      <c r="Z199" s="41"/>
    </row>
    <row r="200" spans="1:26" ht="15.75" customHeight="1" x14ac:dyDescent="0.2">
      <c r="A200" s="16"/>
      <c r="B200" s="43"/>
      <c r="C200" s="43"/>
      <c r="D200" s="16"/>
      <c r="E200" s="16"/>
      <c r="F200" s="16"/>
      <c r="G200" s="12"/>
      <c r="H200" s="12"/>
      <c r="I200" s="12"/>
      <c r="J200" s="12"/>
      <c r="K200" s="12"/>
      <c r="L200" s="12"/>
      <c r="M200" s="12"/>
      <c r="N200" s="12"/>
      <c r="O200" s="12"/>
      <c r="P200" s="12"/>
      <c r="Q200" s="16"/>
      <c r="R200" s="41"/>
      <c r="S200" s="41"/>
      <c r="T200" s="41"/>
      <c r="U200" s="41"/>
      <c r="V200" s="41"/>
      <c r="W200" s="41"/>
      <c r="X200" s="41"/>
      <c r="Y200" s="41"/>
      <c r="Z200" s="41"/>
    </row>
    <row r="201" spans="1:26" ht="15.75" customHeight="1" x14ac:dyDescent="0.2">
      <c r="A201" s="16"/>
      <c r="B201" s="43"/>
      <c r="C201" s="43"/>
      <c r="D201" s="16"/>
      <c r="E201" s="16"/>
      <c r="F201" s="16"/>
      <c r="G201" s="12"/>
      <c r="H201" s="12"/>
      <c r="I201" s="12"/>
      <c r="J201" s="12"/>
      <c r="K201" s="12"/>
      <c r="L201" s="12"/>
      <c r="M201" s="12"/>
      <c r="N201" s="12"/>
      <c r="O201" s="12"/>
      <c r="P201" s="12"/>
      <c r="Q201" s="16"/>
      <c r="R201" s="41"/>
      <c r="S201" s="41"/>
      <c r="T201" s="41"/>
      <c r="U201" s="41"/>
      <c r="V201" s="41"/>
      <c r="W201" s="41"/>
      <c r="X201" s="41"/>
      <c r="Y201" s="41"/>
      <c r="Z201" s="41"/>
    </row>
    <row r="202" spans="1:26" ht="15.75" customHeight="1" x14ac:dyDescent="0.2">
      <c r="A202" s="16"/>
      <c r="B202" s="43"/>
      <c r="C202" s="43"/>
      <c r="D202" s="16"/>
      <c r="E202" s="16"/>
      <c r="F202" s="16"/>
      <c r="G202" s="12"/>
      <c r="H202" s="12"/>
      <c r="I202" s="12"/>
      <c r="J202" s="12"/>
      <c r="K202" s="12"/>
      <c r="L202" s="12"/>
      <c r="M202" s="12"/>
      <c r="N202" s="12"/>
      <c r="O202" s="12"/>
      <c r="P202" s="12"/>
      <c r="Q202" s="16"/>
      <c r="R202" s="41"/>
      <c r="S202" s="41"/>
      <c r="T202" s="41"/>
      <c r="U202" s="41"/>
      <c r="V202" s="41"/>
      <c r="W202" s="41"/>
      <c r="X202" s="41"/>
      <c r="Y202" s="41"/>
      <c r="Z202" s="41"/>
    </row>
    <row r="203" spans="1:26" ht="15.75" customHeight="1" x14ac:dyDescent="0.2">
      <c r="A203" s="16"/>
      <c r="B203" s="43"/>
      <c r="C203" s="43"/>
      <c r="D203" s="16"/>
      <c r="E203" s="16"/>
      <c r="F203" s="16"/>
      <c r="G203" s="12"/>
      <c r="H203" s="12"/>
      <c r="I203" s="12"/>
      <c r="J203" s="12"/>
      <c r="K203" s="12"/>
      <c r="L203" s="12"/>
      <c r="M203" s="12"/>
      <c r="N203" s="12"/>
      <c r="O203" s="12"/>
      <c r="P203" s="12"/>
      <c r="Q203" s="16"/>
      <c r="R203" s="41"/>
      <c r="S203" s="41"/>
      <c r="T203" s="41"/>
      <c r="U203" s="41"/>
      <c r="V203" s="41"/>
      <c r="W203" s="41"/>
      <c r="X203" s="41"/>
      <c r="Y203" s="41"/>
      <c r="Z203" s="41"/>
    </row>
    <row r="204" spans="1:26" ht="15.75" customHeight="1" x14ac:dyDescent="0.2">
      <c r="A204" s="16"/>
      <c r="B204" s="43"/>
      <c r="C204" s="43"/>
      <c r="D204" s="16"/>
      <c r="E204" s="16"/>
      <c r="F204" s="16"/>
      <c r="G204" s="12"/>
      <c r="H204" s="12"/>
      <c r="I204" s="12"/>
      <c r="J204" s="12"/>
      <c r="K204" s="12"/>
      <c r="L204" s="12"/>
      <c r="M204" s="12"/>
      <c r="N204" s="12"/>
      <c r="O204" s="12"/>
      <c r="P204" s="12"/>
      <c r="Q204" s="16"/>
      <c r="R204" s="41"/>
      <c r="S204" s="41"/>
      <c r="T204" s="41"/>
      <c r="U204" s="41"/>
      <c r="V204" s="41"/>
      <c r="W204" s="41"/>
      <c r="X204" s="41"/>
      <c r="Y204" s="41"/>
      <c r="Z204" s="41"/>
    </row>
    <row r="205" spans="1:26" ht="15.75" customHeight="1" x14ac:dyDescent="0.2">
      <c r="A205" s="16"/>
      <c r="B205" s="43"/>
      <c r="C205" s="43"/>
      <c r="D205" s="16"/>
      <c r="E205" s="16"/>
      <c r="F205" s="16"/>
      <c r="G205" s="12"/>
      <c r="H205" s="12"/>
      <c r="I205" s="12"/>
      <c r="J205" s="12"/>
      <c r="K205" s="12"/>
      <c r="L205" s="12"/>
      <c r="M205" s="12"/>
      <c r="N205" s="12"/>
      <c r="O205" s="12"/>
      <c r="P205" s="12"/>
      <c r="Q205" s="16"/>
      <c r="R205" s="41"/>
      <c r="S205" s="41"/>
      <c r="T205" s="41"/>
      <c r="U205" s="41"/>
      <c r="V205" s="41"/>
      <c r="W205" s="41"/>
      <c r="X205" s="41"/>
      <c r="Y205" s="41"/>
      <c r="Z205" s="41"/>
    </row>
    <row r="206" spans="1:26" ht="15.75" customHeight="1" x14ac:dyDescent="0.2">
      <c r="A206" s="16"/>
      <c r="B206" s="43"/>
      <c r="C206" s="43"/>
      <c r="D206" s="16"/>
      <c r="E206" s="16"/>
      <c r="F206" s="16"/>
      <c r="G206" s="12"/>
      <c r="H206" s="12"/>
      <c r="I206" s="12"/>
      <c r="J206" s="12"/>
      <c r="K206" s="12"/>
      <c r="L206" s="12"/>
      <c r="M206" s="12"/>
      <c r="N206" s="12"/>
      <c r="O206" s="12"/>
      <c r="P206" s="12"/>
      <c r="Q206" s="16"/>
      <c r="R206" s="41"/>
      <c r="S206" s="41"/>
      <c r="T206" s="41"/>
      <c r="U206" s="41"/>
      <c r="V206" s="41"/>
      <c r="W206" s="41"/>
      <c r="X206" s="41"/>
      <c r="Y206" s="41"/>
      <c r="Z206" s="41"/>
    </row>
    <row r="207" spans="1:26" ht="15.75" customHeight="1" x14ac:dyDescent="0.2">
      <c r="A207" s="16"/>
      <c r="B207" s="43"/>
      <c r="C207" s="43"/>
      <c r="D207" s="16"/>
      <c r="E207" s="16"/>
      <c r="F207" s="16"/>
      <c r="G207" s="12"/>
      <c r="H207" s="12"/>
      <c r="I207" s="12"/>
      <c r="J207" s="12"/>
      <c r="K207" s="12"/>
      <c r="L207" s="12"/>
      <c r="M207" s="12"/>
      <c r="N207" s="12"/>
      <c r="O207" s="12"/>
      <c r="P207" s="12"/>
      <c r="Q207" s="16"/>
      <c r="R207" s="41"/>
      <c r="S207" s="41"/>
      <c r="T207" s="41"/>
      <c r="U207" s="41"/>
      <c r="V207" s="41"/>
      <c r="W207" s="41"/>
      <c r="X207" s="41"/>
      <c r="Y207" s="41"/>
      <c r="Z207" s="41"/>
    </row>
    <row r="208" spans="1:26" ht="15.75" customHeight="1" x14ac:dyDescent="0.2">
      <c r="A208" s="16"/>
      <c r="B208" s="43"/>
      <c r="C208" s="43"/>
      <c r="D208" s="16"/>
      <c r="E208" s="16"/>
      <c r="F208" s="16"/>
      <c r="G208" s="12"/>
      <c r="H208" s="12"/>
      <c r="I208" s="12"/>
      <c r="J208" s="12"/>
      <c r="K208" s="12"/>
      <c r="L208" s="12"/>
      <c r="M208" s="12"/>
      <c r="N208" s="12"/>
      <c r="O208" s="12"/>
      <c r="P208" s="12"/>
      <c r="Q208" s="16"/>
      <c r="R208" s="41"/>
      <c r="S208" s="41"/>
      <c r="T208" s="41"/>
      <c r="U208" s="41"/>
      <c r="V208" s="41"/>
      <c r="W208" s="41"/>
      <c r="X208" s="41"/>
      <c r="Y208" s="41"/>
      <c r="Z208" s="41"/>
    </row>
    <row r="209" spans="1:26" ht="15.75" customHeight="1" x14ac:dyDescent="0.2">
      <c r="A209" s="16"/>
      <c r="B209" s="43"/>
      <c r="C209" s="43"/>
      <c r="D209" s="16"/>
      <c r="E209" s="16"/>
      <c r="F209" s="16"/>
      <c r="G209" s="12"/>
      <c r="H209" s="12"/>
      <c r="I209" s="12"/>
      <c r="J209" s="12"/>
      <c r="K209" s="12"/>
      <c r="L209" s="12"/>
      <c r="M209" s="12"/>
      <c r="N209" s="12"/>
      <c r="O209" s="12"/>
      <c r="P209" s="12"/>
      <c r="Q209" s="16"/>
      <c r="R209" s="41"/>
      <c r="S209" s="41"/>
      <c r="T209" s="41"/>
      <c r="U209" s="41"/>
      <c r="V209" s="41"/>
      <c r="W209" s="41"/>
      <c r="X209" s="41"/>
      <c r="Y209" s="41"/>
      <c r="Z209" s="41"/>
    </row>
    <row r="210" spans="1:26" ht="15.75" customHeight="1" x14ac:dyDescent="0.2">
      <c r="A210" s="16"/>
      <c r="B210" s="43"/>
      <c r="C210" s="43"/>
      <c r="D210" s="16"/>
      <c r="E210" s="16"/>
      <c r="F210" s="16"/>
      <c r="G210" s="12"/>
      <c r="H210" s="12"/>
      <c r="I210" s="12"/>
      <c r="J210" s="12"/>
      <c r="K210" s="12"/>
      <c r="L210" s="12"/>
      <c r="M210" s="12"/>
      <c r="N210" s="12"/>
      <c r="O210" s="12"/>
      <c r="P210" s="12"/>
      <c r="Q210" s="16"/>
      <c r="R210" s="41"/>
      <c r="S210" s="41"/>
      <c r="T210" s="41"/>
      <c r="U210" s="41"/>
      <c r="V210" s="41"/>
      <c r="W210" s="41"/>
      <c r="X210" s="41"/>
      <c r="Y210" s="41"/>
      <c r="Z210" s="41"/>
    </row>
    <row r="211" spans="1:26" ht="15.75" customHeight="1" x14ac:dyDescent="0.2">
      <c r="A211" s="16"/>
      <c r="B211" s="43"/>
      <c r="C211" s="43"/>
      <c r="D211" s="16"/>
      <c r="E211" s="16"/>
      <c r="F211" s="16"/>
      <c r="G211" s="12"/>
      <c r="H211" s="12"/>
      <c r="I211" s="12"/>
      <c r="J211" s="12"/>
      <c r="K211" s="12"/>
      <c r="L211" s="12"/>
      <c r="M211" s="12"/>
      <c r="N211" s="12"/>
      <c r="O211" s="12"/>
      <c r="P211" s="12"/>
      <c r="Q211" s="16"/>
      <c r="R211" s="41"/>
      <c r="S211" s="41"/>
      <c r="T211" s="41"/>
      <c r="U211" s="41"/>
      <c r="V211" s="41"/>
      <c r="W211" s="41"/>
      <c r="X211" s="41"/>
      <c r="Y211" s="41"/>
      <c r="Z211" s="41"/>
    </row>
    <row r="212" spans="1:26" ht="15.75" customHeight="1" x14ac:dyDescent="0.2">
      <c r="A212" s="16"/>
      <c r="B212" s="43"/>
      <c r="C212" s="43"/>
      <c r="D212" s="16"/>
      <c r="E212" s="16"/>
      <c r="F212" s="16"/>
      <c r="G212" s="12"/>
      <c r="H212" s="12"/>
      <c r="I212" s="12"/>
      <c r="J212" s="12"/>
      <c r="K212" s="12"/>
      <c r="L212" s="12"/>
      <c r="M212" s="12"/>
      <c r="N212" s="12"/>
      <c r="O212" s="12"/>
      <c r="P212" s="12"/>
      <c r="Q212" s="16"/>
      <c r="R212" s="41"/>
      <c r="S212" s="41"/>
      <c r="T212" s="41"/>
      <c r="U212" s="41"/>
      <c r="V212" s="41"/>
      <c r="W212" s="41"/>
      <c r="X212" s="41"/>
      <c r="Y212" s="41"/>
      <c r="Z212" s="41"/>
    </row>
    <row r="213" spans="1:26" ht="15.75" customHeight="1" x14ac:dyDescent="0.2">
      <c r="A213" s="16"/>
      <c r="B213" s="43"/>
      <c r="C213" s="43"/>
      <c r="D213" s="16"/>
      <c r="E213" s="16"/>
      <c r="F213" s="16"/>
      <c r="G213" s="12"/>
      <c r="H213" s="12"/>
      <c r="I213" s="12"/>
      <c r="J213" s="12"/>
      <c r="K213" s="12"/>
      <c r="L213" s="12"/>
      <c r="M213" s="12"/>
      <c r="N213" s="12"/>
      <c r="O213" s="12"/>
      <c r="P213" s="12"/>
      <c r="Q213" s="16"/>
      <c r="R213" s="41"/>
      <c r="S213" s="41"/>
      <c r="T213" s="41"/>
      <c r="U213" s="41"/>
      <c r="V213" s="41"/>
      <c r="W213" s="41"/>
      <c r="X213" s="41"/>
      <c r="Y213" s="41"/>
      <c r="Z213" s="41"/>
    </row>
    <row r="214" spans="1:26" ht="15.75" customHeight="1" x14ac:dyDescent="0.2">
      <c r="A214" s="16"/>
      <c r="B214" s="43"/>
      <c r="C214" s="43"/>
      <c r="D214" s="16"/>
      <c r="E214" s="16"/>
      <c r="F214" s="16"/>
      <c r="G214" s="12"/>
      <c r="H214" s="12"/>
      <c r="I214" s="12"/>
      <c r="J214" s="12"/>
      <c r="K214" s="12"/>
      <c r="L214" s="12"/>
      <c r="M214" s="12"/>
      <c r="N214" s="12"/>
      <c r="O214" s="12"/>
      <c r="P214" s="12"/>
      <c r="Q214" s="16"/>
      <c r="R214" s="41"/>
      <c r="S214" s="41"/>
      <c r="T214" s="41"/>
      <c r="U214" s="41"/>
      <c r="V214" s="41"/>
      <c r="W214" s="41"/>
      <c r="X214" s="41"/>
      <c r="Y214" s="41"/>
      <c r="Z214" s="41"/>
    </row>
    <row r="215" spans="1:26" ht="15.75" customHeight="1" x14ac:dyDescent="0.2">
      <c r="A215" s="16"/>
      <c r="B215" s="43"/>
      <c r="C215" s="43"/>
      <c r="D215" s="16"/>
      <c r="E215" s="16"/>
      <c r="F215" s="16"/>
      <c r="G215" s="12"/>
      <c r="H215" s="12"/>
      <c r="I215" s="12"/>
      <c r="J215" s="12"/>
      <c r="K215" s="12"/>
      <c r="L215" s="12"/>
      <c r="M215" s="12"/>
      <c r="N215" s="12"/>
      <c r="O215" s="12"/>
      <c r="P215" s="12"/>
      <c r="Q215" s="16"/>
      <c r="R215" s="41"/>
      <c r="S215" s="41"/>
      <c r="T215" s="41"/>
      <c r="U215" s="41"/>
      <c r="V215" s="41"/>
      <c r="W215" s="41"/>
      <c r="X215" s="41"/>
      <c r="Y215" s="41"/>
      <c r="Z215" s="41"/>
    </row>
    <row r="216" spans="1:26" ht="15.75" customHeight="1" x14ac:dyDescent="0.2">
      <c r="A216" s="16"/>
      <c r="B216" s="43"/>
      <c r="C216" s="43"/>
      <c r="D216" s="16"/>
      <c r="E216" s="16"/>
      <c r="F216" s="16"/>
      <c r="G216" s="12"/>
      <c r="H216" s="12"/>
      <c r="I216" s="12"/>
      <c r="J216" s="12"/>
      <c r="K216" s="12"/>
      <c r="L216" s="12"/>
      <c r="M216" s="12"/>
      <c r="N216" s="12"/>
      <c r="O216" s="12"/>
      <c r="P216" s="12"/>
      <c r="Q216" s="16"/>
      <c r="R216" s="41"/>
      <c r="S216" s="41"/>
      <c r="T216" s="41"/>
      <c r="U216" s="41"/>
      <c r="V216" s="41"/>
      <c r="W216" s="41"/>
      <c r="X216" s="41"/>
      <c r="Y216" s="41"/>
      <c r="Z216" s="41"/>
    </row>
    <row r="217" spans="1:26" ht="15.75" customHeight="1" x14ac:dyDescent="0.2">
      <c r="A217" s="16"/>
      <c r="B217" s="43"/>
      <c r="C217" s="43"/>
      <c r="D217" s="16"/>
      <c r="E217" s="16"/>
      <c r="F217" s="16"/>
      <c r="G217" s="12"/>
      <c r="H217" s="12"/>
      <c r="I217" s="12"/>
      <c r="J217" s="12"/>
      <c r="K217" s="12"/>
      <c r="L217" s="12"/>
      <c r="M217" s="12"/>
      <c r="N217" s="12"/>
      <c r="O217" s="12"/>
      <c r="P217" s="12"/>
      <c r="Q217" s="16"/>
      <c r="R217" s="41"/>
      <c r="S217" s="41"/>
      <c r="T217" s="41"/>
      <c r="U217" s="41"/>
      <c r="V217" s="41"/>
      <c r="W217" s="41"/>
      <c r="X217" s="41"/>
      <c r="Y217" s="41"/>
      <c r="Z217" s="41"/>
    </row>
    <row r="218" spans="1:26" ht="15.75" customHeight="1" x14ac:dyDescent="0.2">
      <c r="A218" s="16"/>
      <c r="B218" s="43"/>
      <c r="C218" s="43"/>
      <c r="D218" s="16"/>
      <c r="E218" s="16"/>
      <c r="F218" s="16"/>
      <c r="G218" s="12"/>
      <c r="H218" s="12"/>
      <c r="I218" s="12"/>
      <c r="J218" s="12"/>
      <c r="K218" s="12"/>
      <c r="L218" s="12"/>
      <c r="M218" s="12"/>
      <c r="N218" s="12"/>
      <c r="O218" s="12"/>
      <c r="P218" s="12"/>
      <c r="Q218" s="16"/>
      <c r="R218" s="41"/>
      <c r="S218" s="41"/>
      <c r="T218" s="41"/>
      <c r="U218" s="41"/>
      <c r="V218" s="41"/>
      <c r="W218" s="41"/>
      <c r="X218" s="41"/>
      <c r="Y218" s="41"/>
      <c r="Z218" s="41"/>
    </row>
    <row r="219" spans="1:26" ht="15.75" customHeight="1" x14ac:dyDescent="0.2">
      <c r="A219" s="16"/>
      <c r="B219" s="43"/>
      <c r="C219" s="43"/>
      <c r="D219" s="16"/>
      <c r="E219" s="16"/>
      <c r="F219" s="16"/>
      <c r="G219" s="12"/>
      <c r="H219" s="12"/>
      <c r="I219" s="12"/>
      <c r="J219" s="12"/>
      <c r="K219" s="12"/>
      <c r="L219" s="12"/>
      <c r="M219" s="12"/>
      <c r="N219" s="12"/>
      <c r="O219" s="12"/>
      <c r="P219" s="12"/>
      <c r="Q219" s="16"/>
      <c r="R219" s="41"/>
      <c r="S219" s="41"/>
      <c r="T219" s="41"/>
      <c r="U219" s="41"/>
      <c r="V219" s="41"/>
      <c r="W219" s="41"/>
      <c r="X219" s="41"/>
      <c r="Y219" s="41"/>
      <c r="Z219" s="41"/>
    </row>
    <row r="220" spans="1:26" ht="15.75" customHeight="1" x14ac:dyDescent="0.2">
      <c r="A220" s="16"/>
      <c r="B220" s="43"/>
      <c r="C220" s="43"/>
      <c r="D220" s="16"/>
      <c r="E220" s="16"/>
      <c r="F220" s="16"/>
      <c r="G220" s="12"/>
      <c r="H220" s="12"/>
      <c r="I220" s="12"/>
      <c r="J220" s="12"/>
      <c r="K220" s="12"/>
      <c r="L220" s="12"/>
      <c r="M220" s="12"/>
      <c r="N220" s="12"/>
      <c r="O220" s="12"/>
      <c r="P220" s="12"/>
      <c r="Q220" s="16"/>
      <c r="R220" s="41"/>
      <c r="S220" s="41"/>
      <c r="T220" s="41"/>
      <c r="U220" s="41"/>
      <c r="V220" s="41"/>
      <c r="W220" s="41"/>
      <c r="X220" s="41"/>
      <c r="Y220" s="41"/>
      <c r="Z220" s="41"/>
    </row>
    <row r="221" spans="1:26" ht="15.75" customHeight="1" x14ac:dyDescent="0.2">
      <c r="A221" s="16"/>
      <c r="B221" s="43"/>
      <c r="C221" s="43"/>
      <c r="D221" s="16"/>
      <c r="E221" s="16"/>
      <c r="F221" s="16"/>
      <c r="G221" s="12"/>
      <c r="H221" s="12"/>
      <c r="I221" s="12"/>
      <c r="J221" s="12"/>
      <c r="K221" s="12"/>
      <c r="L221" s="12"/>
      <c r="M221" s="12"/>
      <c r="N221" s="12"/>
      <c r="O221" s="12"/>
      <c r="P221" s="12"/>
      <c r="Q221" s="16"/>
      <c r="R221" s="41"/>
      <c r="S221" s="41"/>
      <c r="T221" s="41"/>
      <c r="U221" s="41"/>
      <c r="V221" s="41"/>
      <c r="W221" s="41"/>
      <c r="X221" s="41"/>
      <c r="Y221" s="41"/>
      <c r="Z221" s="41"/>
    </row>
    <row r="222" spans="1:26" ht="15.75" customHeight="1" x14ac:dyDescent="0.2">
      <c r="A222" s="16"/>
      <c r="B222" s="43"/>
      <c r="C222" s="43"/>
      <c r="D222" s="16"/>
      <c r="E222" s="16"/>
      <c r="F222" s="16"/>
      <c r="G222" s="12"/>
      <c r="H222" s="12"/>
      <c r="I222" s="12"/>
      <c r="J222" s="12"/>
      <c r="K222" s="12"/>
      <c r="L222" s="12"/>
      <c r="M222" s="12"/>
      <c r="N222" s="12"/>
      <c r="O222" s="12"/>
      <c r="P222" s="12"/>
      <c r="Q222" s="16"/>
      <c r="R222" s="41"/>
      <c r="S222" s="41"/>
      <c r="T222" s="41"/>
      <c r="U222" s="41"/>
      <c r="V222" s="41"/>
      <c r="W222" s="41"/>
      <c r="X222" s="41"/>
      <c r="Y222" s="41"/>
      <c r="Z222" s="41"/>
    </row>
    <row r="223" spans="1:26" ht="15.75" customHeight="1" x14ac:dyDescent="0.2">
      <c r="A223" s="16"/>
      <c r="B223" s="43"/>
      <c r="C223" s="43"/>
      <c r="D223" s="16"/>
      <c r="E223" s="16"/>
      <c r="F223" s="16"/>
      <c r="G223" s="12"/>
      <c r="H223" s="12"/>
      <c r="I223" s="12"/>
      <c r="J223" s="12"/>
      <c r="K223" s="12"/>
      <c r="L223" s="12"/>
      <c r="M223" s="12"/>
      <c r="N223" s="12"/>
      <c r="O223" s="12"/>
      <c r="P223" s="12"/>
      <c r="Q223" s="16"/>
      <c r="R223" s="41"/>
      <c r="S223" s="41"/>
      <c r="T223" s="41"/>
      <c r="U223" s="41"/>
      <c r="V223" s="41"/>
      <c r="W223" s="41"/>
      <c r="X223" s="41"/>
      <c r="Y223" s="41"/>
      <c r="Z223" s="41"/>
    </row>
    <row r="224" spans="1:26" ht="15.75" customHeight="1" x14ac:dyDescent="0.2">
      <c r="A224" s="16"/>
      <c r="B224" s="43"/>
      <c r="C224" s="43"/>
      <c r="D224" s="16"/>
      <c r="E224" s="16"/>
      <c r="F224" s="16"/>
      <c r="G224" s="12"/>
      <c r="H224" s="12"/>
      <c r="I224" s="12"/>
      <c r="J224" s="12"/>
      <c r="K224" s="12"/>
      <c r="L224" s="12"/>
      <c r="M224" s="12"/>
      <c r="N224" s="12"/>
      <c r="O224" s="12"/>
      <c r="P224" s="12"/>
      <c r="Q224" s="16"/>
      <c r="R224" s="41"/>
      <c r="S224" s="41"/>
      <c r="T224" s="41"/>
      <c r="U224" s="41"/>
      <c r="V224" s="41"/>
      <c r="W224" s="41"/>
      <c r="X224" s="41"/>
      <c r="Y224" s="41"/>
      <c r="Z224" s="41"/>
    </row>
    <row r="225" spans="1:26" ht="15.75" customHeight="1" x14ac:dyDescent="0.2">
      <c r="A225" s="16"/>
      <c r="B225" s="43"/>
      <c r="C225" s="43"/>
      <c r="D225" s="16"/>
      <c r="E225" s="16"/>
      <c r="F225" s="16"/>
      <c r="G225" s="12"/>
      <c r="H225" s="12"/>
      <c r="I225" s="12"/>
      <c r="J225" s="12"/>
      <c r="K225" s="12"/>
      <c r="L225" s="12"/>
      <c r="M225" s="12"/>
      <c r="N225" s="12"/>
      <c r="O225" s="12"/>
      <c r="P225" s="12"/>
      <c r="Q225" s="16"/>
      <c r="R225" s="41"/>
      <c r="S225" s="41"/>
      <c r="T225" s="41"/>
      <c r="U225" s="41"/>
      <c r="V225" s="41"/>
      <c r="W225" s="41"/>
      <c r="X225" s="41"/>
      <c r="Y225" s="41"/>
      <c r="Z225" s="41"/>
    </row>
    <row r="226" spans="1:26" ht="15.75" customHeight="1" x14ac:dyDescent="0.2">
      <c r="A226" s="16"/>
      <c r="B226" s="43"/>
      <c r="C226" s="43"/>
      <c r="D226" s="16"/>
      <c r="E226" s="16"/>
      <c r="F226" s="16"/>
      <c r="G226" s="12"/>
      <c r="H226" s="12"/>
      <c r="I226" s="12"/>
      <c r="J226" s="12"/>
      <c r="K226" s="12"/>
      <c r="L226" s="12"/>
      <c r="M226" s="12"/>
      <c r="N226" s="12"/>
      <c r="O226" s="12"/>
      <c r="P226" s="12"/>
      <c r="Q226" s="16"/>
      <c r="R226" s="41"/>
      <c r="S226" s="41"/>
      <c r="T226" s="41"/>
      <c r="U226" s="41"/>
      <c r="V226" s="41"/>
      <c r="W226" s="41"/>
      <c r="X226" s="41"/>
      <c r="Y226" s="41"/>
      <c r="Z226" s="41"/>
    </row>
    <row r="227" spans="1:26" ht="15.75" customHeight="1" x14ac:dyDescent="0.2">
      <c r="A227" s="16"/>
      <c r="B227" s="43"/>
      <c r="C227" s="43"/>
      <c r="D227" s="16"/>
      <c r="E227" s="16"/>
      <c r="F227" s="16"/>
      <c r="G227" s="12"/>
      <c r="H227" s="12"/>
      <c r="I227" s="12"/>
      <c r="J227" s="12"/>
      <c r="K227" s="12"/>
      <c r="L227" s="12"/>
      <c r="M227" s="12"/>
      <c r="N227" s="12"/>
      <c r="O227" s="12"/>
      <c r="P227" s="12"/>
      <c r="Q227" s="16"/>
      <c r="R227" s="41"/>
      <c r="S227" s="41"/>
      <c r="T227" s="41"/>
      <c r="U227" s="41"/>
      <c r="V227" s="41"/>
      <c r="W227" s="41"/>
      <c r="X227" s="41"/>
      <c r="Y227" s="41"/>
      <c r="Z227" s="41"/>
    </row>
    <row r="228" spans="1:26" ht="15.75" customHeight="1" x14ac:dyDescent="0.2">
      <c r="A228" s="16"/>
      <c r="B228" s="43"/>
      <c r="C228" s="43"/>
      <c r="D228" s="16"/>
      <c r="E228" s="16"/>
      <c r="F228" s="16"/>
      <c r="G228" s="12"/>
      <c r="H228" s="12"/>
      <c r="I228" s="12"/>
      <c r="J228" s="12"/>
      <c r="K228" s="12"/>
      <c r="L228" s="12"/>
      <c r="M228" s="12"/>
      <c r="N228" s="12"/>
      <c r="O228" s="12"/>
      <c r="P228" s="12"/>
      <c r="Q228" s="16"/>
      <c r="R228" s="41"/>
      <c r="S228" s="41"/>
      <c r="T228" s="41"/>
      <c r="U228" s="41"/>
      <c r="V228" s="41"/>
      <c r="W228" s="41"/>
      <c r="X228" s="41"/>
      <c r="Y228" s="41"/>
      <c r="Z228" s="41"/>
    </row>
    <row r="229" spans="1:26" ht="15.75" customHeight="1" x14ac:dyDescent="0.2">
      <c r="A229" s="16"/>
      <c r="B229" s="43"/>
      <c r="C229" s="43"/>
      <c r="D229" s="16"/>
      <c r="E229" s="16"/>
      <c r="F229" s="16"/>
      <c r="G229" s="12"/>
      <c r="H229" s="12"/>
      <c r="I229" s="12"/>
      <c r="J229" s="12"/>
      <c r="K229" s="12"/>
      <c r="L229" s="12"/>
      <c r="M229" s="12"/>
      <c r="N229" s="12"/>
      <c r="O229" s="12"/>
      <c r="P229" s="12"/>
      <c r="Q229" s="16"/>
      <c r="R229" s="41"/>
      <c r="S229" s="41"/>
      <c r="T229" s="41"/>
      <c r="U229" s="41"/>
      <c r="V229" s="41"/>
      <c r="W229" s="41"/>
      <c r="X229" s="41"/>
      <c r="Y229" s="41"/>
      <c r="Z229" s="41"/>
    </row>
    <row r="230" spans="1:26" ht="15.75" customHeight="1" x14ac:dyDescent="0.2">
      <c r="A230" s="16"/>
      <c r="B230" s="43"/>
      <c r="C230" s="43"/>
      <c r="D230" s="16"/>
      <c r="E230" s="16"/>
      <c r="F230" s="16"/>
      <c r="G230" s="12"/>
      <c r="H230" s="12"/>
      <c r="I230" s="12"/>
      <c r="J230" s="12"/>
      <c r="K230" s="12"/>
      <c r="L230" s="12"/>
      <c r="M230" s="12"/>
      <c r="N230" s="12"/>
      <c r="O230" s="12"/>
      <c r="P230" s="12"/>
      <c r="Q230" s="16"/>
      <c r="R230" s="41"/>
      <c r="S230" s="41"/>
      <c r="T230" s="41"/>
      <c r="U230" s="41"/>
      <c r="V230" s="41"/>
      <c r="W230" s="41"/>
      <c r="X230" s="41"/>
      <c r="Y230" s="41"/>
      <c r="Z230" s="41"/>
    </row>
    <row r="231" spans="1:26" ht="15.75" customHeight="1" x14ac:dyDescent="0.2">
      <c r="A231" s="16"/>
      <c r="B231" s="43"/>
      <c r="C231" s="43"/>
      <c r="D231" s="16"/>
      <c r="E231" s="16"/>
      <c r="F231" s="16"/>
      <c r="G231" s="12"/>
      <c r="H231" s="12"/>
      <c r="I231" s="12"/>
      <c r="J231" s="12"/>
      <c r="K231" s="12"/>
      <c r="L231" s="12"/>
      <c r="M231" s="12"/>
      <c r="N231" s="12"/>
      <c r="O231" s="12"/>
      <c r="P231" s="12"/>
      <c r="Q231" s="16"/>
      <c r="R231" s="41"/>
      <c r="S231" s="41"/>
      <c r="T231" s="41"/>
      <c r="U231" s="41"/>
      <c r="V231" s="41"/>
      <c r="W231" s="41"/>
      <c r="X231" s="41"/>
      <c r="Y231" s="41"/>
      <c r="Z231" s="41"/>
    </row>
    <row r="232" spans="1:26" ht="15.75" customHeight="1" x14ac:dyDescent="0.2">
      <c r="A232" s="16"/>
      <c r="B232" s="43"/>
      <c r="C232" s="43"/>
      <c r="D232" s="16"/>
      <c r="E232" s="16"/>
      <c r="F232" s="16"/>
      <c r="G232" s="12"/>
      <c r="H232" s="12"/>
      <c r="I232" s="12"/>
      <c r="J232" s="12"/>
      <c r="K232" s="12"/>
      <c r="L232" s="12"/>
      <c r="M232" s="12"/>
      <c r="N232" s="12"/>
      <c r="O232" s="12"/>
      <c r="P232" s="12"/>
      <c r="Q232" s="16"/>
      <c r="R232" s="41"/>
      <c r="S232" s="41"/>
      <c r="T232" s="41"/>
      <c r="U232" s="41"/>
      <c r="V232" s="41"/>
      <c r="W232" s="41"/>
      <c r="X232" s="41"/>
      <c r="Y232" s="41"/>
      <c r="Z232" s="41"/>
    </row>
    <row r="233" spans="1:26" ht="15.75" customHeight="1" x14ac:dyDescent="0.2">
      <c r="A233" s="16"/>
      <c r="B233" s="43"/>
      <c r="C233" s="43"/>
      <c r="D233" s="16"/>
      <c r="E233" s="16"/>
      <c r="F233" s="16"/>
      <c r="G233" s="12"/>
      <c r="H233" s="12"/>
      <c r="I233" s="12"/>
      <c r="J233" s="12"/>
      <c r="K233" s="12"/>
      <c r="L233" s="12"/>
      <c r="M233" s="12"/>
      <c r="N233" s="12"/>
      <c r="O233" s="12"/>
      <c r="P233" s="12"/>
      <c r="Q233" s="16"/>
      <c r="R233" s="41"/>
      <c r="S233" s="41"/>
      <c r="T233" s="41"/>
      <c r="U233" s="41"/>
      <c r="V233" s="41"/>
      <c r="W233" s="41"/>
      <c r="X233" s="41"/>
      <c r="Y233" s="41"/>
      <c r="Z233" s="41"/>
    </row>
    <row r="234" spans="1:26" ht="15.75" customHeight="1" x14ac:dyDescent="0.2">
      <c r="A234" s="16"/>
      <c r="B234" s="43"/>
      <c r="C234" s="43"/>
      <c r="D234" s="16"/>
      <c r="E234" s="16"/>
      <c r="F234" s="16"/>
      <c r="G234" s="12"/>
      <c r="H234" s="12"/>
      <c r="I234" s="12"/>
      <c r="J234" s="12"/>
      <c r="K234" s="12"/>
      <c r="L234" s="12"/>
      <c r="M234" s="12"/>
      <c r="N234" s="12"/>
      <c r="O234" s="12"/>
      <c r="P234" s="12"/>
      <c r="Q234" s="16"/>
      <c r="R234" s="41"/>
      <c r="S234" s="41"/>
      <c r="T234" s="41"/>
      <c r="U234" s="41"/>
      <c r="V234" s="41"/>
      <c r="W234" s="41"/>
      <c r="X234" s="41"/>
      <c r="Y234" s="41"/>
      <c r="Z234" s="41"/>
    </row>
    <row r="235" spans="1:26" ht="15.75" customHeight="1" x14ac:dyDescent="0.2">
      <c r="A235" s="16"/>
      <c r="B235" s="43"/>
      <c r="C235" s="43"/>
      <c r="D235" s="16"/>
      <c r="E235" s="16"/>
      <c r="F235" s="16"/>
      <c r="G235" s="12"/>
      <c r="H235" s="12"/>
      <c r="I235" s="12"/>
      <c r="J235" s="12"/>
      <c r="K235" s="12"/>
      <c r="L235" s="12"/>
      <c r="M235" s="12"/>
      <c r="N235" s="12"/>
      <c r="O235" s="12"/>
      <c r="P235" s="12"/>
      <c r="Q235" s="16"/>
      <c r="R235" s="41"/>
      <c r="S235" s="41"/>
      <c r="T235" s="41"/>
      <c r="U235" s="41"/>
      <c r="V235" s="41"/>
      <c r="W235" s="41"/>
      <c r="X235" s="41"/>
      <c r="Y235" s="41"/>
      <c r="Z235" s="41"/>
    </row>
    <row r="236" spans="1:26" ht="15.75" customHeight="1" x14ac:dyDescent="0.2">
      <c r="A236" s="16"/>
      <c r="B236" s="43"/>
      <c r="C236" s="43"/>
      <c r="D236" s="16"/>
      <c r="E236" s="16"/>
      <c r="F236" s="16"/>
      <c r="G236" s="12"/>
      <c r="H236" s="12"/>
      <c r="I236" s="12"/>
      <c r="J236" s="12"/>
      <c r="K236" s="12"/>
      <c r="L236" s="12"/>
      <c r="M236" s="12"/>
      <c r="N236" s="12"/>
      <c r="O236" s="12"/>
      <c r="P236" s="12"/>
      <c r="Q236" s="16"/>
      <c r="R236" s="41"/>
      <c r="S236" s="41"/>
      <c r="T236" s="41"/>
      <c r="U236" s="41"/>
      <c r="V236" s="41"/>
      <c r="W236" s="41"/>
      <c r="X236" s="41"/>
      <c r="Y236" s="41"/>
      <c r="Z236" s="41"/>
    </row>
    <row r="237" spans="1:26" ht="15.75" customHeight="1" x14ac:dyDescent="0.2">
      <c r="A237" s="16"/>
      <c r="B237" s="43"/>
      <c r="C237" s="43"/>
      <c r="D237" s="16"/>
      <c r="E237" s="16"/>
      <c r="F237" s="16"/>
      <c r="G237" s="12"/>
      <c r="H237" s="12"/>
      <c r="I237" s="12"/>
      <c r="J237" s="12"/>
      <c r="K237" s="12"/>
      <c r="L237" s="12"/>
      <c r="M237" s="12"/>
      <c r="N237" s="12"/>
      <c r="O237" s="12"/>
      <c r="P237" s="12"/>
      <c r="Q237" s="16"/>
      <c r="R237" s="41"/>
      <c r="S237" s="41"/>
      <c r="T237" s="41"/>
      <c r="U237" s="41"/>
      <c r="V237" s="41"/>
      <c r="W237" s="41"/>
      <c r="X237" s="41"/>
      <c r="Y237" s="41"/>
      <c r="Z237" s="41"/>
    </row>
    <row r="238" spans="1:26" ht="15.75" customHeight="1" x14ac:dyDescent="0.2">
      <c r="A238" s="16"/>
      <c r="B238" s="43"/>
      <c r="C238" s="43"/>
      <c r="D238" s="16"/>
      <c r="E238" s="16"/>
      <c r="F238" s="16"/>
      <c r="G238" s="12"/>
      <c r="H238" s="12"/>
      <c r="I238" s="12"/>
      <c r="J238" s="12"/>
      <c r="K238" s="12"/>
      <c r="L238" s="12"/>
      <c r="M238" s="12"/>
      <c r="N238" s="12"/>
      <c r="O238" s="12"/>
      <c r="P238" s="12"/>
      <c r="Q238" s="16"/>
      <c r="R238" s="41"/>
      <c r="S238" s="41"/>
      <c r="T238" s="41"/>
      <c r="U238" s="41"/>
      <c r="V238" s="41"/>
      <c r="W238" s="41"/>
      <c r="X238" s="41"/>
      <c r="Y238" s="41"/>
      <c r="Z238" s="41"/>
    </row>
    <row r="239" spans="1:26" ht="15.75" customHeight="1" x14ac:dyDescent="0.2">
      <c r="A239" s="16"/>
      <c r="B239" s="43"/>
      <c r="C239" s="43"/>
      <c r="D239" s="16"/>
      <c r="E239" s="16"/>
      <c r="F239" s="16"/>
      <c r="G239" s="12"/>
      <c r="H239" s="12"/>
      <c r="I239" s="12"/>
      <c r="J239" s="12"/>
      <c r="K239" s="12"/>
      <c r="L239" s="12"/>
      <c r="M239" s="12"/>
      <c r="N239" s="12"/>
      <c r="O239" s="12"/>
      <c r="P239" s="12"/>
      <c r="Q239" s="16"/>
      <c r="R239" s="41"/>
      <c r="S239" s="41"/>
      <c r="T239" s="41"/>
      <c r="U239" s="41"/>
      <c r="V239" s="41"/>
      <c r="W239" s="41"/>
      <c r="X239" s="41"/>
      <c r="Y239" s="41"/>
      <c r="Z239" s="41"/>
    </row>
    <row r="240" spans="1:26" ht="15.75" customHeight="1" x14ac:dyDescent="0.2">
      <c r="A240" s="16"/>
      <c r="B240" s="43"/>
      <c r="C240" s="43"/>
      <c r="D240" s="16"/>
      <c r="E240" s="16"/>
      <c r="F240" s="16"/>
      <c r="G240" s="12"/>
      <c r="H240" s="12"/>
      <c r="I240" s="12"/>
      <c r="J240" s="12"/>
      <c r="K240" s="12"/>
      <c r="L240" s="12"/>
      <c r="M240" s="12"/>
      <c r="N240" s="12"/>
      <c r="O240" s="12"/>
      <c r="P240" s="12"/>
      <c r="Q240" s="16"/>
      <c r="R240" s="41"/>
      <c r="S240" s="41"/>
      <c r="T240" s="41"/>
      <c r="U240" s="41"/>
      <c r="V240" s="41"/>
      <c r="W240" s="41"/>
      <c r="X240" s="41"/>
      <c r="Y240" s="41"/>
      <c r="Z240" s="41"/>
    </row>
    <row r="241" spans="1:26" ht="15.75" customHeight="1" x14ac:dyDescent="0.2">
      <c r="A241" s="16"/>
      <c r="B241" s="43"/>
      <c r="C241" s="43"/>
      <c r="D241" s="16"/>
      <c r="E241" s="16"/>
      <c r="F241" s="16"/>
      <c r="G241" s="12"/>
      <c r="H241" s="12"/>
      <c r="I241" s="12"/>
      <c r="J241" s="12"/>
      <c r="K241" s="12"/>
      <c r="L241" s="12"/>
      <c r="M241" s="12"/>
      <c r="N241" s="12"/>
      <c r="O241" s="12"/>
      <c r="P241" s="12"/>
      <c r="Q241" s="16"/>
      <c r="R241" s="41"/>
      <c r="S241" s="41"/>
      <c r="T241" s="41"/>
      <c r="U241" s="41"/>
      <c r="V241" s="41"/>
      <c r="W241" s="41"/>
      <c r="X241" s="41"/>
      <c r="Y241" s="41"/>
      <c r="Z241" s="41"/>
    </row>
    <row r="242" spans="1:26" ht="15.75" customHeight="1" x14ac:dyDescent="0.2">
      <c r="A242" s="16"/>
      <c r="B242" s="43"/>
      <c r="C242" s="43"/>
      <c r="D242" s="16"/>
      <c r="E242" s="16"/>
      <c r="F242" s="16"/>
      <c r="G242" s="12"/>
      <c r="H242" s="12"/>
      <c r="I242" s="12"/>
      <c r="J242" s="12"/>
      <c r="K242" s="12"/>
      <c r="L242" s="12"/>
      <c r="M242" s="12"/>
      <c r="N242" s="12"/>
      <c r="O242" s="12"/>
      <c r="P242" s="12"/>
      <c r="Q242" s="16"/>
      <c r="R242" s="41"/>
      <c r="S242" s="41"/>
      <c r="T242" s="41"/>
      <c r="U242" s="41"/>
      <c r="V242" s="41"/>
      <c r="W242" s="41"/>
      <c r="X242" s="41"/>
      <c r="Y242" s="41"/>
      <c r="Z242" s="41"/>
    </row>
    <row r="243" spans="1:26" ht="15.75" customHeight="1" x14ac:dyDescent="0.2">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x14ac:dyDescent="0.2">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x14ac:dyDescent="0.2">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x14ac:dyDescent="0.2">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x14ac:dyDescent="0.2">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x14ac:dyDescent="0.2">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x14ac:dyDescent="0.2">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x14ac:dyDescent="0.2">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x14ac:dyDescent="0.2">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x14ac:dyDescent="0.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x14ac:dyDescent="0.2">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x14ac:dyDescent="0.2">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x14ac:dyDescent="0.2">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x14ac:dyDescent="0.2">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x14ac:dyDescent="0.2">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x14ac:dyDescent="0.2">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x14ac:dyDescent="0.2">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x14ac:dyDescent="0.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2">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2">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2">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2">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2">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2">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2">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2">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2">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2">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2">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2">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2">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2">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2">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2">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2">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2">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2">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2">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2">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2">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2">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2">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2">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5">
    <mergeCell ref="A2:B2"/>
    <mergeCell ref="N2:O2"/>
    <mergeCell ref="N8:O8"/>
    <mergeCell ref="N17:O17"/>
    <mergeCell ref="H26:I26"/>
  </mergeCells>
  <hyperlinks>
    <hyperlink ref="A2" r:id="rId1" xr:uid="{00000000-0004-0000-0500-000000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workbookViewId="0"/>
  </sheetViews>
  <sheetFormatPr baseColWidth="10" defaultColWidth="14.5" defaultRowHeight="15" customHeight="1" x14ac:dyDescent="0.15"/>
  <cols>
    <col min="1" max="1" width="16.6640625" customWidth="1"/>
    <col min="2" max="3" width="21.33203125" customWidth="1"/>
    <col min="4" max="4" width="13.5" customWidth="1"/>
    <col min="5" max="6" width="14.5" customWidth="1"/>
    <col min="7" max="7" width="9.1640625" customWidth="1"/>
    <col min="8" max="8" width="35.5" customWidth="1"/>
    <col min="9" max="9" width="17.1640625" customWidth="1"/>
    <col min="10" max="10" width="4.83203125" customWidth="1"/>
    <col min="11" max="11" width="31.5" customWidth="1"/>
    <col min="12" max="12" width="17.1640625" customWidth="1"/>
    <col min="13" max="13" width="6.5" customWidth="1"/>
    <col min="14" max="14" width="75" customWidth="1"/>
  </cols>
  <sheetData>
    <row r="1" spans="1:26" ht="15.75" customHeight="1" x14ac:dyDescent="0.2">
      <c r="A1" s="38" t="s">
        <v>311</v>
      </c>
      <c r="B1" s="39"/>
      <c r="C1" s="39"/>
      <c r="D1" s="3"/>
      <c r="E1" s="3"/>
      <c r="F1" s="3"/>
      <c r="G1" s="40"/>
      <c r="H1" s="38" t="s">
        <v>312</v>
      </c>
      <c r="I1" s="40"/>
      <c r="J1" s="40"/>
      <c r="K1" s="73"/>
      <c r="L1" s="40"/>
      <c r="M1" s="40"/>
      <c r="N1" s="2"/>
      <c r="O1" s="41"/>
      <c r="P1" s="41"/>
      <c r="Q1" s="41"/>
      <c r="R1" s="41"/>
      <c r="S1" s="41"/>
      <c r="T1" s="41"/>
      <c r="U1" s="41"/>
      <c r="V1" s="41"/>
      <c r="W1" s="41"/>
      <c r="X1" s="41"/>
      <c r="Y1" s="41"/>
      <c r="Z1" s="41"/>
    </row>
    <row r="2" spans="1:26" ht="31.5" customHeight="1" x14ac:dyDescent="0.2">
      <c r="A2" s="218" t="s">
        <v>313</v>
      </c>
      <c r="B2" s="217"/>
      <c r="C2" s="43"/>
      <c r="D2" s="16"/>
      <c r="E2" s="16"/>
      <c r="F2" s="16"/>
      <c r="G2" s="12"/>
      <c r="H2" s="44" t="s">
        <v>73</v>
      </c>
      <c r="I2" s="45"/>
      <c r="J2" s="12"/>
      <c r="K2" s="44" t="s">
        <v>74</v>
      </c>
      <c r="L2" s="45"/>
      <c r="M2" s="12"/>
      <c r="N2" s="44" t="s">
        <v>76</v>
      </c>
      <c r="O2" s="41"/>
      <c r="P2" s="41"/>
      <c r="Q2" s="41"/>
      <c r="R2" s="41"/>
      <c r="S2" s="41"/>
      <c r="T2" s="41"/>
      <c r="U2" s="41"/>
      <c r="V2" s="41"/>
      <c r="W2" s="41"/>
      <c r="X2" s="41"/>
      <c r="Y2" s="41"/>
      <c r="Z2" s="41"/>
    </row>
    <row r="3" spans="1:26" ht="31.5" customHeight="1" x14ac:dyDescent="0.2">
      <c r="A3" s="7" t="s">
        <v>18</v>
      </c>
      <c r="B3" s="7" t="s">
        <v>77</v>
      </c>
      <c r="C3" s="7" t="s">
        <v>78</v>
      </c>
      <c r="D3" s="47" t="s">
        <v>79</v>
      </c>
      <c r="E3" s="47" t="s">
        <v>80</v>
      </c>
      <c r="F3" s="48" t="s">
        <v>81</v>
      </c>
      <c r="G3" s="12"/>
      <c r="H3" s="49" t="s">
        <v>82</v>
      </c>
      <c r="I3" s="50" t="s">
        <v>83</v>
      </c>
      <c r="J3" s="36"/>
      <c r="K3" s="49" t="s">
        <v>84</v>
      </c>
      <c r="L3" s="85" t="s">
        <v>314</v>
      </c>
      <c r="M3" s="12"/>
      <c r="N3" s="51" t="s">
        <v>315</v>
      </c>
      <c r="O3" s="41"/>
      <c r="P3" s="41"/>
      <c r="Q3" s="41"/>
      <c r="R3" s="41"/>
      <c r="S3" s="41"/>
      <c r="T3" s="41"/>
      <c r="U3" s="41"/>
      <c r="V3" s="41"/>
      <c r="W3" s="41"/>
      <c r="X3" s="41"/>
      <c r="Y3" s="41"/>
      <c r="Z3" s="41"/>
    </row>
    <row r="4" spans="1:26" ht="31.5" customHeight="1" x14ac:dyDescent="0.2">
      <c r="A4" s="16">
        <v>0</v>
      </c>
      <c r="B4" s="43" t="s">
        <v>271</v>
      </c>
      <c r="C4" s="43" t="s">
        <v>272</v>
      </c>
      <c r="D4" s="15">
        <f>((I23*I17)/2)</f>
        <v>0.73958136286060605</v>
      </c>
      <c r="E4" s="15">
        <f>8*I17</f>
        <v>1.1578181818181819</v>
      </c>
      <c r="F4" s="15">
        <f t="shared" ref="F4:F39" si="0">IFERROR(D4+E4,"error")</f>
        <v>1.8973995446787879</v>
      </c>
      <c r="G4" s="12"/>
      <c r="H4" s="52" t="s">
        <v>91</v>
      </c>
      <c r="I4" s="77">
        <v>1100</v>
      </c>
      <c r="J4" s="12"/>
      <c r="K4" s="52" t="s">
        <v>92</v>
      </c>
      <c r="L4" s="77">
        <v>3</v>
      </c>
      <c r="M4" s="12"/>
      <c r="N4" s="57" t="s">
        <v>100</v>
      </c>
      <c r="O4" s="41"/>
      <c r="P4" s="41"/>
      <c r="Q4" s="41"/>
      <c r="R4" s="41"/>
      <c r="S4" s="41"/>
      <c r="T4" s="41"/>
      <c r="U4" s="41"/>
      <c r="V4" s="41"/>
      <c r="W4" s="41"/>
      <c r="X4" s="41"/>
      <c r="Y4" s="41"/>
      <c r="Z4" s="41"/>
    </row>
    <row r="5" spans="1:26" ht="31.5" customHeight="1" x14ac:dyDescent="0.2">
      <c r="A5" s="16">
        <v>1</v>
      </c>
      <c r="B5" s="43" t="s">
        <v>316</v>
      </c>
      <c r="C5" s="43" t="s">
        <v>317</v>
      </c>
      <c r="D5" s="15">
        <f>L11</f>
        <v>0.42212121212121212</v>
      </c>
      <c r="E5" s="15">
        <f>((I23*L21)/4)</f>
        <v>1.078556154171717</v>
      </c>
      <c r="F5" s="15">
        <f t="shared" si="0"/>
        <v>1.5006773662929291</v>
      </c>
      <c r="G5" s="12"/>
      <c r="H5" s="52" t="s">
        <v>97</v>
      </c>
      <c r="I5" s="87">
        <v>1.99</v>
      </c>
      <c r="J5" s="12"/>
      <c r="K5" s="55" t="s">
        <v>98</v>
      </c>
      <c r="L5" s="79">
        <v>1000</v>
      </c>
      <c r="M5" s="12"/>
      <c r="N5" s="15"/>
      <c r="O5" s="41"/>
      <c r="P5" s="41"/>
      <c r="Q5" s="41"/>
      <c r="R5" s="41"/>
      <c r="S5" s="41"/>
      <c r="T5" s="41"/>
      <c r="U5" s="41"/>
      <c r="V5" s="41"/>
      <c r="W5" s="41"/>
      <c r="X5" s="41"/>
      <c r="Y5" s="41"/>
      <c r="Z5" s="41"/>
    </row>
    <row r="6" spans="1:26" ht="31.5" customHeight="1" x14ac:dyDescent="0.2">
      <c r="A6" s="16">
        <v>2</v>
      </c>
      <c r="B6" s="43" t="s">
        <v>318</v>
      </c>
      <c r="C6" s="43" t="s">
        <v>319</v>
      </c>
      <c r="D6" s="15">
        <f>L16</f>
        <v>0.42212121212121212</v>
      </c>
      <c r="E6" s="15">
        <f>((I23*L11)/4)+((I23*L16)/4)</f>
        <v>2.157112308343434</v>
      </c>
      <c r="F6" s="15">
        <f t="shared" si="0"/>
        <v>2.5792335204646459</v>
      </c>
      <c r="G6" s="12"/>
      <c r="H6" s="58" t="s">
        <v>104</v>
      </c>
      <c r="I6" s="59">
        <f>I5/I4</f>
        <v>1.8090909090909091E-3</v>
      </c>
      <c r="J6" s="12"/>
      <c r="K6" s="58" t="s">
        <v>104</v>
      </c>
      <c r="L6" s="60">
        <f>L5/L4*$I$6</f>
        <v>0.60303030303030303</v>
      </c>
      <c r="M6" s="12"/>
      <c r="N6" s="34"/>
      <c r="O6" s="41"/>
      <c r="P6" s="41"/>
      <c r="Q6" s="41"/>
      <c r="R6" s="41"/>
      <c r="S6" s="41"/>
      <c r="T6" s="41"/>
      <c r="U6" s="41"/>
      <c r="V6" s="41"/>
      <c r="W6" s="41"/>
      <c r="X6" s="41"/>
      <c r="Y6" s="41"/>
      <c r="Z6" s="41"/>
    </row>
    <row r="7" spans="1:26" ht="31.5" customHeight="1" x14ac:dyDescent="0.2">
      <c r="A7" s="16">
        <v>3</v>
      </c>
      <c r="B7" s="43" t="s">
        <v>320</v>
      </c>
      <c r="C7" s="43" t="s">
        <v>302</v>
      </c>
      <c r="D7" s="15">
        <f>50*I6</f>
        <v>9.0454545454545454E-2</v>
      </c>
      <c r="E7" s="15">
        <f>300*I6</f>
        <v>0.54272727272727272</v>
      </c>
      <c r="F7" s="15">
        <f t="shared" si="0"/>
        <v>0.63318181818181818</v>
      </c>
      <c r="G7" s="12"/>
      <c r="H7" s="61"/>
      <c r="I7" s="89"/>
      <c r="J7" s="12"/>
      <c r="K7" s="52"/>
      <c r="L7" s="79"/>
      <c r="M7" s="12"/>
      <c r="N7" s="15"/>
      <c r="O7" s="41"/>
      <c r="P7" s="41"/>
      <c r="Q7" s="41"/>
      <c r="R7" s="41"/>
      <c r="S7" s="41"/>
      <c r="T7" s="41"/>
      <c r="U7" s="41"/>
      <c r="V7" s="41"/>
      <c r="W7" s="41"/>
      <c r="X7" s="41"/>
      <c r="Y7" s="41"/>
      <c r="Z7" s="41"/>
    </row>
    <row r="8" spans="1:26" ht="31.5" customHeight="1" x14ac:dyDescent="0.2">
      <c r="A8" s="16">
        <v>4</v>
      </c>
      <c r="B8" s="43" t="s">
        <v>321</v>
      </c>
      <c r="C8" s="43" t="s">
        <v>274</v>
      </c>
      <c r="D8" s="15">
        <f>((I23*L11)/6)</f>
        <v>0.71903743611447801</v>
      </c>
      <c r="E8" s="15">
        <v>0</v>
      </c>
      <c r="F8" s="15">
        <f t="shared" si="0"/>
        <v>0.71903743611447801</v>
      </c>
      <c r="G8" s="12"/>
      <c r="H8" s="49" t="s">
        <v>110</v>
      </c>
      <c r="I8" s="85" t="s">
        <v>111</v>
      </c>
      <c r="J8" s="36"/>
      <c r="K8" s="49" t="s">
        <v>112</v>
      </c>
      <c r="L8" s="85" t="s">
        <v>322</v>
      </c>
      <c r="M8" s="12"/>
      <c r="N8" s="63"/>
      <c r="O8" s="41"/>
      <c r="P8" s="41"/>
      <c r="Q8" s="41"/>
      <c r="R8" s="41"/>
      <c r="S8" s="41"/>
      <c r="T8" s="41"/>
      <c r="U8" s="41"/>
      <c r="V8" s="41"/>
      <c r="W8" s="41"/>
      <c r="X8" s="41"/>
      <c r="Y8" s="41"/>
      <c r="Z8" s="41"/>
    </row>
    <row r="9" spans="1:26" ht="31.5" customHeight="1" x14ac:dyDescent="0.2">
      <c r="A9" s="16">
        <v>5</v>
      </c>
      <c r="B9" s="43" t="s">
        <v>323</v>
      </c>
      <c r="C9" s="43" t="s">
        <v>324</v>
      </c>
      <c r="D9" s="15">
        <f>((11*L21)/6)</f>
        <v>0.77388888888888896</v>
      </c>
      <c r="E9" s="15">
        <f>L11+L16</f>
        <v>0.84424242424242424</v>
      </c>
      <c r="F9" s="15">
        <f t="shared" si="0"/>
        <v>1.6181313131313133</v>
      </c>
      <c r="G9" s="12"/>
      <c r="H9" s="52" t="s">
        <v>117</v>
      </c>
      <c r="I9" s="77" t="s">
        <v>111</v>
      </c>
      <c r="J9" s="12"/>
      <c r="K9" s="52" t="s">
        <v>92</v>
      </c>
      <c r="L9" s="77">
        <v>3</v>
      </c>
      <c r="M9" s="12"/>
      <c r="N9" s="15"/>
      <c r="O9" s="41"/>
      <c r="P9" s="41"/>
      <c r="Q9" s="41"/>
      <c r="R9" s="41"/>
      <c r="S9" s="41"/>
      <c r="T9" s="41"/>
      <c r="U9" s="41"/>
      <c r="V9" s="41"/>
      <c r="W9" s="41"/>
      <c r="X9" s="41"/>
      <c r="Y9" s="41"/>
      <c r="Z9" s="41"/>
    </row>
    <row r="10" spans="1:26" ht="31.5" customHeight="1" x14ac:dyDescent="0.2">
      <c r="A10" s="16">
        <v>6</v>
      </c>
      <c r="B10" s="43" t="s">
        <v>320</v>
      </c>
      <c r="C10" s="43" t="s">
        <v>325</v>
      </c>
      <c r="D10" s="15">
        <f>50*I6</f>
        <v>9.0454545454545454E-2</v>
      </c>
      <c r="E10" s="15">
        <f>L11+L21</f>
        <v>0.84424242424242424</v>
      </c>
      <c r="F10" s="15">
        <f t="shared" si="0"/>
        <v>0.93469696969696969</v>
      </c>
      <c r="G10" s="12"/>
      <c r="H10" s="55" t="s">
        <v>121</v>
      </c>
      <c r="I10" s="79" t="s">
        <v>111</v>
      </c>
      <c r="J10" s="12"/>
      <c r="K10" s="55" t="s">
        <v>98</v>
      </c>
      <c r="L10" s="79">
        <v>700</v>
      </c>
      <c r="M10" s="12"/>
      <c r="N10" s="15"/>
      <c r="O10" s="41"/>
      <c r="P10" s="41"/>
      <c r="Q10" s="41"/>
      <c r="R10" s="41"/>
      <c r="S10" s="41"/>
      <c r="T10" s="41"/>
      <c r="U10" s="41"/>
      <c r="V10" s="41"/>
      <c r="W10" s="41"/>
      <c r="X10" s="41"/>
      <c r="Y10" s="41"/>
      <c r="Z10" s="41"/>
    </row>
    <row r="11" spans="1:26" ht="31.5" customHeight="1" x14ac:dyDescent="0.2">
      <c r="A11" s="16">
        <v>7</v>
      </c>
      <c r="B11" s="43" t="s">
        <v>326</v>
      </c>
      <c r="C11" s="43" t="s">
        <v>327</v>
      </c>
      <c r="D11" s="15">
        <f>((I23*L16)/4)</f>
        <v>1.078556154171717</v>
      </c>
      <c r="E11" s="15">
        <f>((I23*L16)/2)+((I23*I17)/2)</f>
        <v>2.8966936712040399</v>
      </c>
      <c r="F11" s="15">
        <f t="shared" si="0"/>
        <v>3.9752498253757569</v>
      </c>
      <c r="G11" s="12"/>
      <c r="H11" s="58" t="s">
        <v>104</v>
      </c>
      <c r="I11" s="59" t="str">
        <f>IF(I9="N/A","N/A",I10/I9)</f>
        <v>N/A</v>
      </c>
      <c r="J11" s="12"/>
      <c r="K11" s="58" t="s">
        <v>104</v>
      </c>
      <c r="L11" s="60">
        <f>L10/L9*$I$6</f>
        <v>0.42212121212121212</v>
      </c>
      <c r="M11" s="12"/>
      <c r="N11" s="15"/>
      <c r="O11" s="41"/>
      <c r="P11" s="41"/>
      <c r="Q11" s="41"/>
      <c r="R11" s="41"/>
      <c r="S11" s="41"/>
      <c r="T11" s="41"/>
      <c r="U11" s="41"/>
      <c r="V11" s="41"/>
      <c r="W11" s="41"/>
      <c r="X11" s="41"/>
      <c r="Y11" s="41"/>
      <c r="Z11" s="41"/>
    </row>
    <row r="12" spans="1:26" ht="31.5" customHeight="1" x14ac:dyDescent="0.2">
      <c r="A12" s="16">
        <v>8</v>
      </c>
      <c r="B12" s="43" t="s">
        <v>271</v>
      </c>
      <c r="C12" s="65" t="s">
        <v>328</v>
      </c>
      <c r="D12" s="15">
        <f>((I23*I17)/2)</f>
        <v>0.73958136286060605</v>
      </c>
      <c r="E12" s="15">
        <f>(200*I6)+(1*L21)+(1*L6)</f>
        <v>1.386969696969697</v>
      </c>
      <c r="F12" s="15">
        <f t="shared" si="0"/>
        <v>2.126551059830303</v>
      </c>
      <c r="G12" s="12"/>
      <c r="H12" s="52"/>
      <c r="I12" s="79"/>
      <c r="J12" s="12"/>
      <c r="K12" s="52"/>
      <c r="L12" s="90"/>
      <c r="M12" s="12"/>
      <c r="N12" s="15"/>
      <c r="O12" s="41"/>
      <c r="P12" s="41"/>
      <c r="Q12" s="41"/>
      <c r="R12" s="41"/>
      <c r="S12" s="41"/>
      <c r="T12" s="41"/>
      <c r="U12" s="41"/>
      <c r="V12" s="41"/>
      <c r="W12" s="41"/>
      <c r="X12" s="41"/>
      <c r="Y12" s="41"/>
      <c r="Z12" s="41"/>
    </row>
    <row r="13" spans="1:26" ht="31.5" customHeight="1" x14ac:dyDescent="0.2">
      <c r="A13" s="16">
        <v>9</v>
      </c>
      <c r="B13" s="43" t="s">
        <v>320</v>
      </c>
      <c r="C13" s="43" t="s">
        <v>329</v>
      </c>
      <c r="D13" s="15">
        <f>50*I6</f>
        <v>9.0454545454545454E-2</v>
      </c>
      <c r="E13" s="15">
        <f>((I23*L11)/2)+((I23*L21)/2)</f>
        <v>4.3142246166868681</v>
      </c>
      <c r="F13" s="15">
        <f t="shared" si="0"/>
        <v>4.4046791621414139</v>
      </c>
      <c r="G13" s="12"/>
      <c r="H13" s="44" t="s">
        <v>130</v>
      </c>
      <c r="I13" s="45"/>
      <c r="J13" s="36"/>
      <c r="K13" s="49" t="s">
        <v>131</v>
      </c>
      <c r="L13" s="85" t="s">
        <v>330</v>
      </c>
      <c r="M13" s="12"/>
      <c r="N13" s="34"/>
      <c r="O13" s="41"/>
      <c r="P13" s="41"/>
      <c r="Q13" s="41"/>
      <c r="R13" s="41"/>
      <c r="S13" s="41"/>
      <c r="T13" s="41"/>
      <c r="U13" s="41"/>
      <c r="V13" s="41"/>
      <c r="W13" s="41"/>
      <c r="X13" s="41"/>
      <c r="Y13" s="41"/>
      <c r="Z13" s="41"/>
    </row>
    <row r="14" spans="1:26" ht="31.5" customHeight="1" x14ac:dyDescent="0.2">
      <c r="A14" s="16">
        <v>10</v>
      </c>
      <c r="B14" s="43" t="s">
        <v>331</v>
      </c>
      <c r="C14" s="43" t="s">
        <v>310</v>
      </c>
      <c r="D14" s="15">
        <f>(100*I6)+(L11)+(L21)</f>
        <v>1.0251515151515151</v>
      </c>
      <c r="E14" s="15">
        <v>0</v>
      </c>
      <c r="F14" s="15">
        <f t="shared" si="0"/>
        <v>1.0251515151515151</v>
      </c>
      <c r="G14" s="12"/>
      <c r="H14" s="80" t="s">
        <v>135</v>
      </c>
      <c r="I14" s="85" t="s">
        <v>136</v>
      </c>
      <c r="J14" s="12"/>
      <c r="K14" s="52" t="s">
        <v>92</v>
      </c>
      <c r="L14" s="77">
        <v>3</v>
      </c>
      <c r="M14" s="12"/>
      <c r="N14" s="66"/>
      <c r="O14" s="41"/>
      <c r="P14" s="41"/>
      <c r="Q14" s="41"/>
      <c r="R14" s="41"/>
      <c r="S14" s="41"/>
      <c r="T14" s="41"/>
      <c r="U14" s="41"/>
      <c r="V14" s="41"/>
      <c r="W14" s="41"/>
      <c r="X14" s="41"/>
      <c r="Y14" s="41"/>
      <c r="Z14" s="41"/>
    </row>
    <row r="15" spans="1:26" ht="31.5" customHeight="1" x14ac:dyDescent="0.2">
      <c r="A15" s="16">
        <v>11</v>
      </c>
      <c r="B15" s="43" t="s">
        <v>318</v>
      </c>
      <c r="C15" s="43" t="s">
        <v>302</v>
      </c>
      <c r="D15" s="15">
        <f>L16</f>
        <v>0.42212121212121212</v>
      </c>
      <c r="E15" s="15">
        <f>300*I6</f>
        <v>0.54272727272727272</v>
      </c>
      <c r="F15" s="15">
        <f t="shared" si="0"/>
        <v>0.96484848484848484</v>
      </c>
      <c r="G15" s="12"/>
      <c r="H15" s="76" t="s">
        <v>117</v>
      </c>
      <c r="I15" s="77">
        <v>5</v>
      </c>
      <c r="J15" s="12"/>
      <c r="K15" s="55" t="s">
        <v>98</v>
      </c>
      <c r="L15" s="79">
        <v>700</v>
      </c>
      <c r="M15" s="12"/>
      <c r="N15" s="16"/>
      <c r="O15" s="41"/>
      <c r="P15" s="41"/>
      <c r="Q15" s="41"/>
      <c r="R15" s="41"/>
      <c r="S15" s="41"/>
      <c r="T15" s="41"/>
      <c r="U15" s="41"/>
      <c r="V15" s="41"/>
      <c r="W15" s="41"/>
      <c r="X15" s="41"/>
      <c r="Y15" s="41"/>
      <c r="Z15" s="41"/>
    </row>
    <row r="16" spans="1:26" ht="31.5" customHeight="1" x14ac:dyDescent="0.2">
      <c r="A16" s="16">
        <v>12</v>
      </c>
      <c r="B16" s="43" t="s">
        <v>280</v>
      </c>
      <c r="C16" s="43" t="s">
        <v>332</v>
      </c>
      <c r="D16" s="15">
        <v>0</v>
      </c>
      <c r="E16" s="15">
        <f>L6</f>
        <v>0.60303030303030303</v>
      </c>
      <c r="F16" s="15">
        <f t="shared" si="0"/>
        <v>0.60303030303030303</v>
      </c>
      <c r="G16" s="12"/>
      <c r="H16" s="76" t="s">
        <v>139</v>
      </c>
      <c r="I16" s="77">
        <v>400</v>
      </c>
      <c r="J16" s="12"/>
      <c r="K16" s="58" t="s">
        <v>104</v>
      </c>
      <c r="L16" s="60">
        <f>L15/L14*$I$6</f>
        <v>0.42212121212121212</v>
      </c>
      <c r="M16" s="12"/>
      <c r="N16" s="16"/>
      <c r="O16" s="41"/>
      <c r="P16" s="41"/>
      <c r="Q16" s="41"/>
      <c r="R16" s="41"/>
      <c r="S16" s="41"/>
      <c r="T16" s="41"/>
      <c r="U16" s="41"/>
      <c r="V16" s="41"/>
      <c r="W16" s="41"/>
      <c r="X16" s="41"/>
      <c r="Y16" s="41"/>
      <c r="Z16" s="41"/>
    </row>
    <row r="17" spans="1:26" ht="31.5" customHeight="1" x14ac:dyDescent="0.2">
      <c r="A17" s="16">
        <v>13</v>
      </c>
      <c r="B17" s="43" t="s">
        <v>333</v>
      </c>
      <c r="C17" s="43" t="s">
        <v>325</v>
      </c>
      <c r="D17" s="15">
        <f>((I23*L11)/4)</f>
        <v>1.078556154171717</v>
      </c>
      <c r="E17" s="15">
        <f>L11+L21</f>
        <v>0.84424242424242424</v>
      </c>
      <c r="F17" s="15">
        <f t="shared" si="0"/>
        <v>1.9227985784141413</v>
      </c>
      <c r="G17" s="12"/>
      <c r="H17" s="58" t="s">
        <v>104</v>
      </c>
      <c r="I17" s="99">
        <f>I16/I15*I6</f>
        <v>0.14472727272727273</v>
      </c>
      <c r="J17" s="12"/>
      <c r="K17" s="12"/>
      <c r="L17" s="87"/>
      <c r="M17" s="12"/>
      <c r="N17" s="16"/>
      <c r="O17" s="41"/>
      <c r="P17" s="41"/>
      <c r="Q17" s="41"/>
      <c r="R17" s="41"/>
      <c r="S17" s="41"/>
      <c r="T17" s="41"/>
      <c r="U17" s="41"/>
      <c r="V17" s="41"/>
      <c r="W17" s="41"/>
      <c r="X17" s="41"/>
      <c r="Y17" s="41"/>
      <c r="Z17" s="41"/>
    </row>
    <row r="18" spans="1:26" ht="31.5" customHeight="1" x14ac:dyDescent="0.2">
      <c r="A18" s="16">
        <v>14</v>
      </c>
      <c r="B18" s="43" t="s">
        <v>326</v>
      </c>
      <c r="C18" s="43" t="s">
        <v>327</v>
      </c>
      <c r="D18" s="15">
        <f>((I23*L16)/4)</f>
        <v>1.078556154171717</v>
      </c>
      <c r="E18" s="15">
        <f>((I23*L16)/2)+((I23*I17)/2)</f>
        <v>2.8966936712040399</v>
      </c>
      <c r="F18" s="15">
        <f t="shared" si="0"/>
        <v>3.9752498253757569</v>
      </c>
      <c r="G18" s="12"/>
      <c r="H18" s="12"/>
      <c r="I18" s="12"/>
      <c r="J18" s="36"/>
      <c r="K18" s="49" t="s">
        <v>143</v>
      </c>
      <c r="L18" s="83" t="s">
        <v>334</v>
      </c>
      <c r="M18" s="12"/>
      <c r="N18" s="16"/>
      <c r="O18" s="41"/>
      <c r="P18" s="41"/>
      <c r="Q18" s="41"/>
      <c r="R18" s="41"/>
      <c r="S18" s="41"/>
      <c r="T18" s="41"/>
      <c r="U18" s="41"/>
      <c r="V18" s="41"/>
      <c r="W18" s="41"/>
      <c r="X18" s="41"/>
      <c r="Y18" s="41"/>
      <c r="Z18" s="41"/>
    </row>
    <row r="19" spans="1:26" ht="31.5" customHeight="1" x14ac:dyDescent="0.2">
      <c r="A19" s="16">
        <v>15</v>
      </c>
      <c r="B19" s="43" t="s">
        <v>271</v>
      </c>
      <c r="C19" s="43" t="s">
        <v>335</v>
      </c>
      <c r="D19" s="15">
        <f>((I23*I17)/2)</f>
        <v>0.73958136286060605</v>
      </c>
      <c r="E19" s="15">
        <f>(300*I6)+(1*L11)+(1*L16)+(1*L21)</f>
        <v>1.8090909090909091</v>
      </c>
      <c r="F19" s="15">
        <f t="shared" si="0"/>
        <v>2.5486722719515154</v>
      </c>
      <c r="G19" s="12"/>
      <c r="H19" s="44" t="s">
        <v>147</v>
      </c>
      <c r="I19" s="45"/>
      <c r="J19" s="12"/>
      <c r="K19" s="52" t="s">
        <v>92</v>
      </c>
      <c r="L19" s="77">
        <v>3</v>
      </c>
      <c r="M19" s="12"/>
      <c r="N19" s="16"/>
      <c r="O19" s="41"/>
      <c r="P19" s="41"/>
      <c r="Q19" s="41"/>
      <c r="R19" s="41"/>
      <c r="S19" s="41"/>
      <c r="T19" s="41"/>
      <c r="U19" s="41"/>
      <c r="V19" s="41"/>
      <c r="W19" s="41"/>
      <c r="X19" s="41"/>
      <c r="Y19" s="41"/>
      <c r="Z19" s="41"/>
    </row>
    <row r="20" spans="1:26" ht="31.5" customHeight="1" x14ac:dyDescent="0.2">
      <c r="A20" s="16">
        <v>16</v>
      </c>
      <c r="B20" s="43" t="s">
        <v>275</v>
      </c>
      <c r="C20" s="43" t="s">
        <v>302</v>
      </c>
      <c r="D20" s="15">
        <f>100*I6</f>
        <v>0.18090909090909091</v>
      </c>
      <c r="E20" s="15">
        <f>300*I6</f>
        <v>0.54272727272727272</v>
      </c>
      <c r="F20" s="15">
        <f t="shared" si="0"/>
        <v>0.72363636363636363</v>
      </c>
      <c r="G20" s="12"/>
      <c r="H20" s="12" t="s">
        <v>148</v>
      </c>
      <c r="I20" s="23">
        <f>'Usage Data (cvs)'!C3</f>
        <v>10.220345466666666</v>
      </c>
      <c r="J20" s="12"/>
      <c r="K20" s="55" t="s">
        <v>98</v>
      </c>
      <c r="L20" s="79">
        <v>700</v>
      </c>
      <c r="M20" s="12"/>
      <c r="N20" s="16"/>
      <c r="O20" s="41"/>
      <c r="P20" s="41"/>
      <c r="Q20" s="41"/>
      <c r="R20" s="41"/>
      <c r="S20" s="41"/>
      <c r="T20" s="41"/>
      <c r="U20" s="41"/>
      <c r="V20" s="41"/>
      <c r="W20" s="41"/>
      <c r="X20" s="41"/>
      <c r="Y20" s="41"/>
      <c r="Z20" s="41"/>
    </row>
    <row r="21" spans="1:26" ht="31.5" customHeight="1" x14ac:dyDescent="0.2">
      <c r="A21" s="16">
        <v>17</v>
      </c>
      <c r="B21" s="43" t="s">
        <v>331</v>
      </c>
      <c r="C21" s="43" t="s">
        <v>336</v>
      </c>
      <c r="D21" s="15">
        <f>(100*I6)+(L11)+(L21)</f>
        <v>1.0251515151515151</v>
      </c>
      <c r="E21" s="15">
        <v>0</v>
      </c>
      <c r="F21" s="15">
        <f t="shared" si="0"/>
        <v>1.0251515151515151</v>
      </c>
      <c r="G21" s="12"/>
      <c r="H21" s="12" t="s">
        <v>149</v>
      </c>
      <c r="I21" s="23">
        <f>'Usage Data (cvs)'!B3</f>
        <v>4.1097759999999992</v>
      </c>
      <c r="J21" s="12"/>
      <c r="K21" s="58" t="s">
        <v>104</v>
      </c>
      <c r="L21" s="60">
        <f>L20/L19*$I$6</f>
        <v>0.42212121212121212</v>
      </c>
      <c r="M21" s="68"/>
      <c r="N21" s="16"/>
      <c r="O21" s="41"/>
      <c r="P21" s="41"/>
      <c r="Q21" s="41"/>
      <c r="R21" s="41"/>
      <c r="S21" s="41"/>
      <c r="T21" s="41"/>
      <c r="U21" s="41"/>
      <c r="V21" s="41"/>
      <c r="W21" s="41"/>
      <c r="X21" s="41"/>
      <c r="Y21" s="41"/>
      <c r="Z21" s="41"/>
    </row>
    <row r="22" spans="1:26" ht="31.5" customHeight="1" x14ac:dyDescent="0.2">
      <c r="A22" s="16">
        <v>18</v>
      </c>
      <c r="B22" s="43" t="s">
        <v>332</v>
      </c>
      <c r="C22" s="43" t="s">
        <v>324</v>
      </c>
      <c r="D22" s="15">
        <f>L6</f>
        <v>0.60303030303030303</v>
      </c>
      <c r="E22" s="15">
        <f>L11+L16</f>
        <v>0.84424242424242424</v>
      </c>
      <c r="F22" s="15">
        <f t="shared" si="0"/>
        <v>1.4472727272727273</v>
      </c>
      <c r="G22" s="12"/>
      <c r="H22" s="12" t="s">
        <v>150</v>
      </c>
      <c r="I22" s="13">
        <v>2</v>
      </c>
      <c r="J22" s="12"/>
      <c r="K22" s="64"/>
      <c r="L22" s="92"/>
      <c r="M22" s="68"/>
      <c r="N22" s="16"/>
      <c r="O22" s="41"/>
      <c r="P22" s="41"/>
      <c r="Q22" s="41"/>
      <c r="R22" s="41"/>
      <c r="S22" s="41"/>
      <c r="T22" s="41"/>
      <c r="U22" s="41"/>
      <c r="V22" s="41"/>
      <c r="W22" s="41"/>
      <c r="X22" s="41"/>
      <c r="Y22" s="41"/>
      <c r="Z22" s="41"/>
    </row>
    <row r="23" spans="1:26" ht="31.5" customHeight="1" x14ac:dyDescent="0.2">
      <c r="A23" s="16">
        <v>19</v>
      </c>
      <c r="B23" s="43" t="s">
        <v>294</v>
      </c>
      <c r="C23" s="43" t="s">
        <v>337</v>
      </c>
      <c r="D23" s="15">
        <v>0</v>
      </c>
      <c r="E23" s="15">
        <f>L21+((I23*L11)/2)</f>
        <v>2.5792335204646459</v>
      </c>
      <c r="F23" s="15">
        <f t="shared" si="0"/>
        <v>2.5792335204646459</v>
      </c>
      <c r="G23" s="12"/>
      <c r="H23" s="58" t="s">
        <v>152</v>
      </c>
      <c r="I23" s="70">
        <f>I20</f>
        <v>10.220345466666666</v>
      </c>
      <c r="J23" s="36"/>
      <c r="K23" s="49" t="s">
        <v>153</v>
      </c>
      <c r="L23" s="85" t="s">
        <v>154</v>
      </c>
      <c r="M23" s="68"/>
      <c r="N23" s="16"/>
      <c r="O23" s="41"/>
      <c r="P23" s="41"/>
      <c r="Q23" s="41"/>
      <c r="R23" s="41"/>
      <c r="S23" s="41"/>
      <c r="T23" s="41"/>
      <c r="U23" s="41"/>
      <c r="V23" s="41"/>
      <c r="W23" s="41"/>
      <c r="X23" s="41"/>
      <c r="Y23" s="41"/>
      <c r="Z23" s="41"/>
    </row>
    <row r="24" spans="1:26" ht="31.5" customHeight="1" x14ac:dyDescent="0.2">
      <c r="A24" s="16">
        <v>20</v>
      </c>
      <c r="B24" s="43" t="s">
        <v>338</v>
      </c>
      <c r="C24" s="43" t="s">
        <v>327</v>
      </c>
      <c r="D24" s="15">
        <v>0</v>
      </c>
      <c r="E24" s="15">
        <f>((I23*L16)/2)+((I23*I17)/2)</f>
        <v>2.8966936712040399</v>
      </c>
      <c r="F24" s="15">
        <f t="shared" si="0"/>
        <v>2.8966936712040399</v>
      </c>
      <c r="G24" s="12"/>
      <c r="H24" s="58" t="s">
        <v>156</v>
      </c>
      <c r="I24" s="71">
        <f>I20*I21/I22</f>
        <v>21.001665255307728</v>
      </c>
      <c r="J24" s="12"/>
      <c r="K24" s="52" t="s">
        <v>92</v>
      </c>
      <c r="L24" s="77">
        <v>1</v>
      </c>
      <c r="M24" s="68"/>
      <c r="N24" s="16"/>
      <c r="O24" s="41"/>
      <c r="P24" s="41"/>
      <c r="Q24" s="41"/>
      <c r="R24" s="41"/>
      <c r="S24" s="41"/>
      <c r="T24" s="41"/>
      <c r="U24" s="41"/>
      <c r="V24" s="41"/>
      <c r="W24" s="41"/>
      <c r="X24" s="41"/>
      <c r="Y24" s="41"/>
      <c r="Z24" s="41"/>
    </row>
    <row r="25" spans="1:26" ht="31.5" customHeight="1" x14ac:dyDescent="0.2">
      <c r="A25" s="16">
        <v>21</v>
      </c>
      <c r="B25" s="43" t="s">
        <v>275</v>
      </c>
      <c r="C25" s="43" t="s">
        <v>316</v>
      </c>
      <c r="D25" s="15">
        <f>100*I6</f>
        <v>0.18090909090909091</v>
      </c>
      <c r="E25" s="15">
        <f>L11</f>
        <v>0.42212121212121212</v>
      </c>
      <c r="F25" s="15">
        <f t="shared" si="0"/>
        <v>0.60303030303030303</v>
      </c>
      <c r="G25" s="12"/>
      <c r="H25" s="216"/>
      <c r="I25" s="217"/>
      <c r="J25" s="12"/>
      <c r="K25" s="55" t="s">
        <v>98</v>
      </c>
      <c r="L25" s="79">
        <v>500</v>
      </c>
      <c r="M25" s="68"/>
      <c r="N25" s="16"/>
      <c r="O25" s="41"/>
      <c r="P25" s="41"/>
      <c r="Q25" s="41"/>
      <c r="R25" s="41"/>
      <c r="S25" s="41"/>
      <c r="T25" s="41"/>
      <c r="U25" s="41"/>
      <c r="V25" s="41"/>
      <c r="W25" s="41"/>
      <c r="X25" s="41"/>
      <c r="Y25" s="41"/>
      <c r="Z25" s="41"/>
    </row>
    <row r="26" spans="1:26" ht="31.5" customHeight="1" x14ac:dyDescent="0.2">
      <c r="A26" s="16">
        <v>22</v>
      </c>
      <c r="B26" s="43" t="s">
        <v>218</v>
      </c>
      <c r="C26" s="43" t="s">
        <v>302</v>
      </c>
      <c r="D26" s="15">
        <f>(I23*I17)</f>
        <v>1.4791627257212121</v>
      </c>
      <c r="E26" s="15">
        <f>300*I6</f>
        <v>0.54272727272727272</v>
      </c>
      <c r="F26" s="15">
        <f t="shared" si="0"/>
        <v>2.0218899984484846</v>
      </c>
      <c r="G26" s="12"/>
      <c r="H26" s="12"/>
      <c r="I26" s="12"/>
      <c r="J26" s="12"/>
      <c r="K26" s="58" t="s">
        <v>104</v>
      </c>
      <c r="L26" s="60">
        <f>L25/L24*$I$6</f>
        <v>0.90454545454545454</v>
      </c>
      <c r="M26" s="12"/>
      <c r="N26" s="16"/>
      <c r="O26" s="41"/>
      <c r="P26" s="41"/>
      <c r="Q26" s="41"/>
      <c r="R26" s="41"/>
      <c r="S26" s="41"/>
      <c r="T26" s="41"/>
      <c r="U26" s="41"/>
      <c r="V26" s="41"/>
      <c r="W26" s="41"/>
      <c r="X26" s="41"/>
      <c r="Y26" s="41"/>
      <c r="Z26" s="41"/>
    </row>
    <row r="27" spans="1:26" ht="31.5" customHeight="1" x14ac:dyDescent="0.2">
      <c r="A27" s="16">
        <v>23</v>
      </c>
      <c r="B27" s="43" t="s">
        <v>339</v>
      </c>
      <c r="C27" s="43" t="s">
        <v>335</v>
      </c>
      <c r="D27" s="15">
        <f>((I23*L11)/4)</f>
        <v>1.078556154171717</v>
      </c>
      <c r="E27" s="15">
        <f>(300*I6)+(1*L11)+(1*L16)+(1*L21)</f>
        <v>1.8090909090909091</v>
      </c>
      <c r="F27" s="15">
        <f t="shared" si="0"/>
        <v>2.8876470632626261</v>
      </c>
      <c r="G27" s="12"/>
      <c r="H27" s="12"/>
      <c r="I27" s="12"/>
      <c r="J27" s="12"/>
      <c r="K27" s="12"/>
      <c r="L27" s="12"/>
      <c r="M27" s="12"/>
      <c r="N27" s="16"/>
      <c r="O27" s="41"/>
      <c r="P27" s="41"/>
      <c r="Q27" s="41"/>
      <c r="R27" s="41"/>
      <c r="S27" s="41"/>
      <c r="T27" s="41"/>
      <c r="U27" s="41"/>
      <c r="V27" s="41"/>
      <c r="W27" s="41"/>
      <c r="X27" s="41"/>
      <c r="Y27" s="41"/>
      <c r="Z27" s="41"/>
    </row>
    <row r="28" spans="1:26" ht="31.5" customHeight="1" x14ac:dyDescent="0.2">
      <c r="A28" s="16">
        <v>24</v>
      </c>
      <c r="B28" s="43" t="s">
        <v>340</v>
      </c>
      <c r="C28" s="43" t="s">
        <v>341</v>
      </c>
      <c r="D28" s="15">
        <f>((I23*L21)/4)</f>
        <v>1.078556154171717</v>
      </c>
      <c r="E28" s="15">
        <f>(2*L11)+(2*L16)</f>
        <v>1.6884848484848485</v>
      </c>
      <c r="F28" s="15">
        <f t="shared" si="0"/>
        <v>2.7670410026565655</v>
      </c>
      <c r="G28" s="12"/>
      <c r="H28" s="12"/>
      <c r="I28" s="12"/>
      <c r="J28" s="12"/>
      <c r="K28" s="58" t="s">
        <v>168</v>
      </c>
      <c r="L28" s="60">
        <f>AVERAGE(L6,L11,L16,L21,L26)</f>
        <v>0.55478787878787883</v>
      </c>
      <c r="M28" s="12"/>
      <c r="N28" s="16"/>
      <c r="O28" s="41"/>
      <c r="P28" s="41"/>
      <c r="Q28" s="41"/>
      <c r="R28" s="41"/>
      <c r="S28" s="41"/>
      <c r="T28" s="41"/>
      <c r="U28" s="41"/>
      <c r="V28" s="41"/>
      <c r="W28" s="41"/>
      <c r="X28" s="41"/>
      <c r="Y28" s="41"/>
      <c r="Z28" s="41"/>
    </row>
    <row r="29" spans="1:26" ht="31.5" customHeight="1" x14ac:dyDescent="0.2">
      <c r="A29" s="16">
        <v>25</v>
      </c>
      <c r="B29" s="43" t="s">
        <v>332</v>
      </c>
      <c r="C29" s="43" t="s">
        <v>342</v>
      </c>
      <c r="D29" s="15">
        <f>E16</f>
        <v>0.60303030303030303</v>
      </c>
      <c r="E29" s="15">
        <f>((I23*L11)/2)+((I23*I17)/2)</f>
        <v>2.8966936712040399</v>
      </c>
      <c r="F29" s="15">
        <f t="shared" si="0"/>
        <v>3.4997239742343429</v>
      </c>
      <c r="G29" s="12"/>
      <c r="H29" s="12"/>
      <c r="I29" s="12"/>
      <c r="J29" s="12"/>
      <c r="K29" s="52"/>
      <c r="L29" s="52"/>
      <c r="M29" s="12"/>
      <c r="N29" s="16"/>
      <c r="O29" s="41"/>
      <c r="P29" s="41"/>
      <c r="Q29" s="41"/>
      <c r="R29" s="41"/>
      <c r="S29" s="41"/>
      <c r="T29" s="41"/>
      <c r="U29" s="41"/>
      <c r="V29" s="41"/>
      <c r="W29" s="41"/>
      <c r="X29" s="41"/>
      <c r="Y29" s="41"/>
      <c r="Z29" s="41"/>
    </row>
    <row r="30" spans="1:26" ht="31.5" customHeight="1" x14ac:dyDescent="0.2">
      <c r="A30" s="16">
        <v>26</v>
      </c>
      <c r="B30" s="43" t="s">
        <v>318</v>
      </c>
      <c r="C30" s="43" t="s">
        <v>302</v>
      </c>
      <c r="D30" s="15">
        <f>L16</f>
        <v>0.42212121212121212</v>
      </c>
      <c r="E30" s="15">
        <f>300*I6</f>
        <v>0.54272727272727272</v>
      </c>
      <c r="F30" s="15">
        <f t="shared" si="0"/>
        <v>0.96484848484848484</v>
      </c>
      <c r="G30" s="12"/>
      <c r="H30" s="12"/>
      <c r="I30" s="12"/>
      <c r="J30" s="82"/>
      <c r="K30" s="55"/>
      <c r="L30" s="55"/>
      <c r="M30" s="12"/>
      <c r="N30" s="16"/>
      <c r="O30" s="41"/>
      <c r="P30" s="41"/>
      <c r="Q30" s="41"/>
      <c r="R30" s="41"/>
      <c r="S30" s="41"/>
      <c r="T30" s="41"/>
      <c r="U30" s="41"/>
      <c r="V30" s="41"/>
      <c r="W30" s="41"/>
      <c r="X30" s="41"/>
      <c r="Y30" s="41"/>
      <c r="Z30" s="41"/>
    </row>
    <row r="31" spans="1:26" ht="31.5" customHeight="1" x14ac:dyDescent="0.2">
      <c r="A31" s="16">
        <v>27</v>
      </c>
      <c r="B31" s="43" t="s">
        <v>218</v>
      </c>
      <c r="C31" s="43" t="s">
        <v>343</v>
      </c>
      <c r="D31" s="15">
        <f>I23*I17</f>
        <v>1.4791627257212121</v>
      </c>
      <c r="E31" s="15">
        <f>(500*I6)+((I23*L11)/2)+((I23*L16)/2)+L6</f>
        <v>5.8218003742626259</v>
      </c>
      <c r="F31" s="15">
        <f t="shared" si="0"/>
        <v>7.3009630999838375</v>
      </c>
      <c r="G31" s="12"/>
      <c r="H31" s="12"/>
      <c r="I31" s="12"/>
      <c r="J31" s="82"/>
      <c r="K31" s="49"/>
      <c r="L31" s="100"/>
      <c r="M31" s="12"/>
      <c r="N31" s="16"/>
      <c r="O31" s="41"/>
      <c r="P31" s="41"/>
      <c r="Q31" s="41"/>
      <c r="R31" s="41"/>
      <c r="S31" s="41"/>
      <c r="T31" s="41"/>
      <c r="U31" s="41"/>
      <c r="V31" s="41"/>
      <c r="W31" s="41"/>
      <c r="X31" s="41"/>
      <c r="Y31" s="41"/>
      <c r="Z31" s="41"/>
    </row>
    <row r="32" spans="1:26" ht="31.5" customHeight="1" x14ac:dyDescent="0.2">
      <c r="A32" s="16">
        <v>28</v>
      </c>
      <c r="B32" s="43" t="s">
        <v>275</v>
      </c>
      <c r="C32" s="43" t="s">
        <v>310</v>
      </c>
      <c r="D32" s="15">
        <f>100*I6</f>
        <v>0.18090909090909091</v>
      </c>
      <c r="E32" s="15">
        <v>0</v>
      </c>
      <c r="F32" s="15">
        <f t="shared" si="0"/>
        <v>0.18090909090909091</v>
      </c>
      <c r="G32" s="12"/>
      <c r="H32" s="12"/>
      <c r="I32" s="12"/>
      <c r="J32" s="82"/>
      <c r="K32" s="12"/>
      <c r="L32" s="12"/>
      <c r="M32" s="12"/>
      <c r="N32" s="16"/>
      <c r="O32" s="41"/>
      <c r="P32" s="41"/>
      <c r="Q32" s="41"/>
      <c r="R32" s="41"/>
      <c r="S32" s="41"/>
      <c r="T32" s="41"/>
      <c r="U32" s="41"/>
      <c r="V32" s="41"/>
      <c r="W32" s="41"/>
      <c r="X32" s="41"/>
      <c r="Y32" s="41"/>
      <c r="Z32" s="41"/>
    </row>
    <row r="33" spans="1:26" ht="31.5" customHeight="1" x14ac:dyDescent="0.2">
      <c r="A33" s="16">
        <v>29</v>
      </c>
      <c r="B33" s="43" t="s">
        <v>326</v>
      </c>
      <c r="C33" s="43" t="s">
        <v>332</v>
      </c>
      <c r="D33" s="15">
        <f>((I23*L16)/4)</f>
        <v>1.078556154171717</v>
      </c>
      <c r="E33" s="15">
        <f>L6</f>
        <v>0.60303030303030303</v>
      </c>
      <c r="F33" s="15">
        <f t="shared" si="0"/>
        <v>1.68158645720202</v>
      </c>
      <c r="G33" s="12"/>
      <c r="H33" s="12"/>
      <c r="I33" s="12"/>
      <c r="J33" s="82"/>
      <c r="K33" s="12"/>
      <c r="L33" s="12"/>
      <c r="M33" s="12"/>
      <c r="N33" s="16"/>
      <c r="O33" s="41"/>
      <c r="P33" s="41"/>
      <c r="Q33" s="41"/>
      <c r="R33" s="41"/>
      <c r="S33" s="41"/>
      <c r="T33" s="41"/>
      <c r="U33" s="41"/>
      <c r="V33" s="41"/>
      <c r="W33" s="41"/>
      <c r="X33" s="41"/>
      <c r="Y33" s="41"/>
      <c r="Z33" s="41"/>
    </row>
    <row r="34" spans="1:26" ht="31.5" customHeight="1" x14ac:dyDescent="0.2">
      <c r="A34" s="16">
        <v>30</v>
      </c>
      <c r="B34" s="43" t="s">
        <v>294</v>
      </c>
      <c r="C34" s="43" t="s">
        <v>344</v>
      </c>
      <c r="D34" s="15">
        <v>0</v>
      </c>
      <c r="E34" s="15">
        <f>L21+(I23*I17)</f>
        <v>1.9012839378424242</v>
      </c>
      <c r="F34" s="15">
        <f t="shared" si="0"/>
        <v>1.9012839378424242</v>
      </c>
      <c r="G34" s="12"/>
      <c r="H34" s="12"/>
      <c r="I34" s="12"/>
      <c r="J34" s="12"/>
      <c r="K34" s="12"/>
      <c r="L34" s="12"/>
      <c r="M34" s="12"/>
      <c r="N34" s="16"/>
      <c r="O34" s="41"/>
      <c r="P34" s="41"/>
      <c r="Q34" s="41"/>
      <c r="R34" s="41"/>
      <c r="S34" s="41"/>
      <c r="T34" s="41"/>
      <c r="U34" s="41"/>
      <c r="V34" s="41"/>
      <c r="W34" s="41"/>
      <c r="X34" s="41"/>
      <c r="Y34" s="41"/>
      <c r="Z34" s="41"/>
    </row>
    <row r="35" spans="1:26" ht="31.5" customHeight="1" x14ac:dyDescent="0.2">
      <c r="A35" s="16">
        <v>31</v>
      </c>
      <c r="B35" s="43" t="s">
        <v>345</v>
      </c>
      <c r="C35" s="43" t="s">
        <v>332</v>
      </c>
      <c r="D35" s="15">
        <f>(200*I6)+(L11)+(L16)+(L21)</f>
        <v>1.6281818181818182</v>
      </c>
      <c r="E35" s="15">
        <f>L6</f>
        <v>0.60303030303030303</v>
      </c>
      <c r="F35" s="15">
        <f t="shared" si="0"/>
        <v>2.2312121212121214</v>
      </c>
      <c r="G35" s="12"/>
      <c r="H35" s="12"/>
      <c r="I35" s="12"/>
      <c r="J35" s="12"/>
      <c r="K35" s="12"/>
      <c r="L35" s="12"/>
      <c r="M35" s="12"/>
      <c r="N35" s="16"/>
      <c r="O35" s="41"/>
      <c r="P35" s="41"/>
      <c r="Q35" s="41"/>
      <c r="R35" s="41"/>
      <c r="S35" s="41"/>
      <c r="T35" s="41"/>
      <c r="U35" s="41"/>
      <c r="V35" s="41"/>
      <c r="W35" s="41"/>
      <c r="X35" s="41"/>
      <c r="Y35" s="41"/>
      <c r="Z35" s="41"/>
    </row>
    <row r="36" spans="1:26" ht="31.5" customHeight="1" x14ac:dyDescent="0.2">
      <c r="A36" s="16">
        <v>32</v>
      </c>
      <c r="B36" s="43" t="s">
        <v>280</v>
      </c>
      <c r="C36" s="43" t="s">
        <v>278</v>
      </c>
      <c r="D36" s="15">
        <v>0</v>
      </c>
      <c r="E36" s="15">
        <f>500*I6</f>
        <v>0.90454545454545454</v>
      </c>
      <c r="F36" s="15">
        <f t="shared" si="0"/>
        <v>0.90454545454545454</v>
      </c>
      <c r="G36" s="12"/>
      <c r="H36" s="12"/>
      <c r="I36" s="12"/>
      <c r="J36" s="12"/>
      <c r="K36" s="12"/>
      <c r="L36" s="12"/>
      <c r="M36" s="12"/>
      <c r="N36" s="16"/>
      <c r="O36" s="41"/>
      <c r="P36" s="41"/>
      <c r="Q36" s="41"/>
      <c r="R36" s="41"/>
      <c r="S36" s="41"/>
      <c r="T36" s="41"/>
      <c r="U36" s="41"/>
      <c r="V36" s="41"/>
      <c r="W36" s="41"/>
      <c r="X36" s="41"/>
      <c r="Y36" s="41"/>
      <c r="Z36" s="41"/>
    </row>
    <row r="37" spans="1:26" ht="31.5" customHeight="1" x14ac:dyDescent="0.2">
      <c r="A37" s="16">
        <v>33</v>
      </c>
      <c r="B37" s="43" t="s">
        <v>338</v>
      </c>
      <c r="C37" s="43" t="s">
        <v>310</v>
      </c>
      <c r="D37" s="15">
        <v>0</v>
      </c>
      <c r="E37" s="15">
        <v>0</v>
      </c>
      <c r="F37" s="15">
        <f t="shared" si="0"/>
        <v>0</v>
      </c>
      <c r="G37" s="12"/>
      <c r="H37" s="12"/>
      <c r="I37" s="12"/>
      <c r="J37" s="12"/>
      <c r="K37" s="12"/>
      <c r="L37" s="12"/>
      <c r="M37" s="12"/>
      <c r="N37" s="16"/>
      <c r="O37" s="41"/>
      <c r="P37" s="41"/>
      <c r="Q37" s="41"/>
      <c r="R37" s="41"/>
      <c r="S37" s="41"/>
      <c r="T37" s="41"/>
      <c r="U37" s="41"/>
      <c r="V37" s="41"/>
      <c r="W37" s="41"/>
      <c r="X37" s="41"/>
      <c r="Y37" s="41"/>
      <c r="Z37" s="41"/>
    </row>
    <row r="38" spans="1:26" ht="31.5" customHeight="1" x14ac:dyDescent="0.2">
      <c r="A38" s="16">
        <v>34</v>
      </c>
      <c r="B38" s="43" t="s">
        <v>232</v>
      </c>
      <c r="C38" s="43" t="s">
        <v>274</v>
      </c>
      <c r="D38" s="15">
        <f>((I23*I17)*2)</f>
        <v>2.9583254514424242</v>
      </c>
      <c r="E38" s="15">
        <v>0</v>
      </c>
      <c r="F38" s="15">
        <f t="shared" si="0"/>
        <v>2.9583254514424242</v>
      </c>
      <c r="G38" s="12"/>
      <c r="H38" s="12"/>
      <c r="I38" s="12"/>
      <c r="J38" s="12"/>
      <c r="K38" s="12"/>
      <c r="L38" s="12"/>
      <c r="M38" s="12"/>
      <c r="N38" s="16"/>
      <c r="O38" s="41"/>
      <c r="P38" s="41"/>
      <c r="Q38" s="41"/>
      <c r="R38" s="41"/>
      <c r="S38" s="41"/>
      <c r="T38" s="41"/>
      <c r="U38" s="41"/>
      <c r="V38" s="41"/>
      <c r="W38" s="41"/>
      <c r="X38" s="41"/>
      <c r="Y38" s="41"/>
      <c r="Z38" s="41"/>
    </row>
    <row r="39" spans="1:26" ht="31.5" customHeight="1" x14ac:dyDescent="0.2">
      <c r="A39" s="16">
        <v>35</v>
      </c>
      <c r="B39" s="43" t="s">
        <v>274</v>
      </c>
      <c r="C39" s="65" t="s">
        <v>346</v>
      </c>
      <c r="D39" s="15">
        <v>0</v>
      </c>
      <c r="E39" s="15">
        <f>(500*I6)+(1*L11)+(1*L16)+(1*L21)+((I23*L16)/2)+((I23*L21)/2)</f>
        <v>6.485133707595959</v>
      </c>
      <c r="F39" s="15">
        <f t="shared" si="0"/>
        <v>6.485133707595959</v>
      </c>
      <c r="G39" s="12"/>
      <c r="H39" s="12"/>
      <c r="I39" s="12"/>
      <c r="J39" s="12"/>
      <c r="K39" s="12"/>
      <c r="L39" s="12"/>
      <c r="M39" s="12"/>
      <c r="N39" s="16"/>
      <c r="O39" s="41"/>
      <c r="P39" s="41"/>
      <c r="Q39" s="41"/>
      <c r="R39" s="41"/>
      <c r="S39" s="41"/>
      <c r="T39" s="41"/>
      <c r="U39" s="41"/>
      <c r="V39" s="41"/>
      <c r="W39" s="41"/>
      <c r="X39" s="41"/>
      <c r="Y39" s="41"/>
      <c r="Z39" s="41"/>
    </row>
    <row r="40" spans="1:26" ht="31.5" customHeight="1" x14ac:dyDescent="0.2">
      <c r="A40" s="28" t="s">
        <v>81</v>
      </c>
      <c r="B40" s="32"/>
      <c r="C40" s="32"/>
      <c r="D40" s="72">
        <f t="shared" ref="D40:F40" si="1">SUM(D4:D39)</f>
        <v>23.486779453621555</v>
      </c>
      <c r="E40" s="72">
        <f t="shared" si="1"/>
        <v>53.001937486001999</v>
      </c>
      <c r="F40" s="72">
        <f t="shared" si="1"/>
        <v>76.488716939623572</v>
      </c>
      <c r="G40" s="12"/>
      <c r="H40" s="12"/>
      <c r="I40" s="12"/>
      <c r="J40" s="12"/>
      <c r="K40" s="12"/>
      <c r="L40" s="12"/>
      <c r="M40" s="12"/>
      <c r="N40" s="16"/>
      <c r="O40" s="41"/>
      <c r="P40" s="41"/>
      <c r="Q40" s="41"/>
      <c r="R40" s="41"/>
      <c r="S40" s="41"/>
      <c r="T40" s="41"/>
      <c r="U40" s="41"/>
      <c r="V40" s="41"/>
      <c r="W40" s="41"/>
      <c r="X40" s="41"/>
      <c r="Y40" s="41"/>
      <c r="Z40" s="41"/>
    </row>
    <row r="41" spans="1:26" ht="31.5" customHeight="1" x14ac:dyDescent="0.2">
      <c r="A41" s="28" t="s">
        <v>174</v>
      </c>
      <c r="B41" s="32"/>
      <c r="C41" s="32"/>
      <c r="D41" s="34">
        <f t="shared" ref="D41:F41" si="2">AVERAGE(D4:D39)</f>
        <v>0.65241054037837654</v>
      </c>
      <c r="E41" s="34">
        <f t="shared" si="2"/>
        <v>1.4722760412778333</v>
      </c>
      <c r="F41" s="34">
        <f t="shared" si="2"/>
        <v>2.1246865816562104</v>
      </c>
      <c r="G41" s="12"/>
      <c r="H41" s="12"/>
      <c r="I41" s="12"/>
      <c r="J41" s="12"/>
      <c r="K41" s="12"/>
      <c r="L41" s="12"/>
      <c r="M41" s="12"/>
      <c r="N41" s="16"/>
      <c r="O41" s="41"/>
      <c r="P41" s="41"/>
      <c r="Q41" s="41"/>
      <c r="R41" s="41"/>
      <c r="S41" s="41"/>
      <c r="T41" s="41"/>
      <c r="U41" s="41"/>
      <c r="V41" s="41"/>
      <c r="W41" s="41"/>
      <c r="X41" s="41"/>
      <c r="Y41" s="41"/>
      <c r="Z41" s="41"/>
    </row>
    <row r="42" spans="1:26" ht="15.75" customHeight="1" x14ac:dyDescent="0.2">
      <c r="A42" s="16"/>
      <c r="B42" s="43"/>
      <c r="C42" s="43"/>
      <c r="D42" s="51"/>
      <c r="E42" s="51"/>
      <c r="F42" s="51"/>
      <c r="G42" s="12"/>
      <c r="H42" s="12"/>
      <c r="I42" s="12"/>
      <c r="J42" s="12"/>
      <c r="K42" s="12"/>
      <c r="L42" s="12"/>
      <c r="M42" s="12"/>
      <c r="N42" s="16"/>
      <c r="O42" s="41"/>
      <c r="P42" s="41"/>
      <c r="Q42" s="41"/>
      <c r="R42" s="41"/>
      <c r="S42" s="41"/>
      <c r="T42" s="41"/>
      <c r="U42" s="41"/>
      <c r="V42" s="41"/>
      <c r="W42" s="41"/>
      <c r="X42" s="41"/>
      <c r="Y42" s="41"/>
      <c r="Z42" s="41"/>
    </row>
    <row r="43" spans="1:26" ht="15.75" customHeight="1" x14ac:dyDescent="0.2">
      <c r="A43" s="16"/>
      <c r="B43" s="43"/>
      <c r="C43" s="43"/>
      <c r="D43" s="51"/>
      <c r="E43" s="51"/>
      <c r="F43" s="51"/>
      <c r="G43" s="12"/>
      <c r="H43" s="12"/>
      <c r="I43" s="12"/>
      <c r="J43" s="12"/>
      <c r="K43" s="12"/>
      <c r="L43" s="12"/>
      <c r="M43" s="12"/>
      <c r="N43" s="16"/>
      <c r="O43" s="41"/>
      <c r="P43" s="41"/>
      <c r="Q43" s="41"/>
      <c r="R43" s="41"/>
      <c r="S43" s="41"/>
      <c r="T43" s="41"/>
      <c r="U43" s="41"/>
      <c r="V43" s="41"/>
      <c r="W43" s="41"/>
      <c r="X43" s="41"/>
      <c r="Y43" s="41"/>
      <c r="Z43" s="41"/>
    </row>
    <row r="44" spans="1:26" ht="15.75" customHeight="1" x14ac:dyDescent="0.2">
      <c r="A44" s="16"/>
      <c r="B44" s="43"/>
      <c r="C44" s="43"/>
      <c r="D44" s="15"/>
      <c r="E44" s="15"/>
      <c r="F44" s="15"/>
      <c r="G44" s="12"/>
      <c r="H44" s="12"/>
      <c r="I44" s="12"/>
      <c r="J44" s="12"/>
      <c r="K44" s="12"/>
      <c r="L44" s="12"/>
      <c r="M44" s="12"/>
      <c r="N44" s="16"/>
      <c r="O44" s="41"/>
      <c r="P44" s="41"/>
      <c r="Q44" s="41"/>
      <c r="R44" s="41"/>
      <c r="S44" s="41"/>
      <c r="T44" s="41"/>
      <c r="U44" s="41"/>
      <c r="V44" s="41"/>
      <c r="W44" s="41"/>
      <c r="X44" s="41"/>
      <c r="Y44" s="41"/>
      <c r="Z44" s="41"/>
    </row>
    <row r="45" spans="1:26" ht="15.75" customHeight="1" x14ac:dyDescent="0.2">
      <c r="A45" s="16"/>
      <c r="B45" s="43"/>
      <c r="C45" s="43"/>
      <c r="D45" s="15"/>
      <c r="E45" s="15"/>
      <c r="F45" s="15"/>
      <c r="G45" s="12"/>
      <c r="H45" s="12"/>
      <c r="I45" s="12"/>
      <c r="J45" s="12"/>
      <c r="K45" s="12"/>
      <c r="L45" s="12"/>
      <c r="M45" s="12"/>
      <c r="N45" s="16"/>
      <c r="O45" s="41"/>
      <c r="P45" s="41"/>
      <c r="Q45" s="41"/>
      <c r="R45" s="41"/>
      <c r="S45" s="41"/>
      <c r="T45" s="41"/>
      <c r="U45" s="41"/>
      <c r="V45" s="41"/>
      <c r="W45" s="41"/>
      <c r="X45" s="41"/>
      <c r="Y45" s="41"/>
      <c r="Z45" s="41"/>
    </row>
    <row r="46" spans="1:26" ht="15.75" customHeight="1" x14ac:dyDescent="0.2">
      <c r="A46" s="16"/>
      <c r="B46" s="43"/>
      <c r="C46" s="43"/>
      <c r="D46" s="15"/>
      <c r="E46" s="15"/>
      <c r="F46" s="15"/>
      <c r="G46" s="12"/>
      <c r="H46" s="12"/>
      <c r="I46" s="12"/>
      <c r="J46" s="12"/>
      <c r="K46" s="12"/>
      <c r="L46" s="12"/>
      <c r="M46" s="12"/>
      <c r="N46" s="16"/>
      <c r="O46" s="41"/>
      <c r="P46" s="41"/>
      <c r="Q46" s="41"/>
      <c r="R46" s="41"/>
      <c r="S46" s="41"/>
      <c r="T46" s="41"/>
      <c r="U46" s="41"/>
      <c r="V46" s="41"/>
      <c r="W46" s="41"/>
      <c r="X46" s="41"/>
      <c r="Y46" s="41"/>
      <c r="Z46" s="41"/>
    </row>
    <row r="47" spans="1:26" ht="15.75" customHeight="1" x14ac:dyDescent="0.2">
      <c r="A47" s="16"/>
      <c r="B47" s="43"/>
      <c r="C47" s="43"/>
      <c r="D47" s="15"/>
      <c r="E47" s="15"/>
      <c r="F47" s="15"/>
      <c r="G47" s="12"/>
      <c r="H47" s="12"/>
      <c r="I47" s="12"/>
      <c r="J47" s="12"/>
      <c r="K47" s="12"/>
      <c r="L47" s="12"/>
      <c r="M47" s="12"/>
      <c r="N47" s="16"/>
      <c r="O47" s="41"/>
      <c r="P47" s="41"/>
      <c r="Q47" s="41"/>
      <c r="R47" s="41"/>
      <c r="S47" s="41"/>
      <c r="T47" s="41"/>
      <c r="U47" s="41"/>
      <c r="V47" s="41"/>
      <c r="W47" s="41"/>
      <c r="X47" s="41"/>
      <c r="Y47" s="41"/>
      <c r="Z47" s="41"/>
    </row>
    <row r="48" spans="1:26" ht="15.75" customHeight="1" x14ac:dyDescent="0.2">
      <c r="A48" s="16"/>
      <c r="B48" s="43"/>
      <c r="C48" s="43"/>
      <c r="D48" s="15"/>
      <c r="E48" s="15"/>
      <c r="F48" s="15"/>
      <c r="G48" s="12"/>
      <c r="H48" s="12"/>
      <c r="I48" s="12"/>
      <c r="J48" s="12"/>
      <c r="K48" s="12"/>
      <c r="L48" s="12"/>
      <c r="M48" s="12"/>
      <c r="N48" s="16"/>
      <c r="O48" s="41"/>
      <c r="P48" s="41"/>
      <c r="Q48" s="41"/>
      <c r="R48" s="41"/>
      <c r="S48" s="41"/>
      <c r="T48" s="41"/>
      <c r="U48" s="41"/>
      <c r="V48" s="41"/>
      <c r="W48" s="41"/>
      <c r="X48" s="41"/>
      <c r="Y48" s="41"/>
      <c r="Z48" s="41"/>
    </row>
    <row r="49" spans="1:26" ht="15.75" customHeight="1" x14ac:dyDescent="0.2">
      <c r="A49" s="16"/>
      <c r="B49" s="43"/>
      <c r="C49" s="43"/>
      <c r="D49" s="15"/>
      <c r="E49" s="15"/>
      <c r="F49" s="15"/>
      <c r="G49" s="12"/>
      <c r="H49" s="12"/>
      <c r="I49" s="12"/>
      <c r="J49" s="12"/>
      <c r="K49" s="12"/>
      <c r="L49" s="12"/>
      <c r="M49" s="12"/>
      <c r="N49" s="16"/>
      <c r="O49" s="41"/>
      <c r="P49" s="41"/>
      <c r="Q49" s="41"/>
      <c r="R49" s="41"/>
      <c r="S49" s="41"/>
      <c r="T49" s="41"/>
      <c r="U49" s="41"/>
      <c r="V49" s="41"/>
      <c r="W49" s="41"/>
      <c r="X49" s="41"/>
      <c r="Y49" s="41"/>
      <c r="Z49" s="41"/>
    </row>
    <row r="50" spans="1:26" ht="15.75" customHeight="1" x14ac:dyDescent="0.2">
      <c r="A50" s="16"/>
      <c r="B50" s="43"/>
      <c r="C50" s="43"/>
      <c r="D50" s="15"/>
      <c r="E50" s="15"/>
      <c r="F50" s="15"/>
      <c r="G50" s="12"/>
      <c r="H50" s="12"/>
      <c r="I50" s="12"/>
      <c r="J50" s="12"/>
      <c r="K50" s="12"/>
      <c r="L50" s="12"/>
      <c r="M50" s="12"/>
      <c r="N50" s="16"/>
      <c r="O50" s="41"/>
      <c r="P50" s="41"/>
      <c r="Q50" s="41"/>
      <c r="R50" s="41"/>
      <c r="S50" s="41"/>
      <c r="T50" s="41"/>
      <c r="U50" s="41"/>
      <c r="V50" s="41"/>
      <c r="W50" s="41"/>
      <c r="X50" s="41"/>
      <c r="Y50" s="41"/>
      <c r="Z50" s="41"/>
    </row>
    <row r="51" spans="1:26" ht="15.75" customHeight="1" x14ac:dyDescent="0.2">
      <c r="A51" s="16"/>
      <c r="B51" s="43"/>
      <c r="C51" s="43"/>
      <c r="D51" s="15"/>
      <c r="E51" s="15"/>
      <c r="F51" s="15"/>
      <c r="G51" s="12"/>
      <c r="H51" s="12"/>
      <c r="I51" s="12"/>
      <c r="J51" s="12"/>
      <c r="K51" s="12"/>
      <c r="L51" s="12"/>
      <c r="M51" s="12"/>
      <c r="N51" s="16"/>
      <c r="O51" s="41"/>
      <c r="P51" s="41"/>
      <c r="Q51" s="41"/>
      <c r="R51" s="41"/>
      <c r="S51" s="41"/>
      <c r="T51" s="41"/>
      <c r="U51" s="41"/>
      <c r="V51" s="41"/>
      <c r="W51" s="41"/>
      <c r="X51" s="41"/>
      <c r="Y51" s="41"/>
      <c r="Z51" s="41"/>
    </row>
    <row r="52" spans="1:26" ht="15.75" customHeight="1" x14ac:dyDescent="0.2">
      <c r="A52" s="16"/>
      <c r="B52" s="43"/>
      <c r="C52" s="43"/>
      <c r="D52" s="15"/>
      <c r="E52" s="15"/>
      <c r="F52" s="15"/>
      <c r="G52" s="12"/>
      <c r="H52" s="12"/>
      <c r="I52" s="12"/>
      <c r="J52" s="12"/>
      <c r="K52" s="12"/>
      <c r="L52" s="12"/>
      <c r="M52" s="12"/>
      <c r="N52" s="16"/>
      <c r="O52" s="41"/>
      <c r="P52" s="41"/>
      <c r="Q52" s="41"/>
      <c r="R52" s="41"/>
      <c r="S52" s="41"/>
      <c r="T52" s="41"/>
      <c r="U52" s="41"/>
      <c r="V52" s="41"/>
      <c r="W52" s="41"/>
      <c r="X52" s="41"/>
      <c r="Y52" s="41"/>
      <c r="Z52" s="41"/>
    </row>
    <row r="53" spans="1:26" ht="15.75" customHeight="1" x14ac:dyDescent="0.2">
      <c r="A53" s="16"/>
      <c r="B53" s="43"/>
      <c r="C53" s="43"/>
      <c r="D53" s="15"/>
      <c r="E53" s="15"/>
      <c r="F53" s="15"/>
      <c r="G53" s="12"/>
      <c r="H53" s="12"/>
      <c r="I53" s="12"/>
      <c r="J53" s="12"/>
      <c r="K53" s="12"/>
      <c r="L53" s="12"/>
      <c r="M53" s="12"/>
      <c r="N53" s="16"/>
      <c r="O53" s="41"/>
      <c r="P53" s="41"/>
      <c r="Q53" s="41"/>
      <c r="R53" s="41"/>
      <c r="S53" s="41"/>
      <c r="T53" s="41"/>
      <c r="U53" s="41"/>
      <c r="V53" s="41"/>
      <c r="W53" s="41"/>
      <c r="X53" s="41"/>
      <c r="Y53" s="41"/>
      <c r="Z53" s="41"/>
    </row>
    <row r="54" spans="1:26" ht="15.75" customHeight="1" x14ac:dyDescent="0.2">
      <c r="A54" s="16"/>
      <c r="B54" s="43"/>
      <c r="C54" s="43"/>
      <c r="D54" s="15"/>
      <c r="E54" s="15"/>
      <c r="F54" s="15"/>
      <c r="G54" s="12"/>
      <c r="H54" s="12"/>
      <c r="I54" s="12"/>
      <c r="J54" s="12"/>
      <c r="K54" s="12"/>
      <c r="L54" s="12"/>
      <c r="M54" s="12"/>
      <c r="N54" s="16"/>
      <c r="O54" s="41"/>
      <c r="P54" s="41"/>
      <c r="Q54" s="41"/>
      <c r="R54" s="41"/>
      <c r="S54" s="41"/>
      <c r="T54" s="41"/>
      <c r="U54" s="41"/>
      <c r="V54" s="41"/>
      <c r="W54" s="41"/>
      <c r="X54" s="41"/>
      <c r="Y54" s="41"/>
      <c r="Z54" s="41"/>
    </row>
    <row r="55" spans="1:26" ht="15.75" customHeight="1" x14ac:dyDescent="0.2">
      <c r="A55" s="16"/>
      <c r="B55" s="43"/>
      <c r="C55" s="43"/>
      <c r="D55" s="15"/>
      <c r="E55" s="15"/>
      <c r="F55" s="15"/>
      <c r="G55" s="12"/>
      <c r="H55" s="12"/>
      <c r="I55" s="12"/>
      <c r="J55" s="12"/>
      <c r="K55" s="12"/>
      <c r="L55" s="12"/>
      <c r="M55" s="12"/>
      <c r="N55" s="16"/>
      <c r="O55" s="41"/>
      <c r="P55" s="41"/>
      <c r="Q55" s="41"/>
      <c r="R55" s="41"/>
      <c r="S55" s="41"/>
      <c r="T55" s="41"/>
      <c r="U55" s="41"/>
      <c r="V55" s="41"/>
      <c r="W55" s="41"/>
      <c r="X55" s="41"/>
      <c r="Y55" s="41"/>
      <c r="Z55" s="41"/>
    </row>
    <row r="56" spans="1:26" ht="15.75" customHeight="1" x14ac:dyDescent="0.2">
      <c r="A56" s="16"/>
      <c r="B56" s="43"/>
      <c r="C56" s="43"/>
      <c r="D56" s="16"/>
      <c r="E56" s="16"/>
      <c r="F56" s="16"/>
      <c r="G56" s="12"/>
      <c r="H56" s="12"/>
      <c r="I56" s="12"/>
      <c r="J56" s="12"/>
      <c r="K56" s="12"/>
      <c r="L56" s="12"/>
      <c r="M56" s="12"/>
      <c r="N56" s="16"/>
      <c r="O56" s="41"/>
      <c r="P56" s="41"/>
      <c r="Q56" s="41"/>
      <c r="R56" s="41"/>
      <c r="S56" s="41"/>
      <c r="T56" s="41"/>
      <c r="U56" s="41"/>
      <c r="V56" s="41"/>
      <c r="W56" s="41"/>
      <c r="X56" s="41"/>
      <c r="Y56" s="41"/>
      <c r="Z56" s="41"/>
    </row>
    <row r="57" spans="1:26" ht="15.75" customHeight="1" x14ac:dyDescent="0.2">
      <c r="A57" s="16"/>
      <c r="B57" s="43"/>
      <c r="C57" s="43"/>
      <c r="D57" s="16"/>
      <c r="E57" s="16"/>
      <c r="F57" s="16"/>
      <c r="G57" s="12"/>
      <c r="H57" s="12"/>
      <c r="I57" s="12"/>
      <c r="J57" s="12"/>
      <c r="K57" s="12"/>
      <c r="L57" s="12"/>
      <c r="M57" s="12"/>
      <c r="N57" s="16"/>
      <c r="O57" s="41"/>
      <c r="P57" s="41"/>
      <c r="Q57" s="41"/>
      <c r="R57" s="41"/>
      <c r="S57" s="41"/>
      <c r="T57" s="41"/>
      <c r="U57" s="41"/>
      <c r="V57" s="41"/>
      <c r="W57" s="41"/>
      <c r="X57" s="41"/>
      <c r="Y57" s="41"/>
      <c r="Z57" s="41"/>
    </row>
    <row r="58" spans="1:26" ht="15.75" customHeight="1" x14ac:dyDescent="0.2">
      <c r="A58" s="16"/>
      <c r="B58" s="43"/>
      <c r="C58" s="43"/>
      <c r="D58" s="16"/>
      <c r="E58" s="16"/>
      <c r="F58" s="16"/>
      <c r="G58" s="12"/>
      <c r="H58" s="12"/>
      <c r="I58" s="12"/>
      <c r="J58" s="12"/>
      <c r="K58" s="12"/>
      <c r="L58" s="12"/>
      <c r="M58" s="12"/>
      <c r="N58" s="16"/>
      <c r="O58" s="41"/>
      <c r="P58" s="41"/>
      <c r="Q58" s="41"/>
      <c r="R58" s="41"/>
      <c r="S58" s="41"/>
      <c r="T58" s="41"/>
      <c r="U58" s="41"/>
      <c r="V58" s="41"/>
      <c r="W58" s="41"/>
      <c r="X58" s="41"/>
      <c r="Y58" s="41"/>
      <c r="Z58" s="41"/>
    </row>
    <row r="59" spans="1:26" ht="15.75" customHeight="1" x14ac:dyDescent="0.2">
      <c r="A59" s="16"/>
      <c r="B59" s="43"/>
      <c r="C59" s="43"/>
      <c r="D59" s="16"/>
      <c r="E59" s="16"/>
      <c r="F59" s="16"/>
      <c r="G59" s="12"/>
      <c r="H59" s="12"/>
      <c r="I59" s="12"/>
      <c r="J59" s="12"/>
      <c r="K59" s="12"/>
      <c r="L59" s="12"/>
      <c r="M59" s="12"/>
      <c r="N59" s="16"/>
      <c r="O59" s="41"/>
      <c r="P59" s="41"/>
      <c r="Q59" s="41"/>
      <c r="R59" s="41"/>
      <c r="S59" s="41"/>
      <c r="T59" s="41"/>
      <c r="U59" s="41"/>
      <c r="V59" s="41"/>
      <c r="W59" s="41"/>
      <c r="X59" s="41"/>
      <c r="Y59" s="41"/>
      <c r="Z59" s="41"/>
    </row>
    <row r="60" spans="1:26" ht="15.75" customHeight="1" x14ac:dyDescent="0.2">
      <c r="A60" s="16"/>
      <c r="B60" s="43"/>
      <c r="C60" s="43"/>
      <c r="D60" s="16"/>
      <c r="E60" s="16"/>
      <c r="F60" s="16"/>
      <c r="G60" s="12"/>
      <c r="H60" s="12"/>
      <c r="I60" s="12"/>
      <c r="J60" s="12"/>
      <c r="K60" s="12"/>
      <c r="L60" s="12"/>
      <c r="M60" s="12"/>
      <c r="N60" s="16"/>
      <c r="O60" s="41"/>
      <c r="P60" s="41"/>
      <c r="Q60" s="41"/>
      <c r="R60" s="41"/>
      <c r="S60" s="41"/>
      <c r="T60" s="41"/>
      <c r="U60" s="41"/>
      <c r="V60" s="41"/>
      <c r="W60" s="41"/>
      <c r="X60" s="41"/>
      <c r="Y60" s="41"/>
      <c r="Z60" s="41"/>
    </row>
    <row r="61" spans="1:26" ht="15.75" customHeight="1" x14ac:dyDescent="0.2">
      <c r="A61" s="16"/>
      <c r="B61" s="43"/>
      <c r="C61" s="43"/>
      <c r="D61" s="16"/>
      <c r="E61" s="16"/>
      <c r="F61" s="16"/>
      <c r="G61" s="12"/>
      <c r="H61" s="12"/>
      <c r="I61" s="12"/>
      <c r="J61" s="12"/>
      <c r="K61" s="12"/>
      <c r="L61" s="12"/>
      <c r="M61" s="12"/>
      <c r="N61" s="16"/>
      <c r="O61" s="41"/>
      <c r="P61" s="41"/>
      <c r="Q61" s="41"/>
      <c r="R61" s="41"/>
      <c r="S61" s="41"/>
      <c r="T61" s="41"/>
      <c r="U61" s="41"/>
      <c r="V61" s="41"/>
      <c r="W61" s="41"/>
      <c r="X61" s="41"/>
      <c r="Y61" s="41"/>
      <c r="Z61" s="41"/>
    </row>
    <row r="62" spans="1:26" ht="15.75" customHeight="1" x14ac:dyDescent="0.2">
      <c r="A62" s="16"/>
      <c r="B62" s="43"/>
      <c r="C62" s="43"/>
      <c r="D62" s="16"/>
      <c r="E62" s="16"/>
      <c r="F62" s="16"/>
      <c r="G62" s="12"/>
      <c r="H62" s="12"/>
      <c r="I62" s="12"/>
      <c r="J62" s="12"/>
      <c r="K62" s="12"/>
      <c r="L62" s="12"/>
      <c r="M62" s="12"/>
      <c r="N62" s="16"/>
      <c r="O62" s="41"/>
      <c r="P62" s="41"/>
      <c r="Q62" s="41"/>
      <c r="R62" s="41"/>
      <c r="S62" s="41"/>
      <c r="T62" s="41"/>
      <c r="U62" s="41"/>
      <c r="V62" s="41"/>
      <c r="W62" s="41"/>
      <c r="X62" s="41"/>
      <c r="Y62" s="41"/>
      <c r="Z62" s="41"/>
    </row>
    <row r="63" spans="1:26" ht="15.75" customHeight="1" x14ac:dyDescent="0.2">
      <c r="A63" s="16"/>
      <c r="B63" s="43"/>
      <c r="C63" s="43"/>
      <c r="D63" s="16"/>
      <c r="E63" s="16"/>
      <c r="F63" s="16"/>
      <c r="G63" s="12"/>
      <c r="H63" s="12"/>
      <c r="I63" s="12"/>
      <c r="J63" s="12"/>
      <c r="K63" s="12"/>
      <c r="L63" s="12"/>
      <c r="M63" s="12"/>
      <c r="N63" s="16"/>
      <c r="O63" s="41"/>
      <c r="P63" s="41"/>
      <c r="Q63" s="41"/>
      <c r="R63" s="41"/>
      <c r="S63" s="41"/>
      <c r="T63" s="41"/>
      <c r="U63" s="41"/>
      <c r="V63" s="41"/>
      <c r="W63" s="41"/>
      <c r="X63" s="41"/>
      <c r="Y63" s="41"/>
      <c r="Z63" s="41"/>
    </row>
    <row r="64" spans="1:26" ht="15.75" customHeight="1" x14ac:dyDescent="0.2">
      <c r="A64" s="16"/>
      <c r="B64" s="43"/>
      <c r="C64" s="43"/>
      <c r="D64" s="16"/>
      <c r="E64" s="16"/>
      <c r="F64" s="16"/>
      <c r="G64" s="12"/>
      <c r="H64" s="12"/>
      <c r="I64" s="12"/>
      <c r="J64" s="12"/>
      <c r="K64" s="12"/>
      <c r="L64" s="12"/>
      <c r="M64" s="12"/>
      <c r="N64" s="16"/>
      <c r="O64" s="41"/>
      <c r="P64" s="41"/>
      <c r="Q64" s="41"/>
      <c r="R64" s="41"/>
      <c r="S64" s="41"/>
      <c r="T64" s="41"/>
      <c r="U64" s="41"/>
      <c r="V64" s="41"/>
      <c r="W64" s="41"/>
      <c r="X64" s="41"/>
      <c r="Y64" s="41"/>
      <c r="Z64" s="41"/>
    </row>
    <row r="65" spans="1:26" ht="15.75" customHeight="1" x14ac:dyDescent="0.2">
      <c r="A65" s="16"/>
      <c r="B65" s="43"/>
      <c r="C65" s="43"/>
      <c r="D65" s="16"/>
      <c r="E65" s="16"/>
      <c r="F65" s="16"/>
      <c r="G65" s="12"/>
      <c r="H65" s="12"/>
      <c r="I65" s="12"/>
      <c r="J65" s="12"/>
      <c r="K65" s="12"/>
      <c r="L65" s="12"/>
      <c r="M65" s="12"/>
      <c r="N65" s="16"/>
      <c r="O65" s="41"/>
      <c r="P65" s="41"/>
      <c r="Q65" s="41"/>
      <c r="R65" s="41"/>
      <c r="S65" s="41"/>
      <c r="T65" s="41"/>
      <c r="U65" s="41"/>
      <c r="V65" s="41"/>
      <c r="W65" s="41"/>
      <c r="X65" s="41"/>
      <c r="Y65" s="41"/>
      <c r="Z65" s="41"/>
    </row>
    <row r="66" spans="1:26" ht="15.75" customHeight="1" x14ac:dyDescent="0.2">
      <c r="A66" s="16"/>
      <c r="B66" s="43"/>
      <c r="C66" s="43"/>
      <c r="D66" s="16"/>
      <c r="E66" s="16"/>
      <c r="F66" s="16"/>
      <c r="G66" s="12"/>
      <c r="H66" s="12"/>
      <c r="I66" s="12"/>
      <c r="J66" s="12"/>
      <c r="K66" s="12"/>
      <c r="L66" s="12"/>
      <c r="M66" s="12"/>
      <c r="N66" s="16"/>
      <c r="O66" s="41"/>
      <c r="P66" s="41"/>
      <c r="Q66" s="41"/>
      <c r="R66" s="41"/>
      <c r="S66" s="41"/>
      <c r="T66" s="41"/>
      <c r="U66" s="41"/>
      <c r="V66" s="41"/>
      <c r="W66" s="41"/>
      <c r="X66" s="41"/>
      <c r="Y66" s="41"/>
      <c r="Z66" s="41"/>
    </row>
    <row r="67" spans="1:26" ht="15.75" customHeight="1" x14ac:dyDescent="0.2">
      <c r="A67" s="16"/>
      <c r="B67" s="43"/>
      <c r="C67" s="43"/>
      <c r="D67" s="16"/>
      <c r="E67" s="16"/>
      <c r="F67" s="16"/>
      <c r="G67" s="12"/>
      <c r="H67" s="12"/>
      <c r="I67" s="12"/>
      <c r="J67" s="12"/>
      <c r="K67" s="12"/>
      <c r="L67" s="12"/>
      <c r="M67" s="12"/>
      <c r="N67" s="16"/>
      <c r="O67" s="41"/>
      <c r="P67" s="41"/>
      <c r="Q67" s="41"/>
      <c r="R67" s="41"/>
      <c r="S67" s="41"/>
      <c r="T67" s="41"/>
      <c r="U67" s="41"/>
      <c r="V67" s="41"/>
      <c r="W67" s="41"/>
      <c r="X67" s="41"/>
      <c r="Y67" s="41"/>
      <c r="Z67" s="41"/>
    </row>
    <row r="68" spans="1:26" ht="15.75" customHeight="1" x14ac:dyDescent="0.2">
      <c r="A68" s="16"/>
      <c r="B68" s="43"/>
      <c r="C68" s="43"/>
      <c r="D68" s="16"/>
      <c r="E68" s="16"/>
      <c r="F68" s="16"/>
      <c r="G68" s="12"/>
      <c r="H68" s="12"/>
      <c r="I68" s="12"/>
      <c r="J68" s="12"/>
      <c r="K68" s="12"/>
      <c r="L68" s="12"/>
      <c r="M68" s="12"/>
      <c r="N68" s="16"/>
      <c r="O68" s="41"/>
      <c r="P68" s="41"/>
      <c r="Q68" s="41"/>
      <c r="R68" s="41"/>
      <c r="S68" s="41"/>
      <c r="T68" s="41"/>
      <c r="U68" s="41"/>
      <c r="V68" s="41"/>
      <c r="W68" s="41"/>
      <c r="X68" s="41"/>
      <c r="Y68" s="41"/>
      <c r="Z68" s="41"/>
    </row>
    <row r="69" spans="1:26" ht="15.75" customHeight="1" x14ac:dyDescent="0.2">
      <c r="A69" s="16"/>
      <c r="B69" s="43"/>
      <c r="C69" s="43"/>
      <c r="D69" s="16"/>
      <c r="E69" s="16"/>
      <c r="F69" s="16"/>
      <c r="G69" s="12"/>
      <c r="H69" s="12"/>
      <c r="I69" s="12"/>
      <c r="J69" s="12"/>
      <c r="K69" s="12"/>
      <c r="L69" s="12"/>
      <c r="M69" s="12"/>
      <c r="N69" s="16"/>
      <c r="O69" s="41"/>
      <c r="P69" s="41"/>
      <c r="Q69" s="41"/>
      <c r="R69" s="41"/>
      <c r="S69" s="41"/>
      <c r="T69" s="41"/>
      <c r="U69" s="41"/>
      <c r="V69" s="41"/>
      <c r="W69" s="41"/>
      <c r="X69" s="41"/>
      <c r="Y69" s="41"/>
      <c r="Z69" s="41"/>
    </row>
    <row r="70" spans="1:26" ht="15.75" customHeight="1" x14ac:dyDescent="0.2">
      <c r="A70" s="16"/>
      <c r="B70" s="43"/>
      <c r="C70" s="43"/>
      <c r="D70" s="16"/>
      <c r="E70" s="16"/>
      <c r="F70" s="16"/>
      <c r="G70" s="12"/>
      <c r="H70" s="12"/>
      <c r="I70" s="12"/>
      <c r="J70" s="12"/>
      <c r="K70" s="12"/>
      <c r="L70" s="12"/>
      <c r="M70" s="12"/>
      <c r="N70" s="16"/>
      <c r="O70" s="41"/>
      <c r="P70" s="41"/>
      <c r="Q70" s="41"/>
      <c r="R70" s="41"/>
      <c r="S70" s="41"/>
      <c r="T70" s="41"/>
      <c r="U70" s="41"/>
      <c r="V70" s="41"/>
      <c r="W70" s="41"/>
      <c r="X70" s="41"/>
      <c r="Y70" s="41"/>
      <c r="Z70" s="41"/>
    </row>
    <row r="71" spans="1:26" ht="15.75" customHeight="1" x14ac:dyDescent="0.2">
      <c r="A71" s="16"/>
      <c r="B71" s="43"/>
      <c r="C71" s="43"/>
      <c r="D71" s="16"/>
      <c r="E71" s="16"/>
      <c r="F71" s="16"/>
      <c r="G71" s="12"/>
      <c r="H71" s="12"/>
      <c r="I71" s="12"/>
      <c r="J71" s="12"/>
      <c r="K71" s="12"/>
      <c r="L71" s="12"/>
      <c r="M71" s="12"/>
      <c r="N71" s="16"/>
      <c r="O71" s="41"/>
      <c r="P71" s="41"/>
      <c r="Q71" s="41"/>
      <c r="R71" s="41"/>
      <c r="S71" s="41"/>
      <c r="T71" s="41"/>
      <c r="U71" s="41"/>
      <c r="V71" s="41"/>
      <c r="W71" s="41"/>
      <c r="X71" s="41"/>
      <c r="Y71" s="41"/>
      <c r="Z71" s="41"/>
    </row>
    <row r="72" spans="1:26" ht="15.75" customHeight="1" x14ac:dyDescent="0.2">
      <c r="A72" s="16"/>
      <c r="B72" s="43"/>
      <c r="C72" s="43"/>
      <c r="D72" s="16"/>
      <c r="E72" s="16"/>
      <c r="F72" s="16"/>
      <c r="G72" s="12"/>
      <c r="H72" s="12"/>
      <c r="I72" s="12"/>
      <c r="J72" s="12"/>
      <c r="K72" s="12"/>
      <c r="L72" s="12"/>
      <c r="M72" s="12"/>
      <c r="N72" s="16"/>
      <c r="O72" s="41"/>
      <c r="P72" s="41"/>
      <c r="Q72" s="41"/>
      <c r="R72" s="41"/>
      <c r="S72" s="41"/>
      <c r="T72" s="41"/>
      <c r="U72" s="41"/>
      <c r="V72" s="41"/>
      <c r="W72" s="41"/>
      <c r="X72" s="41"/>
      <c r="Y72" s="41"/>
      <c r="Z72" s="41"/>
    </row>
    <row r="73" spans="1:26" ht="15.75" customHeight="1" x14ac:dyDescent="0.2">
      <c r="A73" s="16"/>
      <c r="B73" s="43"/>
      <c r="C73" s="43"/>
      <c r="D73" s="16"/>
      <c r="E73" s="16"/>
      <c r="F73" s="16"/>
      <c r="G73" s="12"/>
      <c r="H73" s="12"/>
      <c r="I73" s="12"/>
      <c r="J73" s="12"/>
      <c r="K73" s="12"/>
      <c r="L73" s="12"/>
      <c r="M73" s="12"/>
      <c r="N73" s="16"/>
      <c r="O73" s="41"/>
      <c r="P73" s="41"/>
      <c r="Q73" s="41"/>
      <c r="R73" s="41"/>
      <c r="S73" s="41"/>
      <c r="T73" s="41"/>
      <c r="U73" s="41"/>
      <c r="V73" s="41"/>
      <c r="W73" s="41"/>
      <c r="X73" s="41"/>
      <c r="Y73" s="41"/>
      <c r="Z73" s="41"/>
    </row>
    <row r="74" spans="1:26" ht="15.75" customHeight="1" x14ac:dyDescent="0.2">
      <c r="A74" s="16"/>
      <c r="B74" s="43"/>
      <c r="C74" s="43"/>
      <c r="D74" s="16"/>
      <c r="E74" s="16"/>
      <c r="F74" s="16"/>
      <c r="G74" s="12"/>
      <c r="H74" s="12"/>
      <c r="I74" s="12"/>
      <c r="J74" s="12"/>
      <c r="K74" s="12"/>
      <c r="L74" s="12"/>
      <c r="M74" s="12"/>
      <c r="N74" s="16"/>
      <c r="O74" s="41"/>
      <c r="P74" s="41"/>
      <c r="Q74" s="41"/>
      <c r="R74" s="41"/>
      <c r="S74" s="41"/>
      <c r="T74" s="41"/>
      <c r="U74" s="41"/>
      <c r="V74" s="41"/>
      <c r="W74" s="41"/>
      <c r="X74" s="41"/>
      <c r="Y74" s="41"/>
      <c r="Z74" s="41"/>
    </row>
    <row r="75" spans="1:26" ht="15.75" customHeight="1" x14ac:dyDescent="0.2">
      <c r="A75" s="16"/>
      <c r="B75" s="43"/>
      <c r="C75" s="43"/>
      <c r="D75" s="16"/>
      <c r="E75" s="16"/>
      <c r="F75" s="16"/>
      <c r="G75" s="12"/>
      <c r="H75" s="12"/>
      <c r="I75" s="12"/>
      <c r="J75" s="12"/>
      <c r="K75" s="12"/>
      <c r="L75" s="12"/>
      <c r="M75" s="12"/>
      <c r="N75" s="16"/>
      <c r="O75" s="41"/>
      <c r="P75" s="41"/>
      <c r="Q75" s="41"/>
      <c r="R75" s="41"/>
      <c r="S75" s="41"/>
      <c r="T75" s="41"/>
      <c r="U75" s="41"/>
      <c r="V75" s="41"/>
      <c r="W75" s="41"/>
      <c r="X75" s="41"/>
      <c r="Y75" s="41"/>
      <c r="Z75" s="41"/>
    </row>
    <row r="76" spans="1:26" ht="15.75" customHeight="1" x14ac:dyDescent="0.2">
      <c r="A76" s="16"/>
      <c r="B76" s="43"/>
      <c r="C76" s="43"/>
      <c r="D76" s="16"/>
      <c r="E76" s="16"/>
      <c r="F76" s="16"/>
      <c r="G76" s="12"/>
      <c r="H76" s="12"/>
      <c r="I76" s="12"/>
      <c r="J76" s="12"/>
      <c r="K76" s="12"/>
      <c r="L76" s="12"/>
      <c r="M76" s="12"/>
      <c r="N76" s="16"/>
      <c r="O76" s="41"/>
      <c r="P76" s="41"/>
      <c r="Q76" s="41"/>
      <c r="R76" s="41"/>
      <c r="S76" s="41"/>
      <c r="T76" s="41"/>
      <c r="U76" s="41"/>
      <c r="V76" s="41"/>
      <c r="W76" s="41"/>
      <c r="X76" s="41"/>
      <c r="Y76" s="41"/>
      <c r="Z76" s="41"/>
    </row>
    <row r="77" spans="1:26" ht="15.75" customHeight="1" x14ac:dyDescent="0.2">
      <c r="A77" s="16"/>
      <c r="B77" s="43"/>
      <c r="C77" s="43"/>
      <c r="D77" s="16"/>
      <c r="E77" s="16"/>
      <c r="F77" s="16"/>
      <c r="G77" s="12"/>
      <c r="H77" s="12"/>
      <c r="I77" s="12"/>
      <c r="J77" s="12"/>
      <c r="K77" s="12"/>
      <c r="L77" s="12"/>
      <c r="M77" s="12"/>
      <c r="N77" s="16"/>
      <c r="O77" s="41"/>
      <c r="P77" s="41"/>
      <c r="Q77" s="41"/>
      <c r="R77" s="41"/>
      <c r="S77" s="41"/>
      <c r="T77" s="41"/>
      <c r="U77" s="41"/>
      <c r="V77" s="41"/>
      <c r="W77" s="41"/>
      <c r="X77" s="41"/>
      <c r="Y77" s="41"/>
      <c r="Z77" s="41"/>
    </row>
    <row r="78" spans="1:26" ht="15.75" customHeight="1" x14ac:dyDescent="0.2">
      <c r="A78" s="16"/>
      <c r="B78" s="43"/>
      <c r="C78" s="43"/>
      <c r="D78" s="16"/>
      <c r="E78" s="16"/>
      <c r="F78" s="16"/>
      <c r="G78" s="12"/>
      <c r="H78" s="12"/>
      <c r="I78" s="12"/>
      <c r="J78" s="12"/>
      <c r="K78" s="12"/>
      <c r="L78" s="12"/>
      <c r="M78" s="12"/>
      <c r="N78" s="16"/>
      <c r="O78" s="41"/>
      <c r="P78" s="41"/>
      <c r="Q78" s="41"/>
      <c r="R78" s="41"/>
      <c r="S78" s="41"/>
      <c r="T78" s="41"/>
      <c r="U78" s="41"/>
      <c r="V78" s="41"/>
      <c r="W78" s="41"/>
      <c r="X78" s="41"/>
      <c r="Y78" s="41"/>
      <c r="Z78" s="41"/>
    </row>
    <row r="79" spans="1:26" ht="15.75" customHeight="1" x14ac:dyDescent="0.2">
      <c r="A79" s="16"/>
      <c r="B79" s="43"/>
      <c r="C79" s="43"/>
      <c r="D79" s="16"/>
      <c r="E79" s="16"/>
      <c r="F79" s="16"/>
      <c r="G79" s="12"/>
      <c r="H79" s="12"/>
      <c r="I79" s="12"/>
      <c r="J79" s="12"/>
      <c r="K79" s="12"/>
      <c r="L79" s="12"/>
      <c r="M79" s="12"/>
      <c r="N79" s="16"/>
      <c r="O79" s="41"/>
      <c r="P79" s="41"/>
      <c r="Q79" s="41"/>
      <c r="R79" s="41"/>
      <c r="S79" s="41"/>
      <c r="T79" s="41"/>
      <c r="U79" s="41"/>
      <c r="V79" s="41"/>
      <c r="W79" s="41"/>
      <c r="X79" s="41"/>
      <c r="Y79" s="41"/>
      <c r="Z79" s="41"/>
    </row>
    <row r="80" spans="1:26" ht="15.75" customHeight="1" x14ac:dyDescent="0.2">
      <c r="A80" s="16"/>
      <c r="B80" s="43"/>
      <c r="C80" s="43"/>
      <c r="D80" s="16"/>
      <c r="E80" s="16"/>
      <c r="F80" s="16"/>
      <c r="G80" s="12"/>
      <c r="H80" s="12"/>
      <c r="I80" s="12"/>
      <c r="J80" s="12"/>
      <c r="K80" s="12"/>
      <c r="L80" s="12"/>
      <c r="M80" s="12"/>
      <c r="N80" s="16"/>
      <c r="O80" s="41"/>
      <c r="P80" s="41"/>
      <c r="Q80" s="41"/>
      <c r="R80" s="41"/>
      <c r="S80" s="41"/>
      <c r="T80" s="41"/>
      <c r="U80" s="41"/>
      <c r="V80" s="41"/>
      <c r="W80" s="41"/>
      <c r="X80" s="41"/>
      <c r="Y80" s="41"/>
      <c r="Z80" s="41"/>
    </row>
    <row r="81" spans="1:26" ht="15.75" customHeight="1" x14ac:dyDescent="0.2">
      <c r="A81" s="16"/>
      <c r="B81" s="43"/>
      <c r="C81" s="43"/>
      <c r="D81" s="16"/>
      <c r="E81" s="16"/>
      <c r="F81" s="16"/>
      <c r="G81" s="12"/>
      <c r="H81" s="12"/>
      <c r="I81" s="12"/>
      <c r="J81" s="12"/>
      <c r="K81" s="12"/>
      <c r="L81" s="12"/>
      <c r="M81" s="12"/>
      <c r="N81" s="16"/>
      <c r="O81" s="41"/>
      <c r="P81" s="41"/>
      <c r="Q81" s="41"/>
      <c r="R81" s="41"/>
      <c r="S81" s="41"/>
      <c r="T81" s="41"/>
      <c r="U81" s="41"/>
      <c r="V81" s="41"/>
      <c r="W81" s="41"/>
      <c r="X81" s="41"/>
      <c r="Y81" s="41"/>
      <c r="Z81" s="41"/>
    </row>
    <row r="82" spans="1:26" ht="15.75" customHeight="1" x14ac:dyDescent="0.2">
      <c r="A82" s="16"/>
      <c r="B82" s="43"/>
      <c r="C82" s="43"/>
      <c r="D82" s="16"/>
      <c r="E82" s="16"/>
      <c r="F82" s="16"/>
      <c r="G82" s="12"/>
      <c r="H82" s="12"/>
      <c r="I82" s="12"/>
      <c r="J82" s="12"/>
      <c r="K82" s="12"/>
      <c r="L82" s="12"/>
      <c r="M82" s="12"/>
      <c r="N82" s="16"/>
      <c r="O82" s="41"/>
      <c r="P82" s="41"/>
      <c r="Q82" s="41"/>
      <c r="R82" s="41"/>
      <c r="S82" s="41"/>
      <c r="T82" s="41"/>
      <c r="U82" s="41"/>
      <c r="V82" s="41"/>
      <c r="W82" s="41"/>
      <c r="X82" s="41"/>
      <c r="Y82" s="41"/>
      <c r="Z82" s="41"/>
    </row>
    <row r="83" spans="1:26" ht="15.75" customHeight="1" x14ac:dyDescent="0.2">
      <c r="A83" s="16"/>
      <c r="B83" s="43"/>
      <c r="C83" s="43"/>
      <c r="D83" s="16"/>
      <c r="E83" s="16"/>
      <c r="F83" s="16"/>
      <c r="G83" s="12"/>
      <c r="H83" s="12"/>
      <c r="I83" s="12"/>
      <c r="J83" s="12"/>
      <c r="K83" s="12"/>
      <c r="L83" s="12"/>
      <c r="M83" s="12"/>
      <c r="N83" s="16"/>
      <c r="O83" s="41"/>
      <c r="P83" s="41"/>
      <c r="Q83" s="41"/>
      <c r="R83" s="41"/>
      <c r="S83" s="41"/>
      <c r="T83" s="41"/>
      <c r="U83" s="41"/>
      <c r="V83" s="41"/>
      <c r="W83" s="41"/>
      <c r="X83" s="41"/>
      <c r="Y83" s="41"/>
      <c r="Z83" s="41"/>
    </row>
    <row r="84" spans="1:26" ht="15.75" customHeight="1" x14ac:dyDescent="0.2">
      <c r="A84" s="16"/>
      <c r="B84" s="43"/>
      <c r="C84" s="43"/>
      <c r="D84" s="16"/>
      <c r="E84" s="16"/>
      <c r="F84" s="16"/>
      <c r="G84" s="12"/>
      <c r="H84" s="12"/>
      <c r="I84" s="12"/>
      <c r="J84" s="12"/>
      <c r="K84" s="12"/>
      <c r="L84" s="12"/>
      <c r="M84" s="12"/>
      <c r="N84" s="16"/>
      <c r="O84" s="41"/>
      <c r="P84" s="41"/>
      <c r="Q84" s="41"/>
      <c r="R84" s="41"/>
      <c r="S84" s="41"/>
      <c r="T84" s="41"/>
      <c r="U84" s="41"/>
      <c r="V84" s="41"/>
      <c r="W84" s="41"/>
      <c r="X84" s="41"/>
      <c r="Y84" s="41"/>
      <c r="Z84" s="41"/>
    </row>
    <row r="85" spans="1:26" ht="15.75" customHeight="1" x14ac:dyDescent="0.2">
      <c r="A85" s="16"/>
      <c r="B85" s="43"/>
      <c r="C85" s="43"/>
      <c r="D85" s="16"/>
      <c r="E85" s="16"/>
      <c r="F85" s="16"/>
      <c r="G85" s="12"/>
      <c r="H85" s="12"/>
      <c r="I85" s="12"/>
      <c r="J85" s="12"/>
      <c r="K85" s="12"/>
      <c r="L85" s="12"/>
      <c r="M85" s="12"/>
      <c r="N85" s="16"/>
      <c r="O85" s="41"/>
      <c r="P85" s="41"/>
      <c r="Q85" s="41"/>
      <c r="R85" s="41"/>
      <c r="S85" s="41"/>
      <c r="T85" s="41"/>
      <c r="U85" s="41"/>
      <c r="V85" s="41"/>
      <c r="W85" s="41"/>
      <c r="X85" s="41"/>
      <c r="Y85" s="41"/>
      <c r="Z85" s="41"/>
    </row>
    <row r="86" spans="1:26" ht="15.75" customHeight="1" x14ac:dyDescent="0.2">
      <c r="A86" s="16"/>
      <c r="B86" s="43"/>
      <c r="C86" s="43"/>
      <c r="D86" s="16"/>
      <c r="E86" s="16"/>
      <c r="F86" s="16"/>
      <c r="G86" s="12"/>
      <c r="H86" s="12"/>
      <c r="I86" s="12"/>
      <c r="J86" s="12"/>
      <c r="K86" s="12"/>
      <c r="L86" s="12"/>
      <c r="M86" s="12"/>
      <c r="N86" s="16"/>
      <c r="O86" s="41"/>
      <c r="P86" s="41"/>
      <c r="Q86" s="41"/>
      <c r="R86" s="41"/>
      <c r="S86" s="41"/>
      <c r="T86" s="41"/>
      <c r="U86" s="41"/>
      <c r="V86" s="41"/>
      <c r="W86" s="41"/>
      <c r="X86" s="41"/>
      <c r="Y86" s="41"/>
      <c r="Z86" s="41"/>
    </row>
    <row r="87" spans="1:26" ht="15.75" customHeight="1" x14ac:dyDescent="0.2">
      <c r="A87" s="16"/>
      <c r="B87" s="43"/>
      <c r="C87" s="43"/>
      <c r="D87" s="16"/>
      <c r="E87" s="16"/>
      <c r="F87" s="16"/>
      <c r="G87" s="12"/>
      <c r="H87" s="12"/>
      <c r="I87" s="12"/>
      <c r="J87" s="12"/>
      <c r="K87" s="12"/>
      <c r="L87" s="12"/>
      <c r="M87" s="12"/>
      <c r="N87" s="16"/>
      <c r="O87" s="41"/>
      <c r="P87" s="41"/>
      <c r="Q87" s="41"/>
      <c r="R87" s="41"/>
      <c r="S87" s="41"/>
      <c r="T87" s="41"/>
      <c r="U87" s="41"/>
      <c r="V87" s="41"/>
      <c r="W87" s="41"/>
      <c r="X87" s="41"/>
      <c r="Y87" s="41"/>
      <c r="Z87" s="41"/>
    </row>
    <row r="88" spans="1:26" ht="15.75" customHeight="1" x14ac:dyDescent="0.2">
      <c r="A88" s="16"/>
      <c r="B88" s="43"/>
      <c r="C88" s="43"/>
      <c r="D88" s="16"/>
      <c r="E88" s="16"/>
      <c r="F88" s="16"/>
      <c r="G88" s="12"/>
      <c r="H88" s="12"/>
      <c r="I88" s="12"/>
      <c r="J88" s="12"/>
      <c r="K88" s="12"/>
      <c r="L88" s="12"/>
      <c r="M88" s="12"/>
      <c r="N88" s="16"/>
      <c r="O88" s="41"/>
      <c r="P88" s="41"/>
      <c r="Q88" s="41"/>
      <c r="R88" s="41"/>
      <c r="S88" s="41"/>
      <c r="T88" s="41"/>
      <c r="U88" s="41"/>
      <c r="V88" s="41"/>
      <c r="W88" s="41"/>
      <c r="X88" s="41"/>
      <c r="Y88" s="41"/>
      <c r="Z88" s="41"/>
    </row>
    <row r="89" spans="1:26" ht="15.75" customHeight="1" x14ac:dyDescent="0.2">
      <c r="A89" s="16"/>
      <c r="B89" s="43"/>
      <c r="C89" s="43"/>
      <c r="D89" s="16"/>
      <c r="E89" s="16"/>
      <c r="F89" s="16"/>
      <c r="G89" s="12"/>
      <c r="H89" s="12"/>
      <c r="I89" s="12"/>
      <c r="J89" s="12"/>
      <c r="K89" s="12"/>
      <c r="L89" s="12"/>
      <c r="M89" s="12"/>
      <c r="N89" s="16"/>
      <c r="O89" s="41"/>
      <c r="P89" s="41"/>
      <c r="Q89" s="41"/>
      <c r="R89" s="41"/>
      <c r="S89" s="41"/>
      <c r="T89" s="41"/>
      <c r="U89" s="41"/>
      <c r="V89" s="41"/>
      <c r="W89" s="41"/>
      <c r="X89" s="41"/>
      <c r="Y89" s="41"/>
      <c r="Z89" s="41"/>
    </row>
    <row r="90" spans="1:26" ht="15.75" customHeight="1" x14ac:dyDescent="0.2">
      <c r="A90" s="16"/>
      <c r="B90" s="43"/>
      <c r="C90" s="43"/>
      <c r="D90" s="16"/>
      <c r="E90" s="16"/>
      <c r="F90" s="16"/>
      <c r="G90" s="12"/>
      <c r="H90" s="12"/>
      <c r="I90" s="12"/>
      <c r="J90" s="12"/>
      <c r="K90" s="12"/>
      <c r="L90" s="12"/>
      <c r="M90" s="12"/>
      <c r="N90" s="16"/>
      <c r="O90" s="41"/>
      <c r="P90" s="41"/>
      <c r="Q90" s="41"/>
      <c r="R90" s="41"/>
      <c r="S90" s="41"/>
      <c r="T90" s="41"/>
      <c r="U90" s="41"/>
      <c r="V90" s="41"/>
      <c r="W90" s="41"/>
      <c r="X90" s="41"/>
      <c r="Y90" s="41"/>
      <c r="Z90" s="41"/>
    </row>
    <row r="91" spans="1:26" ht="15.75" customHeight="1" x14ac:dyDescent="0.2">
      <c r="A91" s="16"/>
      <c r="B91" s="43"/>
      <c r="C91" s="43"/>
      <c r="D91" s="16"/>
      <c r="E91" s="16"/>
      <c r="F91" s="16"/>
      <c r="G91" s="12"/>
      <c r="H91" s="12"/>
      <c r="I91" s="12"/>
      <c r="J91" s="12"/>
      <c r="K91" s="12"/>
      <c r="L91" s="12"/>
      <c r="M91" s="12"/>
      <c r="N91" s="16"/>
      <c r="O91" s="41"/>
      <c r="P91" s="41"/>
      <c r="Q91" s="41"/>
      <c r="R91" s="41"/>
      <c r="S91" s="41"/>
      <c r="T91" s="41"/>
      <c r="U91" s="41"/>
      <c r="V91" s="41"/>
      <c r="W91" s="41"/>
      <c r="X91" s="41"/>
      <c r="Y91" s="41"/>
      <c r="Z91" s="41"/>
    </row>
    <row r="92" spans="1:26" ht="15.75" customHeight="1" x14ac:dyDescent="0.2">
      <c r="A92" s="16"/>
      <c r="B92" s="43"/>
      <c r="C92" s="43"/>
      <c r="D92" s="16"/>
      <c r="E92" s="16"/>
      <c r="F92" s="16"/>
      <c r="G92" s="12"/>
      <c r="H92" s="12"/>
      <c r="I92" s="12"/>
      <c r="J92" s="12"/>
      <c r="K92" s="12"/>
      <c r="L92" s="12"/>
      <c r="M92" s="12"/>
      <c r="N92" s="16"/>
      <c r="O92" s="41"/>
      <c r="P92" s="41"/>
      <c r="Q92" s="41"/>
      <c r="R92" s="41"/>
      <c r="S92" s="41"/>
      <c r="T92" s="41"/>
      <c r="U92" s="41"/>
      <c r="V92" s="41"/>
      <c r="W92" s="41"/>
      <c r="X92" s="41"/>
      <c r="Y92" s="41"/>
      <c r="Z92" s="41"/>
    </row>
    <row r="93" spans="1:26" ht="15.75" customHeight="1" x14ac:dyDescent="0.2">
      <c r="A93" s="16"/>
      <c r="B93" s="43"/>
      <c r="C93" s="43"/>
      <c r="D93" s="16"/>
      <c r="E93" s="16"/>
      <c r="F93" s="16"/>
      <c r="G93" s="12"/>
      <c r="H93" s="12"/>
      <c r="I93" s="12"/>
      <c r="J93" s="12"/>
      <c r="K93" s="12"/>
      <c r="L93" s="12"/>
      <c r="M93" s="12"/>
      <c r="N93" s="16"/>
      <c r="O93" s="41"/>
      <c r="P93" s="41"/>
      <c r="Q93" s="41"/>
      <c r="R93" s="41"/>
      <c r="S93" s="41"/>
      <c r="T93" s="41"/>
      <c r="U93" s="41"/>
      <c r="V93" s="41"/>
      <c r="W93" s="41"/>
      <c r="X93" s="41"/>
      <c r="Y93" s="41"/>
      <c r="Z93" s="41"/>
    </row>
    <row r="94" spans="1:26" ht="15.75" customHeight="1" x14ac:dyDescent="0.2">
      <c r="A94" s="16"/>
      <c r="B94" s="43"/>
      <c r="C94" s="43"/>
      <c r="D94" s="16"/>
      <c r="E94" s="16"/>
      <c r="F94" s="16"/>
      <c r="G94" s="12"/>
      <c r="H94" s="12"/>
      <c r="I94" s="12"/>
      <c r="J94" s="12"/>
      <c r="K94" s="12"/>
      <c r="L94" s="12"/>
      <c r="M94" s="12"/>
      <c r="N94" s="16"/>
      <c r="O94" s="41"/>
      <c r="P94" s="41"/>
      <c r="Q94" s="41"/>
      <c r="R94" s="41"/>
      <c r="S94" s="41"/>
      <c r="T94" s="41"/>
      <c r="U94" s="41"/>
      <c r="V94" s="41"/>
      <c r="W94" s="41"/>
      <c r="X94" s="41"/>
      <c r="Y94" s="41"/>
      <c r="Z94" s="41"/>
    </row>
    <row r="95" spans="1:26" ht="15.75" customHeight="1" x14ac:dyDescent="0.2">
      <c r="A95" s="16"/>
      <c r="B95" s="43"/>
      <c r="C95" s="43"/>
      <c r="D95" s="16"/>
      <c r="E95" s="16"/>
      <c r="F95" s="16"/>
      <c r="G95" s="12"/>
      <c r="H95" s="12"/>
      <c r="I95" s="12"/>
      <c r="J95" s="12"/>
      <c r="K95" s="12"/>
      <c r="L95" s="12"/>
      <c r="M95" s="12"/>
      <c r="N95" s="16"/>
      <c r="O95" s="41"/>
      <c r="P95" s="41"/>
      <c r="Q95" s="41"/>
      <c r="R95" s="41"/>
      <c r="S95" s="41"/>
      <c r="T95" s="41"/>
      <c r="U95" s="41"/>
      <c r="V95" s="41"/>
      <c r="W95" s="41"/>
      <c r="X95" s="41"/>
      <c r="Y95" s="41"/>
      <c r="Z95" s="41"/>
    </row>
    <row r="96" spans="1:26" ht="15.75" customHeight="1" x14ac:dyDescent="0.2">
      <c r="A96" s="16"/>
      <c r="B96" s="43"/>
      <c r="C96" s="43"/>
      <c r="D96" s="16"/>
      <c r="E96" s="16"/>
      <c r="F96" s="16"/>
      <c r="G96" s="12"/>
      <c r="H96" s="12"/>
      <c r="I96" s="12"/>
      <c r="J96" s="12"/>
      <c r="K96" s="12"/>
      <c r="L96" s="12"/>
      <c r="M96" s="12"/>
      <c r="N96" s="16"/>
      <c r="O96" s="41"/>
      <c r="P96" s="41"/>
      <c r="Q96" s="41"/>
      <c r="R96" s="41"/>
      <c r="S96" s="41"/>
      <c r="T96" s="41"/>
      <c r="U96" s="41"/>
      <c r="V96" s="41"/>
      <c r="W96" s="41"/>
      <c r="X96" s="41"/>
      <c r="Y96" s="41"/>
      <c r="Z96" s="41"/>
    </row>
    <row r="97" spans="1:26" ht="15.75" customHeight="1" x14ac:dyDescent="0.2">
      <c r="A97" s="16"/>
      <c r="B97" s="43"/>
      <c r="C97" s="43"/>
      <c r="D97" s="16"/>
      <c r="E97" s="16"/>
      <c r="F97" s="16"/>
      <c r="G97" s="12"/>
      <c r="H97" s="12"/>
      <c r="I97" s="12"/>
      <c r="J97" s="12"/>
      <c r="K97" s="12"/>
      <c r="L97" s="12"/>
      <c r="M97" s="12"/>
      <c r="N97" s="16"/>
      <c r="O97" s="41"/>
      <c r="P97" s="41"/>
      <c r="Q97" s="41"/>
      <c r="R97" s="41"/>
      <c r="S97" s="41"/>
      <c r="T97" s="41"/>
      <c r="U97" s="41"/>
      <c r="V97" s="41"/>
      <c r="W97" s="41"/>
      <c r="X97" s="41"/>
      <c r="Y97" s="41"/>
      <c r="Z97" s="41"/>
    </row>
    <row r="98" spans="1:26" ht="15.75" customHeight="1" x14ac:dyDescent="0.2">
      <c r="A98" s="16"/>
      <c r="B98" s="43"/>
      <c r="C98" s="43"/>
      <c r="D98" s="16"/>
      <c r="E98" s="16"/>
      <c r="F98" s="16"/>
      <c r="G98" s="12"/>
      <c r="H98" s="12"/>
      <c r="I98" s="12"/>
      <c r="J98" s="12"/>
      <c r="K98" s="12"/>
      <c r="L98" s="12"/>
      <c r="M98" s="12"/>
      <c r="N98" s="16"/>
      <c r="O98" s="41"/>
      <c r="P98" s="41"/>
      <c r="Q98" s="41"/>
      <c r="R98" s="41"/>
      <c r="S98" s="41"/>
      <c r="T98" s="41"/>
      <c r="U98" s="41"/>
      <c r="V98" s="41"/>
      <c r="W98" s="41"/>
      <c r="X98" s="41"/>
      <c r="Y98" s="41"/>
      <c r="Z98" s="41"/>
    </row>
    <row r="99" spans="1:26" ht="15.75" customHeight="1" x14ac:dyDescent="0.2">
      <c r="A99" s="16"/>
      <c r="B99" s="43"/>
      <c r="C99" s="43"/>
      <c r="D99" s="16"/>
      <c r="E99" s="16"/>
      <c r="F99" s="16"/>
      <c r="G99" s="12"/>
      <c r="H99" s="12"/>
      <c r="I99" s="12"/>
      <c r="J99" s="12"/>
      <c r="K99" s="12"/>
      <c r="L99" s="12"/>
      <c r="M99" s="12"/>
      <c r="N99" s="16"/>
      <c r="O99" s="41"/>
      <c r="P99" s="41"/>
      <c r="Q99" s="41"/>
      <c r="R99" s="41"/>
      <c r="S99" s="41"/>
      <c r="T99" s="41"/>
      <c r="U99" s="41"/>
      <c r="V99" s="41"/>
      <c r="W99" s="41"/>
      <c r="X99" s="41"/>
      <c r="Y99" s="41"/>
      <c r="Z99" s="41"/>
    </row>
    <row r="100" spans="1:26" ht="15.75" customHeight="1" x14ac:dyDescent="0.2">
      <c r="A100" s="16"/>
      <c r="B100" s="43"/>
      <c r="C100" s="43"/>
      <c r="D100" s="16"/>
      <c r="E100" s="16"/>
      <c r="F100" s="16"/>
      <c r="G100" s="12"/>
      <c r="H100" s="12"/>
      <c r="I100" s="12"/>
      <c r="J100" s="12"/>
      <c r="K100" s="12"/>
      <c r="L100" s="12"/>
      <c r="M100" s="12"/>
      <c r="N100" s="16"/>
      <c r="O100" s="41"/>
      <c r="P100" s="41"/>
      <c r="Q100" s="41"/>
      <c r="R100" s="41"/>
      <c r="S100" s="41"/>
      <c r="T100" s="41"/>
      <c r="U100" s="41"/>
      <c r="V100" s="41"/>
      <c r="W100" s="41"/>
      <c r="X100" s="41"/>
      <c r="Y100" s="41"/>
      <c r="Z100" s="41"/>
    </row>
    <row r="101" spans="1:26" ht="15.75" customHeight="1" x14ac:dyDescent="0.2">
      <c r="A101" s="16"/>
      <c r="B101" s="43"/>
      <c r="C101" s="43"/>
      <c r="D101" s="16"/>
      <c r="E101" s="16"/>
      <c r="F101" s="16"/>
      <c r="G101" s="12"/>
      <c r="H101" s="12"/>
      <c r="I101" s="12"/>
      <c r="J101" s="12"/>
      <c r="K101" s="12"/>
      <c r="L101" s="12"/>
      <c r="M101" s="12"/>
      <c r="N101" s="16"/>
      <c r="O101" s="41"/>
      <c r="P101" s="41"/>
      <c r="Q101" s="41"/>
      <c r="R101" s="41"/>
      <c r="S101" s="41"/>
      <c r="T101" s="41"/>
      <c r="U101" s="41"/>
      <c r="V101" s="41"/>
      <c r="W101" s="41"/>
      <c r="X101" s="41"/>
      <c r="Y101" s="41"/>
      <c r="Z101" s="41"/>
    </row>
    <row r="102" spans="1:26" ht="15.75" customHeight="1" x14ac:dyDescent="0.2">
      <c r="A102" s="16"/>
      <c r="B102" s="43"/>
      <c r="C102" s="43"/>
      <c r="D102" s="16"/>
      <c r="E102" s="16"/>
      <c r="F102" s="16"/>
      <c r="G102" s="12"/>
      <c r="H102" s="12"/>
      <c r="I102" s="12"/>
      <c r="J102" s="12"/>
      <c r="K102" s="12"/>
      <c r="L102" s="12"/>
      <c r="M102" s="12"/>
      <c r="N102" s="16"/>
      <c r="O102" s="41"/>
      <c r="P102" s="41"/>
      <c r="Q102" s="41"/>
      <c r="R102" s="41"/>
      <c r="S102" s="41"/>
      <c r="T102" s="41"/>
      <c r="U102" s="41"/>
      <c r="V102" s="41"/>
      <c r="W102" s="41"/>
      <c r="X102" s="41"/>
      <c r="Y102" s="41"/>
      <c r="Z102" s="41"/>
    </row>
    <row r="103" spans="1:26" ht="15.75" customHeight="1" x14ac:dyDescent="0.2">
      <c r="A103" s="16"/>
      <c r="B103" s="43"/>
      <c r="C103" s="43"/>
      <c r="D103" s="16"/>
      <c r="E103" s="16"/>
      <c r="F103" s="16"/>
      <c r="G103" s="12"/>
      <c r="H103" s="12"/>
      <c r="I103" s="12"/>
      <c r="J103" s="12"/>
      <c r="K103" s="12"/>
      <c r="L103" s="12"/>
      <c r="M103" s="12"/>
      <c r="N103" s="16"/>
      <c r="O103" s="41"/>
      <c r="P103" s="41"/>
      <c r="Q103" s="41"/>
      <c r="R103" s="41"/>
      <c r="S103" s="41"/>
      <c r="T103" s="41"/>
      <c r="U103" s="41"/>
      <c r="V103" s="41"/>
      <c r="W103" s="41"/>
      <c r="X103" s="41"/>
      <c r="Y103" s="41"/>
      <c r="Z103" s="41"/>
    </row>
    <row r="104" spans="1:26" ht="15.75" customHeight="1" x14ac:dyDescent="0.2">
      <c r="A104" s="16"/>
      <c r="B104" s="43"/>
      <c r="C104" s="43"/>
      <c r="D104" s="16"/>
      <c r="E104" s="16"/>
      <c r="F104" s="16"/>
      <c r="G104" s="12"/>
      <c r="H104" s="12"/>
      <c r="I104" s="12"/>
      <c r="J104" s="12"/>
      <c r="K104" s="12"/>
      <c r="L104" s="12"/>
      <c r="M104" s="12"/>
      <c r="N104" s="16"/>
      <c r="O104" s="41"/>
      <c r="P104" s="41"/>
      <c r="Q104" s="41"/>
      <c r="R104" s="41"/>
      <c r="S104" s="41"/>
      <c r="T104" s="41"/>
      <c r="U104" s="41"/>
      <c r="V104" s="41"/>
      <c r="W104" s="41"/>
      <c r="X104" s="41"/>
      <c r="Y104" s="41"/>
      <c r="Z104" s="41"/>
    </row>
    <row r="105" spans="1:26" ht="15.75" customHeight="1" x14ac:dyDescent="0.2">
      <c r="A105" s="16"/>
      <c r="B105" s="43"/>
      <c r="C105" s="43"/>
      <c r="D105" s="16"/>
      <c r="E105" s="16"/>
      <c r="F105" s="16"/>
      <c r="G105" s="12"/>
      <c r="H105" s="12"/>
      <c r="I105" s="12"/>
      <c r="J105" s="12"/>
      <c r="K105" s="12"/>
      <c r="L105" s="12"/>
      <c r="M105" s="12"/>
      <c r="N105" s="16"/>
      <c r="O105" s="41"/>
      <c r="P105" s="41"/>
      <c r="Q105" s="41"/>
      <c r="R105" s="41"/>
      <c r="S105" s="41"/>
      <c r="T105" s="41"/>
      <c r="U105" s="41"/>
      <c r="V105" s="41"/>
      <c r="W105" s="41"/>
      <c r="X105" s="41"/>
      <c r="Y105" s="41"/>
      <c r="Z105" s="41"/>
    </row>
    <row r="106" spans="1:26" ht="15.75" customHeight="1" x14ac:dyDescent="0.2">
      <c r="A106" s="16"/>
      <c r="B106" s="43"/>
      <c r="C106" s="43"/>
      <c r="D106" s="16"/>
      <c r="E106" s="16"/>
      <c r="F106" s="16"/>
      <c r="G106" s="12"/>
      <c r="H106" s="12"/>
      <c r="I106" s="12"/>
      <c r="J106" s="12"/>
      <c r="K106" s="12"/>
      <c r="L106" s="12"/>
      <c r="M106" s="12"/>
      <c r="N106" s="16"/>
      <c r="O106" s="41"/>
      <c r="P106" s="41"/>
      <c r="Q106" s="41"/>
      <c r="R106" s="41"/>
      <c r="S106" s="41"/>
      <c r="T106" s="41"/>
      <c r="U106" s="41"/>
      <c r="V106" s="41"/>
      <c r="W106" s="41"/>
      <c r="X106" s="41"/>
      <c r="Y106" s="41"/>
      <c r="Z106" s="41"/>
    </row>
    <row r="107" spans="1:26" ht="15.75" customHeight="1" x14ac:dyDescent="0.2">
      <c r="A107" s="16"/>
      <c r="B107" s="43"/>
      <c r="C107" s="43"/>
      <c r="D107" s="16"/>
      <c r="E107" s="16"/>
      <c r="F107" s="16"/>
      <c r="G107" s="12"/>
      <c r="H107" s="12"/>
      <c r="I107" s="12"/>
      <c r="J107" s="12"/>
      <c r="K107" s="12"/>
      <c r="L107" s="12"/>
      <c r="M107" s="12"/>
      <c r="N107" s="16"/>
      <c r="O107" s="41"/>
      <c r="P107" s="41"/>
      <c r="Q107" s="41"/>
      <c r="R107" s="41"/>
      <c r="S107" s="41"/>
      <c r="T107" s="41"/>
      <c r="U107" s="41"/>
      <c r="V107" s="41"/>
      <c r="W107" s="41"/>
      <c r="X107" s="41"/>
      <c r="Y107" s="41"/>
      <c r="Z107" s="41"/>
    </row>
    <row r="108" spans="1:26" ht="15.75" customHeight="1" x14ac:dyDescent="0.2">
      <c r="A108" s="16"/>
      <c r="B108" s="43"/>
      <c r="C108" s="43"/>
      <c r="D108" s="16"/>
      <c r="E108" s="16"/>
      <c r="F108" s="16"/>
      <c r="G108" s="12"/>
      <c r="H108" s="12"/>
      <c r="I108" s="12"/>
      <c r="J108" s="12"/>
      <c r="K108" s="12"/>
      <c r="L108" s="12"/>
      <c r="M108" s="12"/>
      <c r="N108" s="16"/>
      <c r="O108" s="41"/>
      <c r="P108" s="41"/>
      <c r="Q108" s="41"/>
      <c r="R108" s="41"/>
      <c r="S108" s="41"/>
      <c r="T108" s="41"/>
      <c r="U108" s="41"/>
      <c r="V108" s="41"/>
      <c r="W108" s="41"/>
      <c r="X108" s="41"/>
      <c r="Y108" s="41"/>
      <c r="Z108" s="41"/>
    </row>
    <row r="109" spans="1:26" ht="15.75" customHeight="1" x14ac:dyDescent="0.2">
      <c r="A109" s="16"/>
      <c r="B109" s="43"/>
      <c r="C109" s="43"/>
      <c r="D109" s="16"/>
      <c r="E109" s="16"/>
      <c r="F109" s="16"/>
      <c r="G109" s="12"/>
      <c r="H109" s="12"/>
      <c r="I109" s="12"/>
      <c r="J109" s="12"/>
      <c r="K109" s="12"/>
      <c r="L109" s="12"/>
      <c r="M109" s="12"/>
      <c r="N109" s="16"/>
      <c r="O109" s="41"/>
      <c r="P109" s="41"/>
      <c r="Q109" s="41"/>
      <c r="R109" s="41"/>
      <c r="S109" s="41"/>
      <c r="T109" s="41"/>
      <c r="U109" s="41"/>
      <c r="V109" s="41"/>
      <c r="W109" s="41"/>
      <c r="X109" s="41"/>
      <c r="Y109" s="41"/>
      <c r="Z109" s="41"/>
    </row>
    <row r="110" spans="1:26" ht="15.75" customHeight="1" x14ac:dyDescent="0.2">
      <c r="A110" s="16"/>
      <c r="B110" s="43"/>
      <c r="C110" s="43"/>
      <c r="D110" s="16"/>
      <c r="E110" s="16"/>
      <c r="F110" s="16"/>
      <c r="G110" s="12"/>
      <c r="H110" s="12"/>
      <c r="I110" s="12"/>
      <c r="J110" s="12"/>
      <c r="K110" s="12"/>
      <c r="L110" s="12"/>
      <c r="M110" s="12"/>
      <c r="N110" s="16"/>
      <c r="O110" s="41"/>
      <c r="P110" s="41"/>
      <c r="Q110" s="41"/>
      <c r="R110" s="41"/>
      <c r="S110" s="41"/>
      <c r="T110" s="41"/>
      <c r="U110" s="41"/>
      <c r="V110" s="41"/>
      <c r="W110" s="41"/>
      <c r="X110" s="41"/>
      <c r="Y110" s="41"/>
      <c r="Z110" s="41"/>
    </row>
    <row r="111" spans="1:26" ht="15.75" customHeight="1" x14ac:dyDescent="0.2">
      <c r="A111" s="16"/>
      <c r="B111" s="43"/>
      <c r="C111" s="43"/>
      <c r="D111" s="16"/>
      <c r="E111" s="16"/>
      <c r="F111" s="16"/>
      <c r="G111" s="12"/>
      <c r="H111" s="12"/>
      <c r="I111" s="12"/>
      <c r="J111" s="12"/>
      <c r="K111" s="12"/>
      <c r="L111" s="12"/>
      <c r="M111" s="12"/>
      <c r="N111" s="16"/>
      <c r="O111" s="41"/>
      <c r="P111" s="41"/>
      <c r="Q111" s="41"/>
      <c r="R111" s="41"/>
      <c r="S111" s="41"/>
      <c r="T111" s="41"/>
      <c r="U111" s="41"/>
      <c r="V111" s="41"/>
      <c r="W111" s="41"/>
      <c r="X111" s="41"/>
      <c r="Y111" s="41"/>
      <c r="Z111" s="41"/>
    </row>
    <row r="112" spans="1:26" ht="15.75" customHeight="1" x14ac:dyDescent="0.2">
      <c r="A112" s="16"/>
      <c r="B112" s="43"/>
      <c r="C112" s="43"/>
      <c r="D112" s="16"/>
      <c r="E112" s="16"/>
      <c r="F112" s="16"/>
      <c r="G112" s="12"/>
      <c r="H112" s="12"/>
      <c r="I112" s="12"/>
      <c r="J112" s="12"/>
      <c r="K112" s="12"/>
      <c r="L112" s="12"/>
      <c r="M112" s="12"/>
      <c r="N112" s="16"/>
      <c r="O112" s="41"/>
      <c r="P112" s="41"/>
      <c r="Q112" s="41"/>
      <c r="R112" s="41"/>
      <c r="S112" s="41"/>
      <c r="T112" s="41"/>
      <c r="U112" s="41"/>
      <c r="V112" s="41"/>
      <c r="W112" s="41"/>
      <c r="X112" s="41"/>
      <c r="Y112" s="41"/>
      <c r="Z112" s="41"/>
    </row>
    <row r="113" spans="1:26" ht="15.75" customHeight="1" x14ac:dyDescent="0.2">
      <c r="A113" s="16"/>
      <c r="B113" s="43"/>
      <c r="C113" s="43"/>
      <c r="D113" s="16"/>
      <c r="E113" s="16"/>
      <c r="F113" s="16"/>
      <c r="G113" s="12"/>
      <c r="H113" s="12"/>
      <c r="I113" s="12"/>
      <c r="J113" s="12"/>
      <c r="K113" s="12"/>
      <c r="L113" s="12"/>
      <c r="M113" s="12"/>
      <c r="N113" s="16"/>
      <c r="O113" s="41"/>
      <c r="P113" s="41"/>
      <c r="Q113" s="41"/>
      <c r="R113" s="41"/>
      <c r="S113" s="41"/>
      <c r="T113" s="41"/>
      <c r="U113" s="41"/>
      <c r="V113" s="41"/>
      <c r="W113" s="41"/>
      <c r="X113" s="41"/>
      <c r="Y113" s="41"/>
      <c r="Z113" s="41"/>
    </row>
    <row r="114" spans="1:26" ht="15.75" customHeight="1" x14ac:dyDescent="0.2">
      <c r="A114" s="16"/>
      <c r="B114" s="43"/>
      <c r="C114" s="43"/>
      <c r="D114" s="16"/>
      <c r="E114" s="16"/>
      <c r="F114" s="16"/>
      <c r="G114" s="12"/>
      <c r="H114" s="12"/>
      <c r="I114" s="12"/>
      <c r="J114" s="12"/>
      <c r="K114" s="12"/>
      <c r="L114" s="12"/>
      <c r="M114" s="12"/>
      <c r="N114" s="16"/>
      <c r="O114" s="41"/>
      <c r="P114" s="41"/>
      <c r="Q114" s="41"/>
      <c r="R114" s="41"/>
      <c r="S114" s="41"/>
      <c r="T114" s="41"/>
      <c r="U114" s="41"/>
      <c r="V114" s="41"/>
      <c r="W114" s="41"/>
      <c r="X114" s="41"/>
      <c r="Y114" s="41"/>
      <c r="Z114" s="41"/>
    </row>
    <row r="115" spans="1:26" ht="15.75" customHeight="1" x14ac:dyDescent="0.2">
      <c r="A115" s="16"/>
      <c r="B115" s="43"/>
      <c r="C115" s="43"/>
      <c r="D115" s="16"/>
      <c r="E115" s="16"/>
      <c r="F115" s="16"/>
      <c r="G115" s="12"/>
      <c r="H115" s="12"/>
      <c r="I115" s="12"/>
      <c r="J115" s="12"/>
      <c r="K115" s="12"/>
      <c r="L115" s="12"/>
      <c r="M115" s="12"/>
      <c r="N115" s="16"/>
      <c r="O115" s="41"/>
      <c r="P115" s="41"/>
      <c r="Q115" s="41"/>
      <c r="R115" s="41"/>
      <c r="S115" s="41"/>
      <c r="T115" s="41"/>
      <c r="U115" s="41"/>
      <c r="V115" s="41"/>
      <c r="W115" s="41"/>
      <c r="X115" s="41"/>
      <c r="Y115" s="41"/>
      <c r="Z115" s="41"/>
    </row>
    <row r="116" spans="1:26" ht="15.75" customHeight="1" x14ac:dyDescent="0.2">
      <c r="A116" s="16"/>
      <c r="B116" s="43"/>
      <c r="C116" s="43"/>
      <c r="D116" s="16"/>
      <c r="E116" s="16"/>
      <c r="F116" s="16"/>
      <c r="G116" s="12"/>
      <c r="H116" s="12"/>
      <c r="I116" s="12"/>
      <c r="J116" s="12"/>
      <c r="K116" s="12"/>
      <c r="L116" s="12"/>
      <c r="M116" s="12"/>
      <c r="N116" s="16"/>
      <c r="O116" s="41"/>
      <c r="P116" s="41"/>
      <c r="Q116" s="41"/>
      <c r="R116" s="41"/>
      <c r="S116" s="41"/>
      <c r="T116" s="41"/>
      <c r="U116" s="41"/>
      <c r="V116" s="41"/>
      <c r="W116" s="41"/>
      <c r="X116" s="41"/>
      <c r="Y116" s="41"/>
      <c r="Z116" s="41"/>
    </row>
    <row r="117" spans="1:26" ht="15.75" customHeight="1" x14ac:dyDescent="0.2">
      <c r="A117" s="16"/>
      <c r="B117" s="43"/>
      <c r="C117" s="43"/>
      <c r="D117" s="16"/>
      <c r="E117" s="16"/>
      <c r="F117" s="16"/>
      <c r="G117" s="12"/>
      <c r="H117" s="12"/>
      <c r="I117" s="12"/>
      <c r="J117" s="12"/>
      <c r="K117" s="12"/>
      <c r="L117" s="12"/>
      <c r="M117" s="12"/>
      <c r="N117" s="16"/>
      <c r="O117" s="41"/>
      <c r="P117" s="41"/>
      <c r="Q117" s="41"/>
      <c r="R117" s="41"/>
      <c r="S117" s="41"/>
      <c r="T117" s="41"/>
      <c r="U117" s="41"/>
      <c r="V117" s="41"/>
      <c r="W117" s="41"/>
      <c r="X117" s="41"/>
      <c r="Y117" s="41"/>
      <c r="Z117" s="41"/>
    </row>
    <row r="118" spans="1:26" ht="15.75" customHeight="1" x14ac:dyDescent="0.2">
      <c r="A118" s="16"/>
      <c r="B118" s="43"/>
      <c r="C118" s="43"/>
      <c r="D118" s="16"/>
      <c r="E118" s="16"/>
      <c r="F118" s="16"/>
      <c r="G118" s="12"/>
      <c r="H118" s="12"/>
      <c r="I118" s="12"/>
      <c r="J118" s="12"/>
      <c r="K118" s="12"/>
      <c r="L118" s="12"/>
      <c r="M118" s="12"/>
      <c r="N118" s="16"/>
      <c r="O118" s="41"/>
      <c r="P118" s="41"/>
      <c r="Q118" s="41"/>
      <c r="R118" s="41"/>
      <c r="S118" s="41"/>
      <c r="T118" s="41"/>
      <c r="U118" s="41"/>
      <c r="V118" s="41"/>
      <c r="W118" s="41"/>
      <c r="X118" s="41"/>
      <c r="Y118" s="41"/>
      <c r="Z118" s="41"/>
    </row>
    <row r="119" spans="1:26" ht="15.75" customHeight="1" x14ac:dyDescent="0.2">
      <c r="A119" s="16"/>
      <c r="B119" s="43"/>
      <c r="C119" s="43"/>
      <c r="D119" s="16"/>
      <c r="E119" s="16"/>
      <c r="F119" s="16"/>
      <c r="G119" s="12"/>
      <c r="H119" s="12"/>
      <c r="I119" s="12"/>
      <c r="J119" s="12"/>
      <c r="K119" s="12"/>
      <c r="L119" s="12"/>
      <c r="M119" s="12"/>
      <c r="N119" s="16"/>
      <c r="O119" s="41"/>
      <c r="P119" s="41"/>
      <c r="Q119" s="41"/>
      <c r="R119" s="41"/>
      <c r="S119" s="41"/>
      <c r="T119" s="41"/>
      <c r="U119" s="41"/>
      <c r="V119" s="41"/>
      <c r="W119" s="41"/>
      <c r="X119" s="41"/>
      <c r="Y119" s="41"/>
      <c r="Z119" s="41"/>
    </row>
    <row r="120" spans="1:26" ht="15.75" customHeight="1" x14ac:dyDescent="0.2">
      <c r="A120" s="16"/>
      <c r="B120" s="43"/>
      <c r="C120" s="43"/>
      <c r="D120" s="16"/>
      <c r="E120" s="16"/>
      <c r="F120" s="16"/>
      <c r="G120" s="12"/>
      <c r="H120" s="12"/>
      <c r="I120" s="12"/>
      <c r="J120" s="12"/>
      <c r="K120" s="12"/>
      <c r="L120" s="12"/>
      <c r="M120" s="12"/>
      <c r="N120" s="16"/>
      <c r="O120" s="41"/>
      <c r="P120" s="41"/>
      <c r="Q120" s="41"/>
      <c r="R120" s="41"/>
      <c r="S120" s="41"/>
      <c r="T120" s="41"/>
      <c r="U120" s="41"/>
      <c r="V120" s="41"/>
      <c r="W120" s="41"/>
      <c r="X120" s="41"/>
      <c r="Y120" s="41"/>
      <c r="Z120" s="41"/>
    </row>
    <row r="121" spans="1:26" ht="15.75" customHeight="1" x14ac:dyDescent="0.2">
      <c r="A121" s="16"/>
      <c r="B121" s="43"/>
      <c r="C121" s="43"/>
      <c r="D121" s="16"/>
      <c r="E121" s="16"/>
      <c r="F121" s="16"/>
      <c r="G121" s="12"/>
      <c r="H121" s="12"/>
      <c r="I121" s="12"/>
      <c r="J121" s="12"/>
      <c r="K121" s="12"/>
      <c r="L121" s="12"/>
      <c r="M121" s="12"/>
      <c r="N121" s="16"/>
      <c r="O121" s="41"/>
      <c r="P121" s="41"/>
      <c r="Q121" s="41"/>
      <c r="R121" s="41"/>
      <c r="S121" s="41"/>
      <c r="T121" s="41"/>
      <c r="U121" s="41"/>
      <c r="V121" s="41"/>
      <c r="W121" s="41"/>
      <c r="X121" s="41"/>
      <c r="Y121" s="41"/>
      <c r="Z121" s="41"/>
    </row>
    <row r="122" spans="1:26" ht="15.75" customHeight="1" x14ac:dyDescent="0.2">
      <c r="A122" s="16"/>
      <c r="B122" s="43"/>
      <c r="C122" s="43"/>
      <c r="D122" s="16"/>
      <c r="E122" s="16"/>
      <c r="F122" s="16"/>
      <c r="G122" s="12"/>
      <c r="H122" s="12"/>
      <c r="I122" s="12"/>
      <c r="J122" s="12"/>
      <c r="K122" s="12"/>
      <c r="L122" s="12"/>
      <c r="M122" s="12"/>
      <c r="N122" s="16"/>
      <c r="O122" s="41"/>
      <c r="P122" s="41"/>
      <c r="Q122" s="41"/>
      <c r="R122" s="41"/>
      <c r="S122" s="41"/>
      <c r="T122" s="41"/>
      <c r="U122" s="41"/>
      <c r="V122" s="41"/>
      <c r="W122" s="41"/>
      <c r="X122" s="41"/>
      <c r="Y122" s="41"/>
      <c r="Z122" s="41"/>
    </row>
    <row r="123" spans="1:26" ht="15.75" customHeight="1" x14ac:dyDescent="0.2">
      <c r="A123" s="16"/>
      <c r="B123" s="43"/>
      <c r="C123" s="43"/>
      <c r="D123" s="16"/>
      <c r="E123" s="16"/>
      <c r="F123" s="16"/>
      <c r="G123" s="12"/>
      <c r="H123" s="12"/>
      <c r="I123" s="12"/>
      <c r="J123" s="12"/>
      <c r="K123" s="12"/>
      <c r="L123" s="12"/>
      <c r="M123" s="12"/>
      <c r="N123" s="16"/>
      <c r="O123" s="41"/>
      <c r="P123" s="41"/>
      <c r="Q123" s="41"/>
      <c r="R123" s="41"/>
      <c r="S123" s="41"/>
      <c r="T123" s="41"/>
      <c r="U123" s="41"/>
      <c r="V123" s="41"/>
      <c r="W123" s="41"/>
      <c r="X123" s="41"/>
      <c r="Y123" s="41"/>
      <c r="Z123" s="41"/>
    </row>
    <row r="124" spans="1:26" ht="15.75" customHeight="1" x14ac:dyDescent="0.2">
      <c r="A124" s="16"/>
      <c r="B124" s="43"/>
      <c r="C124" s="43"/>
      <c r="D124" s="16"/>
      <c r="E124" s="16"/>
      <c r="F124" s="16"/>
      <c r="G124" s="12"/>
      <c r="H124" s="12"/>
      <c r="I124" s="12"/>
      <c r="J124" s="12"/>
      <c r="K124" s="12"/>
      <c r="L124" s="12"/>
      <c r="M124" s="12"/>
      <c r="N124" s="16"/>
      <c r="O124" s="41"/>
      <c r="P124" s="41"/>
      <c r="Q124" s="41"/>
      <c r="R124" s="41"/>
      <c r="S124" s="41"/>
      <c r="T124" s="41"/>
      <c r="U124" s="41"/>
      <c r="V124" s="41"/>
      <c r="W124" s="41"/>
      <c r="X124" s="41"/>
      <c r="Y124" s="41"/>
      <c r="Z124" s="41"/>
    </row>
    <row r="125" spans="1:26" ht="15.75" customHeight="1" x14ac:dyDescent="0.2">
      <c r="A125" s="16"/>
      <c r="B125" s="43"/>
      <c r="C125" s="43"/>
      <c r="D125" s="16"/>
      <c r="E125" s="16"/>
      <c r="F125" s="16"/>
      <c r="G125" s="12"/>
      <c r="H125" s="12"/>
      <c r="I125" s="12"/>
      <c r="J125" s="12"/>
      <c r="K125" s="12"/>
      <c r="L125" s="12"/>
      <c r="M125" s="12"/>
      <c r="N125" s="16"/>
      <c r="O125" s="41"/>
      <c r="P125" s="41"/>
      <c r="Q125" s="41"/>
      <c r="R125" s="41"/>
      <c r="S125" s="41"/>
      <c r="T125" s="41"/>
      <c r="U125" s="41"/>
      <c r="V125" s="41"/>
      <c r="W125" s="41"/>
      <c r="X125" s="41"/>
      <c r="Y125" s="41"/>
      <c r="Z125" s="41"/>
    </row>
    <row r="126" spans="1:26" ht="15.75" customHeight="1" x14ac:dyDescent="0.2">
      <c r="A126" s="16"/>
      <c r="B126" s="43"/>
      <c r="C126" s="43"/>
      <c r="D126" s="16"/>
      <c r="E126" s="16"/>
      <c r="F126" s="16"/>
      <c r="G126" s="12"/>
      <c r="H126" s="12"/>
      <c r="I126" s="12"/>
      <c r="J126" s="12"/>
      <c r="K126" s="12"/>
      <c r="L126" s="12"/>
      <c r="M126" s="12"/>
      <c r="N126" s="16"/>
      <c r="O126" s="41"/>
      <c r="P126" s="41"/>
      <c r="Q126" s="41"/>
      <c r="R126" s="41"/>
      <c r="S126" s="41"/>
      <c r="T126" s="41"/>
      <c r="U126" s="41"/>
      <c r="V126" s="41"/>
      <c r="W126" s="41"/>
      <c r="X126" s="41"/>
      <c r="Y126" s="41"/>
      <c r="Z126" s="41"/>
    </row>
    <row r="127" spans="1:26" ht="15.75" customHeight="1" x14ac:dyDescent="0.2">
      <c r="A127" s="16"/>
      <c r="B127" s="43"/>
      <c r="C127" s="43"/>
      <c r="D127" s="16"/>
      <c r="E127" s="16"/>
      <c r="F127" s="16"/>
      <c r="G127" s="12"/>
      <c r="H127" s="12"/>
      <c r="I127" s="12"/>
      <c r="J127" s="12"/>
      <c r="K127" s="12"/>
      <c r="L127" s="12"/>
      <c r="M127" s="12"/>
      <c r="N127" s="16"/>
      <c r="O127" s="41"/>
      <c r="P127" s="41"/>
      <c r="Q127" s="41"/>
      <c r="R127" s="41"/>
      <c r="S127" s="41"/>
      <c r="T127" s="41"/>
      <c r="U127" s="41"/>
      <c r="V127" s="41"/>
      <c r="W127" s="41"/>
      <c r="X127" s="41"/>
      <c r="Y127" s="41"/>
      <c r="Z127" s="41"/>
    </row>
    <row r="128" spans="1:26" ht="15.75" customHeight="1" x14ac:dyDescent="0.2">
      <c r="A128" s="16"/>
      <c r="B128" s="43"/>
      <c r="C128" s="43"/>
      <c r="D128" s="16"/>
      <c r="E128" s="16"/>
      <c r="F128" s="16"/>
      <c r="G128" s="12"/>
      <c r="H128" s="12"/>
      <c r="I128" s="12"/>
      <c r="J128" s="12"/>
      <c r="K128" s="12"/>
      <c r="L128" s="12"/>
      <c r="M128" s="12"/>
      <c r="N128" s="16"/>
      <c r="O128" s="41"/>
      <c r="P128" s="41"/>
      <c r="Q128" s="41"/>
      <c r="R128" s="41"/>
      <c r="S128" s="41"/>
      <c r="T128" s="41"/>
      <c r="U128" s="41"/>
      <c r="V128" s="41"/>
      <c r="W128" s="41"/>
      <c r="X128" s="41"/>
      <c r="Y128" s="41"/>
      <c r="Z128" s="41"/>
    </row>
    <row r="129" spans="1:26" ht="15.75" customHeight="1" x14ac:dyDescent="0.2">
      <c r="A129" s="16"/>
      <c r="B129" s="43"/>
      <c r="C129" s="43"/>
      <c r="D129" s="16"/>
      <c r="E129" s="16"/>
      <c r="F129" s="16"/>
      <c r="G129" s="12"/>
      <c r="H129" s="12"/>
      <c r="I129" s="12"/>
      <c r="J129" s="12"/>
      <c r="K129" s="12"/>
      <c r="L129" s="12"/>
      <c r="M129" s="12"/>
      <c r="N129" s="16"/>
      <c r="O129" s="41"/>
      <c r="P129" s="41"/>
      <c r="Q129" s="41"/>
      <c r="R129" s="41"/>
      <c r="S129" s="41"/>
      <c r="T129" s="41"/>
      <c r="U129" s="41"/>
      <c r="V129" s="41"/>
      <c r="W129" s="41"/>
      <c r="X129" s="41"/>
      <c r="Y129" s="41"/>
      <c r="Z129" s="41"/>
    </row>
    <row r="130" spans="1:26" ht="15.75" customHeight="1" x14ac:dyDescent="0.2">
      <c r="A130" s="16"/>
      <c r="B130" s="43"/>
      <c r="C130" s="43"/>
      <c r="D130" s="16"/>
      <c r="E130" s="16"/>
      <c r="F130" s="16"/>
      <c r="G130" s="12"/>
      <c r="H130" s="12"/>
      <c r="I130" s="12"/>
      <c r="J130" s="12"/>
      <c r="K130" s="12"/>
      <c r="L130" s="12"/>
      <c r="M130" s="12"/>
      <c r="N130" s="16"/>
      <c r="O130" s="41"/>
      <c r="P130" s="41"/>
      <c r="Q130" s="41"/>
      <c r="R130" s="41"/>
      <c r="S130" s="41"/>
      <c r="T130" s="41"/>
      <c r="U130" s="41"/>
      <c r="V130" s="41"/>
      <c r="W130" s="41"/>
      <c r="X130" s="41"/>
      <c r="Y130" s="41"/>
      <c r="Z130" s="41"/>
    </row>
    <row r="131" spans="1:26" ht="15.75" customHeight="1" x14ac:dyDescent="0.2">
      <c r="A131" s="16"/>
      <c r="B131" s="43"/>
      <c r="C131" s="43"/>
      <c r="D131" s="16"/>
      <c r="E131" s="16"/>
      <c r="F131" s="16"/>
      <c r="G131" s="12"/>
      <c r="H131" s="12"/>
      <c r="I131" s="12"/>
      <c r="J131" s="12"/>
      <c r="K131" s="12"/>
      <c r="L131" s="12"/>
      <c r="M131" s="12"/>
      <c r="N131" s="16"/>
      <c r="O131" s="41"/>
      <c r="P131" s="41"/>
      <c r="Q131" s="41"/>
      <c r="R131" s="41"/>
      <c r="S131" s="41"/>
      <c r="T131" s="41"/>
      <c r="U131" s="41"/>
      <c r="V131" s="41"/>
      <c r="W131" s="41"/>
      <c r="X131" s="41"/>
      <c r="Y131" s="41"/>
      <c r="Z131" s="41"/>
    </row>
    <row r="132" spans="1:26" ht="15.75" customHeight="1" x14ac:dyDescent="0.2">
      <c r="A132" s="16"/>
      <c r="B132" s="43"/>
      <c r="C132" s="43"/>
      <c r="D132" s="16"/>
      <c r="E132" s="16"/>
      <c r="F132" s="16"/>
      <c r="G132" s="12"/>
      <c r="H132" s="12"/>
      <c r="I132" s="12"/>
      <c r="J132" s="12"/>
      <c r="K132" s="12"/>
      <c r="L132" s="12"/>
      <c r="M132" s="12"/>
      <c r="N132" s="16"/>
      <c r="O132" s="41"/>
      <c r="P132" s="41"/>
      <c r="Q132" s="41"/>
      <c r="R132" s="41"/>
      <c r="S132" s="41"/>
      <c r="T132" s="41"/>
      <c r="U132" s="41"/>
      <c r="V132" s="41"/>
      <c r="W132" s="41"/>
      <c r="X132" s="41"/>
      <c r="Y132" s="41"/>
      <c r="Z132" s="41"/>
    </row>
    <row r="133" spans="1:26" ht="15.75" customHeight="1" x14ac:dyDescent="0.2">
      <c r="A133" s="16"/>
      <c r="B133" s="43"/>
      <c r="C133" s="43"/>
      <c r="D133" s="16"/>
      <c r="E133" s="16"/>
      <c r="F133" s="16"/>
      <c r="G133" s="12"/>
      <c r="H133" s="12"/>
      <c r="I133" s="12"/>
      <c r="J133" s="12"/>
      <c r="K133" s="12"/>
      <c r="L133" s="12"/>
      <c r="M133" s="12"/>
      <c r="N133" s="16"/>
      <c r="O133" s="41"/>
      <c r="P133" s="41"/>
      <c r="Q133" s="41"/>
      <c r="R133" s="41"/>
      <c r="S133" s="41"/>
      <c r="T133" s="41"/>
      <c r="U133" s="41"/>
      <c r="V133" s="41"/>
      <c r="W133" s="41"/>
      <c r="X133" s="41"/>
      <c r="Y133" s="41"/>
      <c r="Z133" s="41"/>
    </row>
    <row r="134" spans="1:26" ht="15.75" customHeight="1" x14ac:dyDescent="0.2">
      <c r="A134" s="16"/>
      <c r="B134" s="43"/>
      <c r="C134" s="43"/>
      <c r="D134" s="16"/>
      <c r="E134" s="16"/>
      <c r="F134" s="16"/>
      <c r="G134" s="12"/>
      <c r="H134" s="12"/>
      <c r="I134" s="12"/>
      <c r="J134" s="12"/>
      <c r="K134" s="12"/>
      <c r="L134" s="12"/>
      <c r="M134" s="12"/>
      <c r="N134" s="16"/>
      <c r="O134" s="41"/>
      <c r="P134" s="41"/>
      <c r="Q134" s="41"/>
      <c r="R134" s="41"/>
      <c r="S134" s="41"/>
      <c r="T134" s="41"/>
      <c r="U134" s="41"/>
      <c r="V134" s="41"/>
      <c r="W134" s="41"/>
      <c r="X134" s="41"/>
      <c r="Y134" s="41"/>
      <c r="Z134" s="41"/>
    </row>
    <row r="135" spans="1:26" ht="15.75" customHeight="1" x14ac:dyDescent="0.2">
      <c r="A135" s="16"/>
      <c r="B135" s="43"/>
      <c r="C135" s="43"/>
      <c r="D135" s="16"/>
      <c r="E135" s="16"/>
      <c r="F135" s="16"/>
      <c r="G135" s="12"/>
      <c r="H135" s="12"/>
      <c r="I135" s="12"/>
      <c r="J135" s="12"/>
      <c r="K135" s="12"/>
      <c r="L135" s="12"/>
      <c r="M135" s="12"/>
      <c r="N135" s="16"/>
      <c r="O135" s="41"/>
      <c r="P135" s="41"/>
      <c r="Q135" s="41"/>
      <c r="R135" s="41"/>
      <c r="S135" s="41"/>
      <c r="T135" s="41"/>
      <c r="U135" s="41"/>
      <c r="V135" s="41"/>
      <c r="W135" s="41"/>
      <c r="X135" s="41"/>
      <c r="Y135" s="41"/>
      <c r="Z135" s="41"/>
    </row>
    <row r="136" spans="1:26" ht="15.75" customHeight="1" x14ac:dyDescent="0.2">
      <c r="A136" s="16"/>
      <c r="B136" s="43"/>
      <c r="C136" s="43"/>
      <c r="D136" s="16"/>
      <c r="E136" s="16"/>
      <c r="F136" s="16"/>
      <c r="G136" s="12"/>
      <c r="H136" s="12"/>
      <c r="I136" s="12"/>
      <c r="J136" s="12"/>
      <c r="K136" s="12"/>
      <c r="L136" s="12"/>
      <c r="M136" s="12"/>
      <c r="N136" s="16"/>
      <c r="O136" s="41"/>
      <c r="P136" s="41"/>
      <c r="Q136" s="41"/>
      <c r="R136" s="41"/>
      <c r="S136" s="41"/>
      <c r="T136" s="41"/>
      <c r="U136" s="41"/>
      <c r="V136" s="41"/>
      <c r="W136" s="41"/>
      <c r="X136" s="41"/>
      <c r="Y136" s="41"/>
      <c r="Z136" s="41"/>
    </row>
    <row r="137" spans="1:26" ht="15.75" customHeight="1" x14ac:dyDescent="0.2">
      <c r="A137" s="16"/>
      <c r="B137" s="43"/>
      <c r="C137" s="43"/>
      <c r="D137" s="16"/>
      <c r="E137" s="16"/>
      <c r="F137" s="16"/>
      <c r="G137" s="12"/>
      <c r="H137" s="12"/>
      <c r="I137" s="12"/>
      <c r="J137" s="12"/>
      <c r="K137" s="12"/>
      <c r="L137" s="12"/>
      <c r="M137" s="12"/>
      <c r="N137" s="16"/>
      <c r="O137" s="41"/>
      <c r="P137" s="41"/>
      <c r="Q137" s="41"/>
      <c r="R137" s="41"/>
      <c r="S137" s="41"/>
      <c r="T137" s="41"/>
      <c r="U137" s="41"/>
      <c r="V137" s="41"/>
      <c r="W137" s="41"/>
      <c r="X137" s="41"/>
      <c r="Y137" s="41"/>
      <c r="Z137" s="41"/>
    </row>
    <row r="138" spans="1:26" ht="15.75" customHeight="1" x14ac:dyDescent="0.2">
      <c r="A138" s="16"/>
      <c r="B138" s="43"/>
      <c r="C138" s="43"/>
      <c r="D138" s="16"/>
      <c r="E138" s="16"/>
      <c r="F138" s="16"/>
      <c r="G138" s="12"/>
      <c r="H138" s="12"/>
      <c r="I138" s="12"/>
      <c r="J138" s="12"/>
      <c r="K138" s="12"/>
      <c r="L138" s="12"/>
      <c r="M138" s="12"/>
      <c r="N138" s="16"/>
      <c r="O138" s="41"/>
      <c r="P138" s="41"/>
      <c r="Q138" s="41"/>
      <c r="R138" s="41"/>
      <c r="S138" s="41"/>
      <c r="T138" s="41"/>
      <c r="U138" s="41"/>
      <c r="V138" s="41"/>
      <c r="W138" s="41"/>
      <c r="X138" s="41"/>
      <c r="Y138" s="41"/>
      <c r="Z138" s="41"/>
    </row>
    <row r="139" spans="1:26" ht="15.75" customHeight="1" x14ac:dyDescent="0.2">
      <c r="A139" s="16"/>
      <c r="B139" s="43"/>
      <c r="C139" s="43"/>
      <c r="D139" s="16"/>
      <c r="E139" s="16"/>
      <c r="F139" s="16"/>
      <c r="G139" s="12"/>
      <c r="H139" s="12"/>
      <c r="I139" s="12"/>
      <c r="J139" s="12"/>
      <c r="K139" s="12"/>
      <c r="L139" s="12"/>
      <c r="M139" s="12"/>
      <c r="N139" s="16"/>
      <c r="O139" s="41"/>
      <c r="P139" s="41"/>
      <c r="Q139" s="41"/>
      <c r="R139" s="41"/>
      <c r="S139" s="41"/>
      <c r="T139" s="41"/>
      <c r="U139" s="41"/>
      <c r="V139" s="41"/>
      <c r="W139" s="41"/>
      <c r="X139" s="41"/>
      <c r="Y139" s="41"/>
      <c r="Z139" s="41"/>
    </row>
    <row r="140" spans="1:26" ht="15.75" customHeight="1" x14ac:dyDescent="0.2">
      <c r="A140" s="16"/>
      <c r="B140" s="43"/>
      <c r="C140" s="43"/>
      <c r="D140" s="16"/>
      <c r="E140" s="16"/>
      <c r="F140" s="16"/>
      <c r="G140" s="12"/>
      <c r="H140" s="12"/>
      <c r="I140" s="12"/>
      <c r="J140" s="12"/>
      <c r="K140" s="12"/>
      <c r="L140" s="12"/>
      <c r="M140" s="12"/>
      <c r="N140" s="16"/>
      <c r="O140" s="41"/>
      <c r="P140" s="41"/>
      <c r="Q140" s="41"/>
      <c r="R140" s="41"/>
      <c r="S140" s="41"/>
      <c r="T140" s="41"/>
      <c r="U140" s="41"/>
      <c r="V140" s="41"/>
      <c r="W140" s="41"/>
      <c r="X140" s="41"/>
      <c r="Y140" s="41"/>
      <c r="Z140" s="41"/>
    </row>
    <row r="141" spans="1:26" ht="15.75" customHeight="1" x14ac:dyDescent="0.2">
      <c r="A141" s="16"/>
      <c r="B141" s="43"/>
      <c r="C141" s="43"/>
      <c r="D141" s="16"/>
      <c r="E141" s="16"/>
      <c r="F141" s="16"/>
      <c r="G141" s="12"/>
      <c r="H141" s="12"/>
      <c r="I141" s="12"/>
      <c r="J141" s="12"/>
      <c r="K141" s="12"/>
      <c r="L141" s="12"/>
      <c r="M141" s="12"/>
      <c r="N141" s="16"/>
      <c r="O141" s="41"/>
      <c r="P141" s="41"/>
      <c r="Q141" s="41"/>
      <c r="R141" s="41"/>
      <c r="S141" s="41"/>
      <c r="T141" s="41"/>
      <c r="U141" s="41"/>
      <c r="V141" s="41"/>
      <c r="W141" s="41"/>
      <c r="X141" s="41"/>
      <c r="Y141" s="41"/>
      <c r="Z141" s="41"/>
    </row>
    <row r="142" spans="1:26" ht="15.75" customHeight="1" x14ac:dyDescent="0.2">
      <c r="A142" s="16"/>
      <c r="B142" s="43"/>
      <c r="C142" s="43"/>
      <c r="D142" s="16"/>
      <c r="E142" s="16"/>
      <c r="F142" s="16"/>
      <c r="G142" s="12"/>
      <c r="H142" s="12"/>
      <c r="I142" s="12"/>
      <c r="J142" s="12"/>
      <c r="K142" s="12"/>
      <c r="L142" s="12"/>
      <c r="M142" s="12"/>
      <c r="N142" s="16"/>
      <c r="O142" s="41"/>
      <c r="P142" s="41"/>
      <c r="Q142" s="41"/>
      <c r="R142" s="41"/>
      <c r="S142" s="41"/>
      <c r="T142" s="41"/>
      <c r="U142" s="41"/>
      <c r="V142" s="41"/>
      <c r="W142" s="41"/>
      <c r="X142" s="41"/>
      <c r="Y142" s="41"/>
      <c r="Z142" s="41"/>
    </row>
    <row r="143" spans="1:26" ht="15.75" customHeight="1" x14ac:dyDescent="0.2">
      <c r="A143" s="16"/>
      <c r="B143" s="43"/>
      <c r="C143" s="43"/>
      <c r="D143" s="16"/>
      <c r="E143" s="16"/>
      <c r="F143" s="16"/>
      <c r="G143" s="12"/>
      <c r="H143" s="12"/>
      <c r="I143" s="12"/>
      <c r="J143" s="12"/>
      <c r="K143" s="12"/>
      <c r="L143" s="12"/>
      <c r="M143" s="12"/>
      <c r="N143" s="16"/>
      <c r="O143" s="41"/>
      <c r="P143" s="41"/>
      <c r="Q143" s="41"/>
      <c r="R143" s="41"/>
      <c r="S143" s="41"/>
      <c r="T143" s="41"/>
      <c r="U143" s="41"/>
      <c r="V143" s="41"/>
      <c r="W143" s="41"/>
      <c r="X143" s="41"/>
      <c r="Y143" s="41"/>
      <c r="Z143" s="41"/>
    </row>
    <row r="144" spans="1:26" ht="15.75" customHeight="1" x14ac:dyDescent="0.2">
      <c r="A144" s="16"/>
      <c r="B144" s="43"/>
      <c r="C144" s="43"/>
      <c r="D144" s="16"/>
      <c r="E144" s="16"/>
      <c r="F144" s="16"/>
      <c r="G144" s="12"/>
      <c r="H144" s="12"/>
      <c r="I144" s="12"/>
      <c r="J144" s="12"/>
      <c r="K144" s="12"/>
      <c r="L144" s="12"/>
      <c r="M144" s="12"/>
      <c r="N144" s="16"/>
      <c r="O144" s="41"/>
      <c r="P144" s="41"/>
      <c r="Q144" s="41"/>
      <c r="R144" s="41"/>
      <c r="S144" s="41"/>
      <c r="T144" s="41"/>
      <c r="U144" s="41"/>
      <c r="V144" s="41"/>
      <c r="W144" s="41"/>
      <c r="X144" s="41"/>
      <c r="Y144" s="41"/>
      <c r="Z144" s="41"/>
    </row>
    <row r="145" spans="1:26" ht="15.75" customHeight="1" x14ac:dyDescent="0.2">
      <c r="A145" s="16"/>
      <c r="B145" s="43"/>
      <c r="C145" s="43"/>
      <c r="D145" s="16"/>
      <c r="E145" s="16"/>
      <c r="F145" s="16"/>
      <c r="G145" s="12"/>
      <c r="H145" s="12"/>
      <c r="I145" s="12"/>
      <c r="J145" s="12"/>
      <c r="K145" s="12"/>
      <c r="L145" s="12"/>
      <c r="M145" s="12"/>
      <c r="N145" s="16"/>
      <c r="O145" s="41"/>
      <c r="P145" s="41"/>
      <c r="Q145" s="41"/>
      <c r="R145" s="41"/>
      <c r="S145" s="41"/>
      <c r="T145" s="41"/>
      <c r="U145" s="41"/>
      <c r="V145" s="41"/>
      <c r="W145" s="41"/>
      <c r="X145" s="41"/>
      <c r="Y145" s="41"/>
      <c r="Z145" s="41"/>
    </row>
    <row r="146" spans="1:26" ht="15.75" customHeight="1" x14ac:dyDescent="0.2">
      <c r="A146" s="16"/>
      <c r="B146" s="43"/>
      <c r="C146" s="43"/>
      <c r="D146" s="16"/>
      <c r="E146" s="16"/>
      <c r="F146" s="16"/>
      <c r="G146" s="12"/>
      <c r="H146" s="12"/>
      <c r="I146" s="12"/>
      <c r="J146" s="12"/>
      <c r="K146" s="12"/>
      <c r="L146" s="12"/>
      <c r="M146" s="12"/>
      <c r="N146" s="16"/>
      <c r="O146" s="41"/>
      <c r="P146" s="41"/>
      <c r="Q146" s="41"/>
      <c r="R146" s="41"/>
      <c r="S146" s="41"/>
      <c r="T146" s="41"/>
      <c r="U146" s="41"/>
      <c r="V146" s="41"/>
      <c r="W146" s="41"/>
      <c r="X146" s="41"/>
      <c r="Y146" s="41"/>
      <c r="Z146" s="41"/>
    </row>
    <row r="147" spans="1:26" ht="15.75" customHeight="1" x14ac:dyDescent="0.2">
      <c r="A147" s="16"/>
      <c r="B147" s="43"/>
      <c r="C147" s="43"/>
      <c r="D147" s="16"/>
      <c r="E147" s="16"/>
      <c r="F147" s="16"/>
      <c r="G147" s="12"/>
      <c r="H147" s="12"/>
      <c r="I147" s="12"/>
      <c r="J147" s="12"/>
      <c r="K147" s="12"/>
      <c r="L147" s="12"/>
      <c r="M147" s="12"/>
      <c r="N147" s="16"/>
      <c r="O147" s="41"/>
      <c r="P147" s="41"/>
      <c r="Q147" s="41"/>
      <c r="R147" s="41"/>
      <c r="S147" s="41"/>
      <c r="T147" s="41"/>
      <c r="U147" s="41"/>
      <c r="V147" s="41"/>
      <c r="W147" s="41"/>
      <c r="X147" s="41"/>
      <c r="Y147" s="41"/>
      <c r="Z147" s="41"/>
    </row>
    <row r="148" spans="1:26" ht="15.75" customHeight="1" x14ac:dyDescent="0.2">
      <c r="A148" s="16"/>
      <c r="B148" s="43"/>
      <c r="C148" s="43"/>
      <c r="D148" s="16"/>
      <c r="E148" s="16"/>
      <c r="F148" s="16"/>
      <c r="G148" s="12"/>
      <c r="H148" s="12"/>
      <c r="I148" s="12"/>
      <c r="J148" s="12"/>
      <c r="K148" s="12"/>
      <c r="L148" s="12"/>
      <c r="M148" s="12"/>
      <c r="N148" s="16"/>
      <c r="O148" s="41"/>
      <c r="P148" s="41"/>
      <c r="Q148" s="41"/>
      <c r="R148" s="41"/>
      <c r="S148" s="41"/>
      <c r="T148" s="41"/>
      <c r="U148" s="41"/>
      <c r="V148" s="41"/>
      <c r="W148" s="41"/>
      <c r="X148" s="41"/>
      <c r="Y148" s="41"/>
      <c r="Z148" s="41"/>
    </row>
    <row r="149" spans="1:26" ht="15.75" customHeight="1" x14ac:dyDescent="0.2">
      <c r="A149" s="16"/>
      <c r="B149" s="43"/>
      <c r="C149" s="43"/>
      <c r="D149" s="16"/>
      <c r="E149" s="16"/>
      <c r="F149" s="16"/>
      <c r="G149" s="12"/>
      <c r="H149" s="12"/>
      <c r="I149" s="12"/>
      <c r="J149" s="12"/>
      <c r="K149" s="12"/>
      <c r="L149" s="12"/>
      <c r="M149" s="12"/>
      <c r="N149" s="16"/>
      <c r="O149" s="41"/>
      <c r="P149" s="41"/>
      <c r="Q149" s="41"/>
      <c r="R149" s="41"/>
      <c r="S149" s="41"/>
      <c r="T149" s="41"/>
      <c r="U149" s="41"/>
      <c r="V149" s="41"/>
      <c r="W149" s="41"/>
      <c r="X149" s="41"/>
      <c r="Y149" s="41"/>
      <c r="Z149" s="41"/>
    </row>
    <row r="150" spans="1:26" ht="15.75" customHeight="1" x14ac:dyDescent="0.2">
      <c r="A150" s="16"/>
      <c r="B150" s="43"/>
      <c r="C150" s="43"/>
      <c r="D150" s="16"/>
      <c r="E150" s="16"/>
      <c r="F150" s="16"/>
      <c r="G150" s="12"/>
      <c r="H150" s="12"/>
      <c r="I150" s="12"/>
      <c r="J150" s="12"/>
      <c r="K150" s="12"/>
      <c r="L150" s="12"/>
      <c r="M150" s="12"/>
      <c r="N150" s="16"/>
      <c r="O150" s="41"/>
      <c r="P150" s="41"/>
      <c r="Q150" s="41"/>
      <c r="R150" s="41"/>
      <c r="S150" s="41"/>
      <c r="T150" s="41"/>
      <c r="U150" s="41"/>
      <c r="V150" s="41"/>
      <c r="W150" s="41"/>
      <c r="X150" s="41"/>
      <c r="Y150" s="41"/>
      <c r="Z150" s="41"/>
    </row>
    <row r="151" spans="1:26" ht="15.75" customHeight="1" x14ac:dyDescent="0.2">
      <c r="A151" s="16"/>
      <c r="B151" s="43"/>
      <c r="C151" s="43"/>
      <c r="D151" s="16"/>
      <c r="E151" s="16"/>
      <c r="F151" s="16"/>
      <c r="G151" s="12"/>
      <c r="H151" s="12"/>
      <c r="I151" s="12"/>
      <c r="J151" s="12"/>
      <c r="K151" s="12"/>
      <c r="L151" s="12"/>
      <c r="M151" s="12"/>
      <c r="N151" s="16"/>
      <c r="O151" s="41"/>
      <c r="P151" s="41"/>
      <c r="Q151" s="41"/>
      <c r="R151" s="41"/>
      <c r="S151" s="41"/>
      <c r="T151" s="41"/>
      <c r="U151" s="41"/>
      <c r="V151" s="41"/>
      <c r="W151" s="41"/>
      <c r="X151" s="41"/>
      <c r="Y151" s="41"/>
      <c r="Z151" s="41"/>
    </row>
    <row r="152" spans="1:26" ht="15.75" customHeight="1" x14ac:dyDescent="0.2">
      <c r="A152" s="16"/>
      <c r="B152" s="43"/>
      <c r="C152" s="43"/>
      <c r="D152" s="16"/>
      <c r="E152" s="16"/>
      <c r="F152" s="16"/>
      <c r="G152" s="12"/>
      <c r="H152" s="12"/>
      <c r="I152" s="12"/>
      <c r="J152" s="12"/>
      <c r="K152" s="12"/>
      <c r="L152" s="12"/>
      <c r="M152" s="12"/>
      <c r="N152" s="16"/>
      <c r="O152" s="41"/>
      <c r="P152" s="41"/>
      <c r="Q152" s="41"/>
      <c r="R152" s="41"/>
      <c r="S152" s="41"/>
      <c r="T152" s="41"/>
      <c r="U152" s="41"/>
      <c r="V152" s="41"/>
      <c r="W152" s="41"/>
      <c r="X152" s="41"/>
      <c r="Y152" s="41"/>
      <c r="Z152" s="41"/>
    </row>
    <row r="153" spans="1:26" ht="15.75" customHeight="1" x14ac:dyDescent="0.2">
      <c r="A153" s="16"/>
      <c r="B153" s="43"/>
      <c r="C153" s="43"/>
      <c r="D153" s="16"/>
      <c r="E153" s="16"/>
      <c r="F153" s="16"/>
      <c r="G153" s="12"/>
      <c r="H153" s="12"/>
      <c r="I153" s="12"/>
      <c r="J153" s="12"/>
      <c r="K153" s="12"/>
      <c r="L153" s="12"/>
      <c r="M153" s="12"/>
      <c r="N153" s="16"/>
      <c r="O153" s="41"/>
      <c r="P153" s="41"/>
      <c r="Q153" s="41"/>
      <c r="R153" s="41"/>
      <c r="S153" s="41"/>
      <c r="T153" s="41"/>
      <c r="U153" s="41"/>
      <c r="V153" s="41"/>
      <c r="W153" s="41"/>
      <c r="X153" s="41"/>
      <c r="Y153" s="41"/>
      <c r="Z153" s="41"/>
    </row>
    <row r="154" spans="1:26" ht="15.75" customHeight="1" x14ac:dyDescent="0.2">
      <c r="A154" s="16"/>
      <c r="B154" s="43"/>
      <c r="C154" s="43"/>
      <c r="D154" s="16"/>
      <c r="E154" s="16"/>
      <c r="F154" s="16"/>
      <c r="G154" s="12"/>
      <c r="H154" s="12"/>
      <c r="I154" s="12"/>
      <c r="J154" s="12"/>
      <c r="K154" s="12"/>
      <c r="L154" s="12"/>
      <c r="M154" s="12"/>
      <c r="N154" s="16"/>
      <c r="O154" s="41"/>
      <c r="P154" s="41"/>
      <c r="Q154" s="41"/>
      <c r="R154" s="41"/>
      <c r="S154" s="41"/>
      <c r="T154" s="41"/>
      <c r="U154" s="41"/>
      <c r="V154" s="41"/>
      <c r="W154" s="41"/>
      <c r="X154" s="41"/>
      <c r="Y154" s="41"/>
      <c r="Z154" s="41"/>
    </row>
    <row r="155" spans="1:26" ht="15.75" customHeight="1" x14ac:dyDescent="0.2">
      <c r="A155" s="16"/>
      <c r="B155" s="43"/>
      <c r="C155" s="43"/>
      <c r="D155" s="16"/>
      <c r="E155" s="16"/>
      <c r="F155" s="16"/>
      <c r="G155" s="12"/>
      <c r="H155" s="12"/>
      <c r="I155" s="12"/>
      <c r="J155" s="12"/>
      <c r="K155" s="12"/>
      <c r="L155" s="12"/>
      <c r="M155" s="12"/>
      <c r="N155" s="16"/>
      <c r="O155" s="41"/>
      <c r="P155" s="41"/>
      <c r="Q155" s="41"/>
      <c r="R155" s="41"/>
      <c r="S155" s="41"/>
      <c r="T155" s="41"/>
      <c r="U155" s="41"/>
      <c r="V155" s="41"/>
      <c r="W155" s="41"/>
      <c r="X155" s="41"/>
      <c r="Y155" s="41"/>
      <c r="Z155" s="41"/>
    </row>
    <row r="156" spans="1:26" ht="15.75" customHeight="1" x14ac:dyDescent="0.2">
      <c r="A156" s="16"/>
      <c r="B156" s="43"/>
      <c r="C156" s="43"/>
      <c r="D156" s="16"/>
      <c r="E156" s="16"/>
      <c r="F156" s="16"/>
      <c r="G156" s="12"/>
      <c r="H156" s="12"/>
      <c r="I156" s="12"/>
      <c r="J156" s="12"/>
      <c r="K156" s="12"/>
      <c r="L156" s="12"/>
      <c r="M156" s="12"/>
      <c r="N156" s="16"/>
      <c r="O156" s="41"/>
      <c r="P156" s="41"/>
      <c r="Q156" s="41"/>
      <c r="R156" s="41"/>
      <c r="S156" s="41"/>
      <c r="T156" s="41"/>
      <c r="U156" s="41"/>
      <c r="V156" s="41"/>
      <c r="W156" s="41"/>
      <c r="X156" s="41"/>
      <c r="Y156" s="41"/>
      <c r="Z156" s="41"/>
    </row>
    <row r="157" spans="1:26" ht="15.75" customHeight="1" x14ac:dyDescent="0.2">
      <c r="A157" s="16"/>
      <c r="B157" s="43"/>
      <c r="C157" s="43"/>
      <c r="D157" s="16"/>
      <c r="E157" s="16"/>
      <c r="F157" s="16"/>
      <c r="G157" s="12"/>
      <c r="H157" s="12"/>
      <c r="I157" s="12"/>
      <c r="J157" s="12"/>
      <c r="K157" s="12"/>
      <c r="L157" s="12"/>
      <c r="M157" s="12"/>
      <c r="N157" s="16"/>
      <c r="O157" s="41"/>
      <c r="P157" s="41"/>
      <c r="Q157" s="41"/>
      <c r="R157" s="41"/>
      <c r="S157" s="41"/>
      <c r="T157" s="41"/>
      <c r="U157" s="41"/>
      <c r="V157" s="41"/>
      <c r="W157" s="41"/>
      <c r="X157" s="41"/>
      <c r="Y157" s="41"/>
      <c r="Z157" s="41"/>
    </row>
    <row r="158" spans="1:26" ht="15.75" customHeight="1" x14ac:dyDescent="0.2">
      <c r="A158" s="16"/>
      <c r="B158" s="43"/>
      <c r="C158" s="43"/>
      <c r="D158" s="16"/>
      <c r="E158" s="16"/>
      <c r="F158" s="16"/>
      <c r="G158" s="12"/>
      <c r="H158" s="12"/>
      <c r="I158" s="12"/>
      <c r="J158" s="12"/>
      <c r="K158" s="12"/>
      <c r="L158" s="12"/>
      <c r="M158" s="12"/>
      <c r="N158" s="16"/>
      <c r="O158" s="41"/>
      <c r="P158" s="41"/>
      <c r="Q158" s="41"/>
      <c r="R158" s="41"/>
      <c r="S158" s="41"/>
      <c r="T158" s="41"/>
      <c r="U158" s="41"/>
      <c r="V158" s="41"/>
      <c r="W158" s="41"/>
      <c r="X158" s="41"/>
      <c r="Y158" s="41"/>
      <c r="Z158" s="41"/>
    </row>
    <row r="159" spans="1:26" ht="15.75" customHeight="1" x14ac:dyDescent="0.2">
      <c r="A159" s="16"/>
      <c r="B159" s="43"/>
      <c r="C159" s="43"/>
      <c r="D159" s="16"/>
      <c r="E159" s="16"/>
      <c r="F159" s="16"/>
      <c r="G159" s="12"/>
      <c r="H159" s="12"/>
      <c r="I159" s="12"/>
      <c r="J159" s="12"/>
      <c r="K159" s="12"/>
      <c r="L159" s="12"/>
      <c r="M159" s="12"/>
      <c r="N159" s="16"/>
      <c r="O159" s="41"/>
      <c r="P159" s="41"/>
      <c r="Q159" s="41"/>
      <c r="R159" s="41"/>
      <c r="S159" s="41"/>
      <c r="T159" s="41"/>
      <c r="U159" s="41"/>
      <c r="V159" s="41"/>
      <c r="W159" s="41"/>
      <c r="X159" s="41"/>
      <c r="Y159" s="41"/>
      <c r="Z159" s="41"/>
    </row>
    <row r="160" spans="1:26" ht="15.75" customHeight="1" x14ac:dyDescent="0.2">
      <c r="A160" s="16"/>
      <c r="B160" s="43"/>
      <c r="C160" s="43"/>
      <c r="D160" s="16"/>
      <c r="E160" s="16"/>
      <c r="F160" s="16"/>
      <c r="G160" s="12"/>
      <c r="H160" s="12"/>
      <c r="I160" s="12"/>
      <c r="J160" s="12"/>
      <c r="K160" s="12"/>
      <c r="L160" s="12"/>
      <c r="M160" s="12"/>
      <c r="N160" s="16"/>
      <c r="O160" s="41"/>
      <c r="P160" s="41"/>
      <c r="Q160" s="41"/>
      <c r="R160" s="41"/>
      <c r="S160" s="41"/>
      <c r="T160" s="41"/>
      <c r="U160" s="41"/>
      <c r="V160" s="41"/>
      <c r="W160" s="41"/>
      <c r="X160" s="41"/>
      <c r="Y160" s="41"/>
      <c r="Z160" s="41"/>
    </row>
    <row r="161" spans="1:26" ht="15.75" customHeight="1" x14ac:dyDescent="0.2">
      <c r="A161" s="16"/>
      <c r="B161" s="43"/>
      <c r="C161" s="43"/>
      <c r="D161" s="16"/>
      <c r="E161" s="16"/>
      <c r="F161" s="16"/>
      <c r="G161" s="12"/>
      <c r="H161" s="12"/>
      <c r="I161" s="12"/>
      <c r="J161" s="12"/>
      <c r="K161" s="12"/>
      <c r="L161" s="12"/>
      <c r="M161" s="12"/>
      <c r="N161" s="16"/>
      <c r="O161" s="41"/>
      <c r="P161" s="41"/>
      <c r="Q161" s="41"/>
      <c r="R161" s="41"/>
      <c r="S161" s="41"/>
      <c r="T161" s="41"/>
      <c r="U161" s="41"/>
      <c r="V161" s="41"/>
      <c r="W161" s="41"/>
      <c r="X161" s="41"/>
      <c r="Y161" s="41"/>
      <c r="Z161" s="41"/>
    </row>
    <row r="162" spans="1:26" ht="15.75" customHeight="1" x14ac:dyDescent="0.2">
      <c r="A162" s="16"/>
      <c r="B162" s="43"/>
      <c r="C162" s="43"/>
      <c r="D162" s="16"/>
      <c r="E162" s="16"/>
      <c r="F162" s="16"/>
      <c r="G162" s="12"/>
      <c r="H162" s="12"/>
      <c r="I162" s="12"/>
      <c r="J162" s="12"/>
      <c r="K162" s="12"/>
      <c r="L162" s="12"/>
      <c r="M162" s="12"/>
      <c r="N162" s="16"/>
      <c r="O162" s="41"/>
      <c r="P162" s="41"/>
      <c r="Q162" s="41"/>
      <c r="R162" s="41"/>
      <c r="S162" s="41"/>
      <c r="T162" s="41"/>
      <c r="U162" s="41"/>
      <c r="V162" s="41"/>
      <c r="W162" s="41"/>
      <c r="X162" s="41"/>
      <c r="Y162" s="41"/>
      <c r="Z162" s="41"/>
    </row>
    <row r="163" spans="1:26" ht="15.75" customHeight="1" x14ac:dyDescent="0.2">
      <c r="A163" s="16"/>
      <c r="B163" s="43"/>
      <c r="C163" s="43"/>
      <c r="D163" s="16"/>
      <c r="E163" s="16"/>
      <c r="F163" s="16"/>
      <c r="G163" s="12"/>
      <c r="H163" s="12"/>
      <c r="I163" s="12"/>
      <c r="J163" s="12"/>
      <c r="K163" s="12"/>
      <c r="L163" s="12"/>
      <c r="M163" s="12"/>
      <c r="N163" s="16"/>
      <c r="O163" s="41"/>
      <c r="P163" s="41"/>
      <c r="Q163" s="41"/>
      <c r="R163" s="41"/>
      <c r="S163" s="41"/>
      <c r="T163" s="41"/>
      <c r="U163" s="41"/>
      <c r="V163" s="41"/>
      <c r="W163" s="41"/>
      <c r="X163" s="41"/>
      <c r="Y163" s="41"/>
      <c r="Z163" s="41"/>
    </row>
    <row r="164" spans="1:26" ht="15.75" customHeight="1" x14ac:dyDescent="0.2">
      <c r="A164" s="16"/>
      <c r="B164" s="43"/>
      <c r="C164" s="43"/>
      <c r="D164" s="16"/>
      <c r="E164" s="16"/>
      <c r="F164" s="16"/>
      <c r="G164" s="12"/>
      <c r="H164" s="12"/>
      <c r="I164" s="12"/>
      <c r="J164" s="12"/>
      <c r="K164" s="12"/>
      <c r="L164" s="12"/>
      <c r="M164" s="12"/>
      <c r="N164" s="16"/>
      <c r="O164" s="41"/>
      <c r="P164" s="41"/>
      <c r="Q164" s="41"/>
      <c r="R164" s="41"/>
      <c r="S164" s="41"/>
      <c r="T164" s="41"/>
      <c r="U164" s="41"/>
      <c r="V164" s="41"/>
      <c r="W164" s="41"/>
      <c r="X164" s="41"/>
      <c r="Y164" s="41"/>
      <c r="Z164" s="41"/>
    </row>
    <row r="165" spans="1:26" ht="15.75" customHeight="1" x14ac:dyDescent="0.2">
      <c r="A165" s="16"/>
      <c r="B165" s="43"/>
      <c r="C165" s="43"/>
      <c r="D165" s="16"/>
      <c r="E165" s="16"/>
      <c r="F165" s="16"/>
      <c r="G165" s="12"/>
      <c r="H165" s="12"/>
      <c r="I165" s="12"/>
      <c r="J165" s="12"/>
      <c r="K165" s="12"/>
      <c r="L165" s="12"/>
      <c r="M165" s="12"/>
      <c r="N165" s="16"/>
      <c r="O165" s="41"/>
      <c r="P165" s="41"/>
      <c r="Q165" s="41"/>
      <c r="R165" s="41"/>
      <c r="S165" s="41"/>
      <c r="T165" s="41"/>
      <c r="U165" s="41"/>
      <c r="V165" s="41"/>
      <c r="W165" s="41"/>
      <c r="X165" s="41"/>
      <c r="Y165" s="41"/>
      <c r="Z165" s="41"/>
    </row>
    <row r="166" spans="1:26" ht="15.75" customHeight="1" x14ac:dyDescent="0.2">
      <c r="A166" s="16"/>
      <c r="B166" s="43"/>
      <c r="C166" s="43"/>
      <c r="D166" s="16"/>
      <c r="E166" s="16"/>
      <c r="F166" s="16"/>
      <c r="G166" s="12"/>
      <c r="H166" s="12"/>
      <c r="I166" s="12"/>
      <c r="J166" s="12"/>
      <c r="K166" s="12"/>
      <c r="L166" s="12"/>
      <c r="M166" s="12"/>
      <c r="N166" s="16"/>
      <c r="O166" s="41"/>
      <c r="P166" s="41"/>
      <c r="Q166" s="41"/>
      <c r="R166" s="41"/>
      <c r="S166" s="41"/>
      <c r="T166" s="41"/>
      <c r="U166" s="41"/>
      <c r="V166" s="41"/>
      <c r="W166" s="41"/>
      <c r="X166" s="41"/>
      <c r="Y166" s="41"/>
      <c r="Z166" s="41"/>
    </row>
    <row r="167" spans="1:26" ht="15.75" customHeight="1" x14ac:dyDescent="0.2">
      <c r="A167" s="16"/>
      <c r="B167" s="43"/>
      <c r="C167" s="43"/>
      <c r="D167" s="16"/>
      <c r="E167" s="16"/>
      <c r="F167" s="16"/>
      <c r="G167" s="12"/>
      <c r="H167" s="12"/>
      <c r="I167" s="12"/>
      <c r="J167" s="12"/>
      <c r="K167" s="12"/>
      <c r="L167" s="12"/>
      <c r="M167" s="12"/>
      <c r="N167" s="16"/>
      <c r="O167" s="41"/>
      <c r="P167" s="41"/>
      <c r="Q167" s="41"/>
      <c r="R167" s="41"/>
      <c r="S167" s="41"/>
      <c r="T167" s="41"/>
      <c r="U167" s="41"/>
      <c r="V167" s="41"/>
      <c r="W167" s="41"/>
      <c r="X167" s="41"/>
      <c r="Y167" s="41"/>
      <c r="Z167" s="41"/>
    </row>
    <row r="168" spans="1:26" ht="15.75" customHeight="1" x14ac:dyDescent="0.2">
      <c r="A168" s="16"/>
      <c r="B168" s="43"/>
      <c r="C168" s="43"/>
      <c r="D168" s="16"/>
      <c r="E168" s="16"/>
      <c r="F168" s="16"/>
      <c r="G168" s="12"/>
      <c r="H168" s="12"/>
      <c r="I168" s="12"/>
      <c r="J168" s="12"/>
      <c r="K168" s="12"/>
      <c r="L168" s="12"/>
      <c r="M168" s="12"/>
      <c r="N168" s="16"/>
      <c r="O168" s="41"/>
      <c r="P168" s="41"/>
      <c r="Q168" s="41"/>
      <c r="R168" s="41"/>
      <c r="S168" s="41"/>
      <c r="T168" s="41"/>
      <c r="U168" s="41"/>
      <c r="V168" s="41"/>
      <c r="W168" s="41"/>
      <c r="X168" s="41"/>
      <c r="Y168" s="41"/>
      <c r="Z168" s="41"/>
    </row>
    <row r="169" spans="1:26" ht="15.75" customHeight="1" x14ac:dyDescent="0.2">
      <c r="A169" s="16"/>
      <c r="B169" s="43"/>
      <c r="C169" s="43"/>
      <c r="D169" s="16"/>
      <c r="E169" s="16"/>
      <c r="F169" s="16"/>
      <c r="G169" s="12"/>
      <c r="H169" s="12"/>
      <c r="I169" s="12"/>
      <c r="J169" s="12"/>
      <c r="K169" s="12"/>
      <c r="L169" s="12"/>
      <c r="M169" s="12"/>
      <c r="N169" s="16"/>
      <c r="O169" s="41"/>
      <c r="P169" s="41"/>
      <c r="Q169" s="41"/>
      <c r="R169" s="41"/>
      <c r="S169" s="41"/>
      <c r="T169" s="41"/>
      <c r="U169" s="41"/>
      <c r="V169" s="41"/>
      <c r="W169" s="41"/>
      <c r="X169" s="41"/>
      <c r="Y169" s="41"/>
      <c r="Z169" s="41"/>
    </row>
    <row r="170" spans="1:26" ht="15.75" customHeight="1" x14ac:dyDescent="0.2">
      <c r="A170" s="16"/>
      <c r="B170" s="43"/>
      <c r="C170" s="43"/>
      <c r="D170" s="16"/>
      <c r="E170" s="16"/>
      <c r="F170" s="16"/>
      <c r="G170" s="12"/>
      <c r="H170" s="12"/>
      <c r="I170" s="12"/>
      <c r="J170" s="12"/>
      <c r="K170" s="12"/>
      <c r="L170" s="12"/>
      <c r="M170" s="12"/>
      <c r="N170" s="16"/>
      <c r="O170" s="41"/>
      <c r="P170" s="41"/>
      <c r="Q170" s="41"/>
      <c r="R170" s="41"/>
      <c r="S170" s="41"/>
      <c r="T170" s="41"/>
      <c r="U170" s="41"/>
      <c r="V170" s="41"/>
      <c r="W170" s="41"/>
      <c r="X170" s="41"/>
      <c r="Y170" s="41"/>
      <c r="Z170" s="41"/>
    </row>
    <row r="171" spans="1:26" ht="15.75" customHeight="1" x14ac:dyDescent="0.2">
      <c r="A171" s="16"/>
      <c r="B171" s="43"/>
      <c r="C171" s="43"/>
      <c r="D171" s="16"/>
      <c r="E171" s="16"/>
      <c r="F171" s="16"/>
      <c r="G171" s="12"/>
      <c r="H171" s="12"/>
      <c r="I171" s="12"/>
      <c r="J171" s="12"/>
      <c r="K171" s="12"/>
      <c r="L171" s="12"/>
      <c r="M171" s="12"/>
      <c r="N171" s="16"/>
      <c r="O171" s="41"/>
      <c r="P171" s="41"/>
      <c r="Q171" s="41"/>
      <c r="R171" s="41"/>
      <c r="S171" s="41"/>
      <c r="T171" s="41"/>
      <c r="U171" s="41"/>
      <c r="V171" s="41"/>
      <c r="W171" s="41"/>
      <c r="X171" s="41"/>
      <c r="Y171" s="41"/>
      <c r="Z171" s="41"/>
    </row>
    <row r="172" spans="1:26" ht="15.75" customHeight="1" x14ac:dyDescent="0.2">
      <c r="A172" s="16"/>
      <c r="B172" s="43"/>
      <c r="C172" s="43"/>
      <c r="D172" s="16"/>
      <c r="E172" s="16"/>
      <c r="F172" s="16"/>
      <c r="G172" s="12"/>
      <c r="H172" s="12"/>
      <c r="I172" s="12"/>
      <c r="J172" s="12"/>
      <c r="K172" s="12"/>
      <c r="L172" s="12"/>
      <c r="M172" s="12"/>
      <c r="N172" s="16"/>
      <c r="O172" s="41"/>
      <c r="P172" s="41"/>
      <c r="Q172" s="41"/>
      <c r="R172" s="41"/>
      <c r="S172" s="41"/>
      <c r="T172" s="41"/>
      <c r="U172" s="41"/>
      <c r="V172" s="41"/>
      <c r="W172" s="41"/>
      <c r="X172" s="41"/>
      <c r="Y172" s="41"/>
      <c r="Z172" s="41"/>
    </row>
    <row r="173" spans="1:26" ht="15.75" customHeight="1" x14ac:dyDescent="0.2">
      <c r="A173" s="16"/>
      <c r="B173" s="43"/>
      <c r="C173" s="43"/>
      <c r="D173" s="16"/>
      <c r="E173" s="16"/>
      <c r="F173" s="16"/>
      <c r="G173" s="12"/>
      <c r="H173" s="12"/>
      <c r="I173" s="12"/>
      <c r="J173" s="12"/>
      <c r="K173" s="12"/>
      <c r="L173" s="12"/>
      <c r="M173" s="12"/>
      <c r="N173" s="16"/>
      <c r="O173" s="41"/>
      <c r="P173" s="41"/>
      <c r="Q173" s="41"/>
      <c r="R173" s="41"/>
      <c r="S173" s="41"/>
      <c r="T173" s="41"/>
      <c r="U173" s="41"/>
      <c r="V173" s="41"/>
      <c r="W173" s="41"/>
      <c r="X173" s="41"/>
      <c r="Y173" s="41"/>
      <c r="Z173" s="41"/>
    </row>
    <row r="174" spans="1:26" ht="15.75" customHeight="1" x14ac:dyDescent="0.2">
      <c r="A174" s="16"/>
      <c r="B174" s="43"/>
      <c r="C174" s="43"/>
      <c r="D174" s="16"/>
      <c r="E174" s="16"/>
      <c r="F174" s="16"/>
      <c r="G174" s="12"/>
      <c r="H174" s="12"/>
      <c r="I174" s="12"/>
      <c r="J174" s="12"/>
      <c r="K174" s="12"/>
      <c r="L174" s="12"/>
      <c r="M174" s="12"/>
      <c r="N174" s="16"/>
      <c r="O174" s="41"/>
      <c r="P174" s="41"/>
      <c r="Q174" s="41"/>
      <c r="R174" s="41"/>
      <c r="S174" s="41"/>
      <c r="T174" s="41"/>
      <c r="U174" s="41"/>
      <c r="V174" s="41"/>
      <c r="W174" s="41"/>
      <c r="X174" s="41"/>
      <c r="Y174" s="41"/>
      <c r="Z174" s="41"/>
    </row>
    <row r="175" spans="1:26" ht="15.75" customHeight="1" x14ac:dyDescent="0.2">
      <c r="A175" s="16"/>
      <c r="B175" s="43"/>
      <c r="C175" s="43"/>
      <c r="D175" s="16"/>
      <c r="E175" s="16"/>
      <c r="F175" s="16"/>
      <c r="G175" s="12"/>
      <c r="H175" s="12"/>
      <c r="I175" s="12"/>
      <c r="J175" s="12"/>
      <c r="K175" s="12"/>
      <c r="L175" s="12"/>
      <c r="M175" s="12"/>
      <c r="N175" s="16"/>
      <c r="O175" s="41"/>
      <c r="P175" s="41"/>
      <c r="Q175" s="41"/>
      <c r="R175" s="41"/>
      <c r="S175" s="41"/>
      <c r="T175" s="41"/>
      <c r="U175" s="41"/>
      <c r="V175" s="41"/>
      <c r="W175" s="41"/>
      <c r="X175" s="41"/>
      <c r="Y175" s="41"/>
      <c r="Z175" s="41"/>
    </row>
    <row r="176" spans="1:26" ht="15.75" customHeight="1" x14ac:dyDescent="0.2">
      <c r="A176" s="16"/>
      <c r="B176" s="43"/>
      <c r="C176" s="43"/>
      <c r="D176" s="16"/>
      <c r="E176" s="16"/>
      <c r="F176" s="16"/>
      <c r="G176" s="12"/>
      <c r="H176" s="12"/>
      <c r="I176" s="12"/>
      <c r="J176" s="12"/>
      <c r="K176" s="12"/>
      <c r="L176" s="12"/>
      <c r="M176" s="12"/>
      <c r="N176" s="16"/>
      <c r="O176" s="41"/>
      <c r="P176" s="41"/>
      <c r="Q176" s="41"/>
      <c r="R176" s="41"/>
      <c r="S176" s="41"/>
      <c r="T176" s="41"/>
      <c r="U176" s="41"/>
      <c r="V176" s="41"/>
      <c r="W176" s="41"/>
      <c r="X176" s="41"/>
      <c r="Y176" s="41"/>
      <c r="Z176" s="41"/>
    </row>
    <row r="177" spans="1:26" ht="15.75" customHeight="1" x14ac:dyDescent="0.2">
      <c r="A177" s="16"/>
      <c r="B177" s="43"/>
      <c r="C177" s="43"/>
      <c r="D177" s="16"/>
      <c r="E177" s="16"/>
      <c r="F177" s="16"/>
      <c r="G177" s="12"/>
      <c r="H177" s="12"/>
      <c r="I177" s="12"/>
      <c r="J177" s="12"/>
      <c r="K177" s="12"/>
      <c r="L177" s="12"/>
      <c r="M177" s="12"/>
      <c r="N177" s="16"/>
      <c r="O177" s="41"/>
      <c r="P177" s="41"/>
      <c r="Q177" s="41"/>
      <c r="R177" s="41"/>
      <c r="S177" s="41"/>
      <c r="T177" s="41"/>
      <c r="U177" s="41"/>
      <c r="V177" s="41"/>
      <c r="W177" s="41"/>
      <c r="X177" s="41"/>
      <c r="Y177" s="41"/>
      <c r="Z177" s="41"/>
    </row>
    <row r="178" spans="1:26" ht="15.75" customHeight="1" x14ac:dyDescent="0.2">
      <c r="A178" s="16"/>
      <c r="B178" s="43"/>
      <c r="C178" s="43"/>
      <c r="D178" s="16"/>
      <c r="E178" s="16"/>
      <c r="F178" s="16"/>
      <c r="G178" s="12"/>
      <c r="H178" s="12"/>
      <c r="I178" s="12"/>
      <c r="J178" s="12"/>
      <c r="K178" s="12"/>
      <c r="L178" s="12"/>
      <c r="M178" s="12"/>
      <c r="N178" s="16"/>
      <c r="O178" s="41"/>
      <c r="P178" s="41"/>
      <c r="Q178" s="41"/>
      <c r="R178" s="41"/>
      <c r="S178" s="41"/>
      <c r="T178" s="41"/>
      <c r="U178" s="41"/>
      <c r="V178" s="41"/>
      <c r="W178" s="41"/>
      <c r="X178" s="41"/>
      <c r="Y178" s="41"/>
      <c r="Z178" s="41"/>
    </row>
    <row r="179" spans="1:26" ht="15.75" customHeight="1" x14ac:dyDescent="0.2">
      <c r="A179" s="16"/>
      <c r="B179" s="43"/>
      <c r="C179" s="43"/>
      <c r="D179" s="16"/>
      <c r="E179" s="16"/>
      <c r="F179" s="16"/>
      <c r="G179" s="12"/>
      <c r="H179" s="12"/>
      <c r="I179" s="12"/>
      <c r="J179" s="12"/>
      <c r="K179" s="12"/>
      <c r="L179" s="12"/>
      <c r="M179" s="12"/>
      <c r="N179" s="16"/>
      <c r="O179" s="41"/>
      <c r="P179" s="41"/>
      <c r="Q179" s="41"/>
      <c r="R179" s="41"/>
      <c r="S179" s="41"/>
      <c r="T179" s="41"/>
      <c r="U179" s="41"/>
      <c r="V179" s="41"/>
      <c r="W179" s="41"/>
      <c r="X179" s="41"/>
      <c r="Y179" s="41"/>
      <c r="Z179" s="41"/>
    </row>
    <row r="180" spans="1:26" ht="15.75" customHeight="1" x14ac:dyDescent="0.2">
      <c r="A180" s="16"/>
      <c r="B180" s="43"/>
      <c r="C180" s="43"/>
      <c r="D180" s="16"/>
      <c r="E180" s="16"/>
      <c r="F180" s="16"/>
      <c r="G180" s="12"/>
      <c r="H180" s="12"/>
      <c r="I180" s="12"/>
      <c r="J180" s="12"/>
      <c r="K180" s="12"/>
      <c r="L180" s="12"/>
      <c r="M180" s="12"/>
      <c r="N180" s="16"/>
      <c r="O180" s="41"/>
      <c r="P180" s="41"/>
      <c r="Q180" s="41"/>
      <c r="R180" s="41"/>
      <c r="S180" s="41"/>
      <c r="T180" s="41"/>
      <c r="U180" s="41"/>
      <c r="V180" s="41"/>
      <c r="W180" s="41"/>
      <c r="X180" s="41"/>
      <c r="Y180" s="41"/>
      <c r="Z180" s="41"/>
    </row>
    <row r="181" spans="1:26" ht="15.75" customHeight="1" x14ac:dyDescent="0.2">
      <c r="A181" s="16"/>
      <c r="B181" s="43"/>
      <c r="C181" s="43"/>
      <c r="D181" s="16"/>
      <c r="E181" s="16"/>
      <c r="F181" s="16"/>
      <c r="G181" s="12"/>
      <c r="H181" s="12"/>
      <c r="I181" s="12"/>
      <c r="J181" s="12"/>
      <c r="K181" s="12"/>
      <c r="L181" s="12"/>
      <c r="M181" s="12"/>
      <c r="N181" s="16"/>
      <c r="O181" s="41"/>
      <c r="P181" s="41"/>
      <c r="Q181" s="41"/>
      <c r="R181" s="41"/>
      <c r="S181" s="41"/>
      <c r="T181" s="41"/>
      <c r="U181" s="41"/>
      <c r="V181" s="41"/>
      <c r="W181" s="41"/>
      <c r="X181" s="41"/>
      <c r="Y181" s="41"/>
      <c r="Z181" s="41"/>
    </row>
    <row r="182" spans="1:26" ht="15.75" customHeight="1" x14ac:dyDescent="0.2">
      <c r="A182" s="16"/>
      <c r="B182" s="43"/>
      <c r="C182" s="43"/>
      <c r="D182" s="16"/>
      <c r="E182" s="16"/>
      <c r="F182" s="16"/>
      <c r="G182" s="12"/>
      <c r="H182" s="12"/>
      <c r="I182" s="12"/>
      <c r="J182" s="12"/>
      <c r="K182" s="12"/>
      <c r="L182" s="12"/>
      <c r="M182" s="12"/>
      <c r="N182" s="16"/>
      <c r="O182" s="41"/>
      <c r="P182" s="41"/>
      <c r="Q182" s="41"/>
      <c r="R182" s="41"/>
      <c r="S182" s="41"/>
      <c r="T182" s="41"/>
      <c r="U182" s="41"/>
      <c r="V182" s="41"/>
      <c r="W182" s="41"/>
      <c r="X182" s="41"/>
      <c r="Y182" s="41"/>
      <c r="Z182" s="41"/>
    </row>
    <row r="183" spans="1:26" ht="15.75" customHeight="1" x14ac:dyDescent="0.2">
      <c r="A183" s="16"/>
      <c r="B183" s="43"/>
      <c r="C183" s="43"/>
      <c r="D183" s="16"/>
      <c r="E183" s="16"/>
      <c r="F183" s="16"/>
      <c r="G183" s="12"/>
      <c r="H183" s="12"/>
      <c r="I183" s="12"/>
      <c r="J183" s="12"/>
      <c r="K183" s="12"/>
      <c r="L183" s="12"/>
      <c r="M183" s="12"/>
      <c r="N183" s="16"/>
      <c r="O183" s="41"/>
      <c r="P183" s="41"/>
      <c r="Q183" s="41"/>
      <c r="R183" s="41"/>
      <c r="S183" s="41"/>
      <c r="T183" s="41"/>
      <c r="U183" s="41"/>
      <c r="V183" s="41"/>
      <c r="W183" s="41"/>
      <c r="X183" s="41"/>
      <c r="Y183" s="41"/>
      <c r="Z183" s="41"/>
    </row>
    <row r="184" spans="1:26" ht="15.75" customHeight="1" x14ac:dyDescent="0.2">
      <c r="A184" s="16"/>
      <c r="B184" s="43"/>
      <c r="C184" s="43"/>
      <c r="D184" s="16"/>
      <c r="E184" s="16"/>
      <c r="F184" s="16"/>
      <c r="G184" s="12"/>
      <c r="H184" s="12"/>
      <c r="I184" s="12"/>
      <c r="J184" s="12"/>
      <c r="K184" s="12"/>
      <c r="L184" s="12"/>
      <c r="M184" s="12"/>
      <c r="N184" s="16"/>
      <c r="O184" s="41"/>
      <c r="P184" s="41"/>
      <c r="Q184" s="41"/>
      <c r="R184" s="41"/>
      <c r="S184" s="41"/>
      <c r="T184" s="41"/>
      <c r="U184" s="41"/>
      <c r="V184" s="41"/>
      <c r="W184" s="41"/>
      <c r="X184" s="41"/>
      <c r="Y184" s="41"/>
      <c r="Z184" s="41"/>
    </row>
    <row r="185" spans="1:26" ht="15.75" customHeight="1" x14ac:dyDescent="0.2">
      <c r="A185" s="16"/>
      <c r="B185" s="43"/>
      <c r="C185" s="43"/>
      <c r="D185" s="16"/>
      <c r="E185" s="16"/>
      <c r="F185" s="16"/>
      <c r="G185" s="12"/>
      <c r="H185" s="12"/>
      <c r="I185" s="12"/>
      <c r="J185" s="12"/>
      <c r="K185" s="12"/>
      <c r="L185" s="12"/>
      <c r="M185" s="12"/>
      <c r="N185" s="16"/>
      <c r="O185" s="41"/>
      <c r="P185" s="41"/>
      <c r="Q185" s="41"/>
      <c r="R185" s="41"/>
      <c r="S185" s="41"/>
      <c r="T185" s="41"/>
      <c r="U185" s="41"/>
      <c r="V185" s="41"/>
      <c r="W185" s="41"/>
      <c r="X185" s="41"/>
      <c r="Y185" s="41"/>
      <c r="Z185" s="41"/>
    </row>
    <row r="186" spans="1:26" ht="15.75" customHeight="1" x14ac:dyDescent="0.2">
      <c r="A186" s="16"/>
      <c r="B186" s="43"/>
      <c r="C186" s="43"/>
      <c r="D186" s="16"/>
      <c r="E186" s="16"/>
      <c r="F186" s="16"/>
      <c r="G186" s="12"/>
      <c r="H186" s="12"/>
      <c r="I186" s="12"/>
      <c r="J186" s="12"/>
      <c r="K186" s="12"/>
      <c r="L186" s="12"/>
      <c r="M186" s="12"/>
      <c r="N186" s="16"/>
      <c r="O186" s="41"/>
      <c r="P186" s="41"/>
      <c r="Q186" s="41"/>
      <c r="R186" s="41"/>
      <c r="S186" s="41"/>
      <c r="T186" s="41"/>
      <c r="U186" s="41"/>
      <c r="V186" s="41"/>
      <c r="W186" s="41"/>
      <c r="X186" s="41"/>
      <c r="Y186" s="41"/>
      <c r="Z186" s="41"/>
    </row>
    <row r="187" spans="1:26" ht="15.75" customHeight="1" x14ac:dyDescent="0.2">
      <c r="A187" s="16"/>
      <c r="B187" s="43"/>
      <c r="C187" s="43"/>
      <c r="D187" s="16"/>
      <c r="E187" s="16"/>
      <c r="F187" s="16"/>
      <c r="G187" s="12"/>
      <c r="H187" s="12"/>
      <c r="I187" s="12"/>
      <c r="J187" s="12"/>
      <c r="K187" s="12"/>
      <c r="L187" s="12"/>
      <c r="M187" s="12"/>
      <c r="N187" s="16"/>
      <c r="O187" s="41"/>
      <c r="P187" s="41"/>
      <c r="Q187" s="41"/>
      <c r="R187" s="41"/>
      <c r="S187" s="41"/>
      <c r="T187" s="41"/>
      <c r="U187" s="41"/>
      <c r="V187" s="41"/>
      <c r="W187" s="41"/>
      <c r="X187" s="41"/>
      <c r="Y187" s="41"/>
      <c r="Z187" s="41"/>
    </row>
    <row r="188" spans="1:26" ht="15.75" customHeight="1" x14ac:dyDescent="0.2">
      <c r="A188" s="16"/>
      <c r="B188" s="43"/>
      <c r="C188" s="43"/>
      <c r="D188" s="16"/>
      <c r="E188" s="16"/>
      <c r="F188" s="16"/>
      <c r="G188" s="12"/>
      <c r="H188" s="12"/>
      <c r="I188" s="12"/>
      <c r="J188" s="12"/>
      <c r="K188" s="12"/>
      <c r="L188" s="12"/>
      <c r="M188" s="12"/>
      <c r="N188" s="16"/>
      <c r="O188" s="41"/>
      <c r="P188" s="41"/>
      <c r="Q188" s="41"/>
      <c r="R188" s="41"/>
      <c r="S188" s="41"/>
      <c r="T188" s="41"/>
      <c r="U188" s="41"/>
      <c r="V188" s="41"/>
      <c r="W188" s="41"/>
      <c r="X188" s="41"/>
      <c r="Y188" s="41"/>
      <c r="Z188" s="41"/>
    </row>
    <row r="189" spans="1:26" ht="15.75" customHeight="1" x14ac:dyDescent="0.2">
      <c r="A189" s="16"/>
      <c r="B189" s="43"/>
      <c r="C189" s="43"/>
      <c r="D189" s="16"/>
      <c r="E189" s="16"/>
      <c r="F189" s="16"/>
      <c r="G189" s="12"/>
      <c r="H189" s="12"/>
      <c r="I189" s="12"/>
      <c r="J189" s="12"/>
      <c r="K189" s="12"/>
      <c r="L189" s="12"/>
      <c r="M189" s="12"/>
      <c r="N189" s="16"/>
      <c r="O189" s="41"/>
      <c r="P189" s="41"/>
      <c r="Q189" s="41"/>
      <c r="R189" s="41"/>
      <c r="S189" s="41"/>
      <c r="T189" s="41"/>
      <c r="U189" s="41"/>
      <c r="V189" s="41"/>
      <c r="W189" s="41"/>
      <c r="X189" s="41"/>
      <c r="Y189" s="41"/>
      <c r="Z189" s="41"/>
    </row>
    <row r="190" spans="1:26" ht="15.75" customHeight="1" x14ac:dyDescent="0.2">
      <c r="A190" s="16"/>
      <c r="B190" s="43"/>
      <c r="C190" s="43"/>
      <c r="D190" s="16"/>
      <c r="E190" s="16"/>
      <c r="F190" s="16"/>
      <c r="G190" s="12"/>
      <c r="H190" s="12"/>
      <c r="I190" s="12"/>
      <c r="J190" s="12"/>
      <c r="K190" s="12"/>
      <c r="L190" s="12"/>
      <c r="M190" s="12"/>
      <c r="N190" s="16"/>
      <c r="O190" s="41"/>
      <c r="P190" s="41"/>
      <c r="Q190" s="41"/>
      <c r="R190" s="41"/>
      <c r="S190" s="41"/>
      <c r="T190" s="41"/>
      <c r="U190" s="41"/>
      <c r="V190" s="41"/>
      <c r="W190" s="41"/>
      <c r="X190" s="41"/>
      <c r="Y190" s="41"/>
      <c r="Z190" s="41"/>
    </row>
    <row r="191" spans="1:26" ht="15.75" customHeight="1" x14ac:dyDescent="0.2">
      <c r="A191" s="16"/>
      <c r="B191" s="43"/>
      <c r="C191" s="43"/>
      <c r="D191" s="16"/>
      <c r="E191" s="16"/>
      <c r="F191" s="16"/>
      <c r="G191" s="12"/>
      <c r="H191" s="12"/>
      <c r="I191" s="12"/>
      <c r="J191" s="12"/>
      <c r="K191" s="12"/>
      <c r="L191" s="12"/>
      <c r="M191" s="12"/>
      <c r="N191" s="16"/>
      <c r="O191" s="41"/>
      <c r="P191" s="41"/>
      <c r="Q191" s="41"/>
      <c r="R191" s="41"/>
      <c r="S191" s="41"/>
      <c r="T191" s="41"/>
      <c r="U191" s="41"/>
      <c r="V191" s="41"/>
      <c r="W191" s="41"/>
      <c r="X191" s="41"/>
      <c r="Y191" s="41"/>
      <c r="Z191" s="41"/>
    </row>
    <row r="192" spans="1:26" ht="15.75" customHeight="1" x14ac:dyDescent="0.2">
      <c r="A192" s="16"/>
      <c r="B192" s="43"/>
      <c r="C192" s="43"/>
      <c r="D192" s="16"/>
      <c r="E192" s="16"/>
      <c r="F192" s="16"/>
      <c r="G192" s="12"/>
      <c r="H192" s="12"/>
      <c r="I192" s="12"/>
      <c r="J192" s="12"/>
      <c r="K192" s="12"/>
      <c r="L192" s="12"/>
      <c r="M192" s="12"/>
      <c r="N192" s="16"/>
      <c r="O192" s="41"/>
      <c r="P192" s="41"/>
      <c r="Q192" s="41"/>
      <c r="R192" s="41"/>
      <c r="S192" s="41"/>
      <c r="T192" s="41"/>
      <c r="U192" s="41"/>
      <c r="V192" s="41"/>
      <c r="W192" s="41"/>
      <c r="X192" s="41"/>
      <c r="Y192" s="41"/>
      <c r="Z192" s="41"/>
    </row>
    <row r="193" spans="1:26" ht="15.75" customHeight="1" x14ac:dyDescent="0.2">
      <c r="A193" s="16"/>
      <c r="B193" s="43"/>
      <c r="C193" s="43"/>
      <c r="D193" s="16"/>
      <c r="E193" s="16"/>
      <c r="F193" s="16"/>
      <c r="G193" s="12"/>
      <c r="H193" s="12"/>
      <c r="I193" s="12"/>
      <c r="J193" s="12"/>
      <c r="K193" s="12"/>
      <c r="L193" s="12"/>
      <c r="M193" s="12"/>
      <c r="N193" s="16"/>
      <c r="O193" s="41"/>
      <c r="P193" s="41"/>
      <c r="Q193" s="41"/>
      <c r="R193" s="41"/>
      <c r="S193" s="41"/>
      <c r="T193" s="41"/>
      <c r="U193" s="41"/>
      <c r="V193" s="41"/>
      <c r="W193" s="41"/>
      <c r="X193" s="41"/>
      <c r="Y193" s="41"/>
      <c r="Z193" s="41"/>
    </row>
    <row r="194" spans="1:26" ht="15.75" customHeight="1" x14ac:dyDescent="0.2">
      <c r="A194" s="16"/>
      <c r="B194" s="43"/>
      <c r="C194" s="43"/>
      <c r="D194" s="16"/>
      <c r="E194" s="16"/>
      <c r="F194" s="16"/>
      <c r="G194" s="12"/>
      <c r="H194" s="12"/>
      <c r="I194" s="12"/>
      <c r="J194" s="12"/>
      <c r="K194" s="12"/>
      <c r="L194" s="12"/>
      <c r="M194" s="12"/>
      <c r="N194" s="16"/>
      <c r="O194" s="41"/>
      <c r="P194" s="41"/>
      <c r="Q194" s="41"/>
      <c r="R194" s="41"/>
      <c r="S194" s="41"/>
      <c r="T194" s="41"/>
      <c r="U194" s="41"/>
      <c r="V194" s="41"/>
      <c r="W194" s="41"/>
      <c r="X194" s="41"/>
      <c r="Y194" s="41"/>
      <c r="Z194" s="41"/>
    </row>
    <row r="195" spans="1:26" ht="15.75" customHeight="1" x14ac:dyDescent="0.2">
      <c r="A195" s="16"/>
      <c r="B195" s="43"/>
      <c r="C195" s="43"/>
      <c r="D195" s="16"/>
      <c r="E195" s="16"/>
      <c r="F195" s="16"/>
      <c r="G195" s="12"/>
      <c r="H195" s="12"/>
      <c r="I195" s="12"/>
      <c r="J195" s="12"/>
      <c r="K195" s="12"/>
      <c r="L195" s="12"/>
      <c r="M195" s="12"/>
      <c r="N195" s="16"/>
      <c r="O195" s="41"/>
      <c r="P195" s="41"/>
      <c r="Q195" s="41"/>
      <c r="R195" s="41"/>
      <c r="S195" s="41"/>
      <c r="T195" s="41"/>
      <c r="U195" s="41"/>
      <c r="V195" s="41"/>
      <c r="W195" s="41"/>
      <c r="X195" s="41"/>
      <c r="Y195" s="41"/>
      <c r="Z195" s="41"/>
    </row>
    <row r="196" spans="1:26" ht="15.75" customHeight="1" x14ac:dyDescent="0.2">
      <c r="A196" s="16"/>
      <c r="B196" s="43"/>
      <c r="C196" s="43"/>
      <c r="D196" s="16"/>
      <c r="E196" s="16"/>
      <c r="F196" s="16"/>
      <c r="G196" s="12"/>
      <c r="H196" s="12"/>
      <c r="I196" s="12"/>
      <c r="J196" s="12"/>
      <c r="K196" s="12"/>
      <c r="L196" s="12"/>
      <c r="M196" s="12"/>
      <c r="N196" s="16"/>
      <c r="O196" s="41"/>
      <c r="P196" s="41"/>
      <c r="Q196" s="41"/>
      <c r="R196" s="41"/>
      <c r="S196" s="41"/>
      <c r="T196" s="41"/>
      <c r="U196" s="41"/>
      <c r="V196" s="41"/>
      <c r="W196" s="41"/>
      <c r="X196" s="41"/>
      <c r="Y196" s="41"/>
      <c r="Z196" s="41"/>
    </row>
    <row r="197" spans="1:26" ht="15.75" customHeight="1" x14ac:dyDescent="0.2">
      <c r="A197" s="16"/>
      <c r="B197" s="43"/>
      <c r="C197" s="43"/>
      <c r="D197" s="16"/>
      <c r="E197" s="16"/>
      <c r="F197" s="16"/>
      <c r="G197" s="12"/>
      <c r="H197" s="12"/>
      <c r="I197" s="12"/>
      <c r="J197" s="12"/>
      <c r="K197" s="12"/>
      <c r="L197" s="12"/>
      <c r="M197" s="12"/>
      <c r="N197" s="16"/>
      <c r="O197" s="41"/>
      <c r="P197" s="41"/>
      <c r="Q197" s="41"/>
      <c r="R197" s="41"/>
      <c r="S197" s="41"/>
      <c r="T197" s="41"/>
      <c r="U197" s="41"/>
      <c r="V197" s="41"/>
      <c r="W197" s="41"/>
      <c r="X197" s="41"/>
      <c r="Y197" s="41"/>
      <c r="Z197" s="41"/>
    </row>
    <row r="198" spans="1:26" ht="15.75" customHeight="1" x14ac:dyDescent="0.2">
      <c r="A198" s="16"/>
      <c r="B198" s="43"/>
      <c r="C198" s="43"/>
      <c r="D198" s="16"/>
      <c r="E198" s="16"/>
      <c r="F198" s="16"/>
      <c r="G198" s="12"/>
      <c r="H198" s="12"/>
      <c r="I198" s="12"/>
      <c r="J198" s="12"/>
      <c r="K198" s="12"/>
      <c r="L198" s="12"/>
      <c r="M198" s="12"/>
      <c r="N198" s="16"/>
      <c r="O198" s="41"/>
      <c r="P198" s="41"/>
      <c r="Q198" s="41"/>
      <c r="R198" s="41"/>
      <c r="S198" s="41"/>
      <c r="T198" s="41"/>
      <c r="U198" s="41"/>
      <c r="V198" s="41"/>
      <c r="W198" s="41"/>
      <c r="X198" s="41"/>
      <c r="Y198" s="41"/>
      <c r="Z198" s="41"/>
    </row>
    <row r="199" spans="1:26" ht="15.75" customHeight="1" x14ac:dyDescent="0.2">
      <c r="A199" s="16"/>
      <c r="B199" s="43"/>
      <c r="C199" s="43"/>
      <c r="D199" s="16"/>
      <c r="E199" s="16"/>
      <c r="F199" s="16"/>
      <c r="G199" s="12"/>
      <c r="H199" s="12"/>
      <c r="I199" s="12"/>
      <c r="J199" s="12"/>
      <c r="K199" s="12"/>
      <c r="L199" s="12"/>
      <c r="M199" s="12"/>
      <c r="N199" s="16"/>
      <c r="O199" s="41"/>
      <c r="P199" s="41"/>
      <c r="Q199" s="41"/>
      <c r="R199" s="41"/>
      <c r="S199" s="41"/>
      <c r="T199" s="41"/>
      <c r="U199" s="41"/>
      <c r="V199" s="41"/>
      <c r="W199" s="41"/>
      <c r="X199" s="41"/>
      <c r="Y199" s="41"/>
      <c r="Z199" s="41"/>
    </row>
    <row r="200" spans="1:26" ht="15.75" customHeight="1" x14ac:dyDescent="0.2">
      <c r="A200" s="16"/>
      <c r="B200" s="43"/>
      <c r="C200" s="43"/>
      <c r="D200" s="16"/>
      <c r="E200" s="16"/>
      <c r="F200" s="16"/>
      <c r="G200" s="12"/>
      <c r="H200" s="12"/>
      <c r="I200" s="12"/>
      <c r="J200" s="12"/>
      <c r="K200" s="12"/>
      <c r="L200" s="12"/>
      <c r="M200" s="12"/>
      <c r="N200" s="16"/>
      <c r="O200" s="41"/>
      <c r="P200" s="41"/>
      <c r="Q200" s="41"/>
      <c r="R200" s="41"/>
      <c r="S200" s="41"/>
      <c r="T200" s="41"/>
      <c r="U200" s="41"/>
      <c r="V200" s="41"/>
      <c r="W200" s="41"/>
      <c r="X200" s="41"/>
      <c r="Y200" s="41"/>
      <c r="Z200" s="41"/>
    </row>
    <row r="201" spans="1:26" ht="15.75" customHeight="1" x14ac:dyDescent="0.2">
      <c r="A201" s="16"/>
      <c r="B201" s="43"/>
      <c r="C201" s="43"/>
      <c r="D201" s="16"/>
      <c r="E201" s="16"/>
      <c r="F201" s="16"/>
      <c r="G201" s="12"/>
      <c r="H201" s="12"/>
      <c r="I201" s="12"/>
      <c r="J201" s="12"/>
      <c r="K201" s="12"/>
      <c r="L201" s="12"/>
      <c r="M201" s="12"/>
      <c r="N201" s="16"/>
      <c r="O201" s="41"/>
      <c r="P201" s="41"/>
      <c r="Q201" s="41"/>
      <c r="R201" s="41"/>
      <c r="S201" s="41"/>
      <c r="T201" s="41"/>
      <c r="U201" s="41"/>
      <c r="V201" s="41"/>
      <c r="W201" s="41"/>
      <c r="X201" s="41"/>
      <c r="Y201" s="41"/>
      <c r="Z201" s="41"/>
    </row>
    <row r="202" spans="1:26" ht="15.75" customHeight="1" x14ac:dyDescent="0.2">
      <c r="A202" s="16"/>
      <c r="B202" s="43"/>
      <c r="C202" s="43"/>
      <c r="D202" s="16"/>
      <c r="E202" s="16"/>
      <c r="F202" s="16"/>
      <c r="G202" s="12"/>
      <c r="H202" s="12"/>
      <c r="I202" s="12"/>
      <c r="J202" s="12"/>
      <c r="K202" s="12"/>
      <c r="L202" s="12"/>
      <c r="M202" s="12"/>
      <c r="N202" s="16"/>
      <c r="O202" s="41"/>
      <c r="P202" s="41"/>
      <c r="Q202" s="41"/>
      <c r="R202" s="41"/>
      <c r="S202" s="41"/>
      <c r="T202" s="41"/>
      <c r="U202" s="41"/>
      <c r="V202" s="41"/>
      <c r="W202" s="41"/>
      <c r="X202" s="41"/>
      <c r="Y202" s="41"/>
      <c r="Z202" s="41"/>
    </row>
    <row r="203" spans="1:26" ht="15.75" customHeight="1" x14ac:dyDescent="0.2">
      <c r="A203" s="16"/>
      <c r="B203" s="43"/>
      <c r="C203" s="43"/>
      <c r="D203" s="16"/>
      <c r="E203" s="16"/>
      <c r="F203" s="16"/>
      <c r="G203" s="12"/>
      <c r="H203" s="12"/>
      <c r="I203" s="12"/>
      <c r="J203" s="12"/>
      <c r="K203" s="12"/>
      <c r="L203" s="12"/>
      <c r="M203" s="12"/>
      <c r="N203" s="16"/>
      <c r="O203" s="41"/>
      <c r="P203" s="41"/>
      <c r="Q203" s="41"/>
      <c r="R203" s="41"/>
      <c r="S203" s="41"/>
      <c r="T203" s="41"/>
      <c r="U203" s="41"/>
      <c r="V203" s="41"/>
      <c r="W203" s="41"/>
      <c r="X203" s="41"/>
      <c r="Y203" s="41"/>
      <c r="Z203" s="41"/>
    </row>
    <row r="204" spans="1:26" ht="15.75" customHeight="1" x14ac:dyDescent="0.2">
      <c r="A204" s="16"/>
      <c r="B204" s="43"/>
      <c r="C204" s="43"/>
      <c r="D204" s="16"/>
      <c r="E204" s="16"/>
      <c r="F204" s="16"/>
      <c r="G204" s="12"/>
      <c r="H204" s="12"/>
      <c r="I204" s="12"/>
      <c r="J204" s="12"/>
      <c r="K204" s="12"/>
      <c r="L204" s="12"/>
      <c r="M204" s="12"/>
      <c r="N204" s="16"/>
      <c r="O204" s="41"/>
      <c r="P204" s="41"/>
      <c r="Q204" s="41"/>
      <c r="R204" s="41"/>
      <c r="S204" s="41"/>
      <c r="T204" s="41"/>
      <c r="U204" s="41"/>
      <c r="V204" s="41"/>
      <c r="W204" s="41"/>
      <c r="X204" s="41"/>
      <c r="Y204" s="41"/>
      <c r="Z204" s="41"/>
    </row>
    <row r="205" spans="1:26" ht="15.75" customHeight="1" x14ac:dyDescent="0.2">
      <c r="A205" s="16"/>
      <c r="B205" s="43"/>
      <c r="C205" s="43"/>
      <c r="D205" s="16"/>
      <c r="E205" s="16"/>
      <c r="F205" s="16"/>
      <c r="G205" s="12"/>
      <c r="H205" s="12"/>
      <c r="I205" s="12"/>
      <c r="J205" s="12"/>
      <c r="K205" s="12"/>
      <c r="L205" s="12"/>
      <c r="M205" s="12"/>
      <c r="N205" s="16"/>
      <c r="O205" s="41"/>
      <c r="P205" s="41"/>
      <c r="Q205" s="41"/>
      <c r="R205" s="41"/>
      <c r="S205" s="41"/>
      <c r="T205" s="41"/>
      <c r="U205" s="41"/>
      <c r="V205" s="41"/>
      <c r="W205" s="41"/>
      <c r="X205" s="41"/>
      <c r="Y205" s="41"/>
      <c r="Z205" s="41"/>
    </row>
    <row r="206" spans="1:26" ht="15.75" customHeight="1" x14ac:dyDescent="0.2">
      <c r="A206" s="16"/>
      <c r="B206" s="43"/>
      <c r="C206" s="43"/>
      <c r="D206" s="16"/>
      <c r="E206" s="16"/>
      <c r="F206" s="16"/>
      <c r="G206" s="12"/>
      <c r="H206" s="12"/>
      <c r="I206" s="12"/>
      <c r="J206" s="12"/>
      <c r="K206" s="12"/>
      <c r="L206" s="12"/>
      <c r="M206" s="12"/>
      <c r="N206" s="16"/>
      <c r="O206" s="41"/>
      <c r="P206" s="41"/>
      <c r="Q206" s="41"/>
      <c r="R206" s="41"/>
      <c r="S206" s="41"/>
      <c r="T206" s="41"/>
      <c r="U206" s="41"/>
      <c r="V206" s="41"/>
      <c r="W206" s="41"/>
      <c r="X206" s="41"/>
      <c r="Y206" s="41"/>
      <c r="Z206" s="41"/>
    </row>
    <row r="207" spans="1:26" ht="15.75" customHeight="1" x14ac:dyDescent="0.2">
      <c r="A207" s="16"/>
      <c r="B207" s="43"/>
      <c r="C207" s="43"/>
      <c r="D207" s="16"/>
      <c r="E207" s="16"/>
      <c r="F207" s="16"/>
      <c r="G207" s="12"/>
      <c r="H207" s="12"/>
      <c r="I207" s="12"/>
      <c r="J207" s="12"/>
      <c r="K207" s="12"/>
      <c r="L207" s="12"/>
      <c r="M207" s="12"/>
      <c r="N207" s="16"/>
      <c r="O207" s="41"/>
      <c r="P207" s="41"/>
      <c r="Q207" s="41"/>
      <c r="R207" s="41"/>
      <c r="S207" s="41"/>
      <c r="T207" s="41"/>
      <c r="U207" s="41"/>
      <c r="V207" s="41"/>
      <c r="W207" s="41"/>
      <c r="X207" s="41"/>
      <c r="Y207" s="41"/>
      <c r="Z207" s="41"/>
    </row>
    <row r="208" spans="1:26" ht="15.75" customHeight="1" x14ac:dyDescent="0.2">
      <c r="A208" s="16"/>
      <c r="B208" s="43"/>
      <c r="C208" s="43"/>
      <c r="D208" s="16"/>
      <c r="E208" s="16"/>
      <c r="F208" s="16"/>
      <c r="G208" s="12"/>
      <c r="H208" s="12"/>
      <c r="I208" s="12"/>
      <c r="J208" s="12"/>
      <c r="K208" s="12"/>
      <c r="L208" s="12"/>
      <c r="M208" s="12"/>
      <c r="N208" s="16"/>
      <c r="O208" s="41"/>
      <c r="P208" s="41"/>
      <c r="Q208" s="41"/>
      <c r="R208" s="41"/>
      <c r="S208" s="41"/>
      <c r="T208" s="41"/>
      <c r="U208" s="41"/>
      <c r="V208" s="41"/>
      <c r="W208" s="41"/>
      <c r="X208" s="41"/>
      <c r="Y208" s="41"/>
      <c r="Z208" s="41"/>
    </row>
    <row r="209" spans="1:26" ht="15.75" customHeight="1" x14ac:dyDescent="0.2">
      <c r="A209" s="16"/>
      <c r="B209" s="43"/>
      <c r="C209" s="43"/>
      <c r="D209" s="16"/>
      <c r="E209" s="16"/>
      <c r="F209" s="16"/>
      <c r="G209" s="12"/>
      <c r="H209" s="12"/>
      <c r="I209" s="12"/>
      <c r="J209" s="12"/>
      <c r="K209" s="12"/>
      <c r="L209" s="12"/>
      <c r="M209" s="12"/>
      <c r="N209" s="16"/>
      <c r="O209" s="41"/>
      <c r="P209" s="41"/>
      <c r="Q209" s="41"/>
      <c r="R209" s="41"/>
      <c r="S209" s="41"/>
      <c r="T209" s="41"/>
      <c r="U209" s="41"/>
      <c r="V209" s="41"/>
      <c r="W209" s="41"/>
      <c r="X209" s="41"/>
      <c r="Y209" s="41"/>
      <c r="Z209" s="41"/>
    </row>
    <row r="210" spans="1:26" ht="15.75" customHeight="1" x14ac:dyDescent="0.2">
      <c r="A210" s="16"/>
      <c r="B210" s="43"/>
      <c r="C210" s="43"/>
      <c r="D210" s="16"/>
      <c r="E210" s="16"/>
      <c r="F210" s="16"/>
      <c r="G210" s="12"/>
      <c r="H210" s="12"/>
      <c r="I210" s="12"/>
      <c r="J210" s="12"/>
      <c r="K210" s="12"/>
      <c r="L210" s="12"/>
      <c r="M210" s="12"/>
      <c r="N210" s="16"/>
      <c r="O210" s="41"/>
      <c r="P210" s="41"/>
      <c r="Q210" s="41"/>
      <c r="R210" s="41"/>
      <c r="S210" s="41"/>
      <c r="T210" s="41"/>
      <c r="U210" s="41"/>
      <c r="V210" s="41"/>
      <c r="W210" s="41"/>
      <c r="X210" s="41"/>
      <c r="Y210" s="41"/>
      <c r="Z210" s="41"/>
    </row>
    <row r="211" spans="1:26" ht="15.75" customHeight="1" x14ac:dyDescent="0.2">
      <c r="A211" s="16"/>
      <c r="B211" s="43"/>
      <c r="C211" s="43"/>
      <c r="D211" s="16"/>
      <c r="E211" s="16"/>
      <c r="F211" s="16"/>
      <c r="G211" s="12"/>
      <c r="H211" s="12"/>
      <c r="I211" s="12"/>
      <c r="J211" s="12"/>
      <c r="K211" s="12"/>
      <c r="L211" s="12"/>
      <c r="M211" s="12"/>
      <c r="N211" s="16"/>
      <c r="O211" s="41"/>
      <c r="P211" s="41"/>
      <c r="Q211" s="41"/>
      <c r="R211" s="41"/>
      <c r="S211" s="41"/>
      <c r="T211" s="41"/>
      <c r="U211" s="41"/>
      <c r="V211" s="41"/>
      <c r="W211" s="41"/>
      <c r="X211" s="41"/>
      <c r="Y211" s="41"/>
      <c r="Z211" s="41"/>
    </row>
    <row r="212" spans="1:26" ht="15.75" customHeight="1" x14ac:dyDescent="0.2">
      <c r="A212" s="16"/>
      <c r="B212" s="43"/>
      <c r="C212" s="43"/>
      <c r="D212" s="16"/>
      <c r="E212" s="16"/>
      <c r="F212" s="16"/>
      <c r="G212" s="12"/>
      <c r="H212" s="12"/>
      <c r="I212" s="12"/>
      <c r="J212" s="12"/>
      <c r="K212" s="12"/>
      <c r="L212" s="12"/>
      <c r="M212" s="12"/>
      <c r="N212" s="16"/>
      <c r="O212" s="41"/>
      <c r="P212" s="41"/>
      <c r="Q212" s="41"/>
      <c r="R212" s="41"/>
      <c r="S212" s="41"/>
      <c r="T212" s="41"/>
      <c r="U212" s="41"/>
      <c r="V212" s="41"/>
      <c r="W212" s="41"/>
      <c r="X212" s="41"/>
      <c r="Y212" s="41"/>
      <c r="Z212" s="41"/>
    </row>
    <row r="213" spans="1:26" ht="15.75" customHeight="1" x14ac:dyDescent="0.2">
      <c r="A213" s="16"/>
      <c r="B213" s="43"/>
      <c r="C213" s="43"/>
      <c r="D213" s="16"/>
      <c r="E213" s="16"/>
      <c r="F213" s="16"/>
      <c r="G213" s="12"/>
      <c r="H213" s="12"/>
      <c r="I213" s="12"/>
      <c r="J213" s="12"/>
      <c r="K213" s="12"/>
      <c r="L213" s="12"/>
      <c r="M213" s="12"/>
      <c r="N213" s="16"/>
      <c r="O213" s="41"/>
      <c r="P213" s="41"/>
      <c r="Q213" s="41"/>
      <c r="R213" s="41"/>
      <c r="S213" s="41"/>
      <c r="T213" s="41"/>
      <c r="U213" s="41"/>
      <c r="V213" s="41"/>
      <c r="W213" s="41"/>
      <c r="X213" s="41"/>
      <c r="Y213" s="41"/>
      <c r="Z213" s="41"/>
    </row>
    <row r="214" spans="1:26" ht="15.75" customHeight="1" x14ac:dyDescent="0.2">
      <c r="A214" s="16"/>
      <c r="B214" s="43"/>
      <c r="C214" s="43"/>
      <c r="D214" s="16"/>
      <c r="E214" s="16"/>
      <c r="F214" s="16"/>
      <c r="G214" s="12"/>
      <c r="H214" s="12"/>
      <c r="I214" s="12"/>
      <c r="J214" s="12"/>
      <c r="K214" s="12"/>
      <c r="L214" s="12"/>
      <c r="M214" s="12"/>
      <c r="N214" s="16"/>
      <c r="O214" s="41"/>
      <c r="P214" s="41"/>
      <c r="Q214" s="41"/>
      <c r="R214" s="41"/>
      <c r="S214" s="41"/>
      <c r="T214" s="41"/>
      <c r="U214" s="41"/>
      <c r="V214" s="41"/>
      <c r="W214" s="41"/>
      <c r="X214" s="41"/>
      <c r="Y214" s="41"/>
      <c r="Z214" s="41"/>
    </row>
    <row r="215" spans="1:26" ht="15.75" customHeight="1" x14ac:dyDescent="0.2">
      <c r="A215" s="16"/>
      <c r="B215" s="43"/>
      <c r="C215" s="43"/>
      <c r="D215" s="16"/>
      <c r="E215" s="16"/>
      <c r="F215" s="16"/>
      <c r="G215" s="12"/>
      <c r="H215" s="12"/>
      <c r="I215" s="12"/>
      <c r="J215" s="12"/>
      <c r="K215" s="12"/>
      <c r="L215" s="12"/>
      <c r="M215" s="12"/>
      <c r="N215" s="16"/>
      <c r="O215" s="41"/>
      <c r="P215" s="41"/>
      <c r="Q215" s="41"/>
      <c r="R215" s="41"/>
      <c r="S215" s="41"/>
      <c r="T215" s="41"/>
      <c r="U215" s="41"/>
      <c r="V215" s="41"/>
      <c r="W215" s="41"/>
      <c r="X215" s="41"/>
      <c r="Y215" s="41"/>
      <c r="Z215" s="41"/>
    </row>
    <row r="216" spans="1:26" ht="15.75" customHeight="1" x14ac:dyDescent="0.2">
      <c r="A216" s="16"/>
      <c r="B216" s="43"/>
      <c r="C216" s="43"/>
      <c r="D216" s="16"/>
      <c r="E216" s="16"/>
      <c r="F216" s="16"/>
      <c r="G216" s="12"/>
      <c r="H216" s="12"/>
      <c r="I216" s="12"/>
      <c r="J216" s="12"/>
      <c r="K216" s="12"/>
      <c r="L216" s="12"/>
      <c r="M216" s="12"/>
      <c r="N216" s="16"/>
      <c r="O216" s="41"/>
      <c r="P216" s="41"/>
      <c r="Q216" s="41"/>
      <c r="R216" s="41"/>
      <c r="S216" s="41"/>
      <c r="T216" s="41"/>
      <c r="U216" s="41"/>
      <c r="V216" s="41"/>
      <c r="W216" s="41"/>
      <c r="X216" s="41"/>
      <c r="Y216" s="41"/>
      <c r="Z216" s="41"/>
    </row>
    <row r="217" spans="1:26" ht="15.75" customHeight="1" x14ac:dyDescent="0.2">
      <c r="A217" s="16"/>
      <c r="B217" s="43"/>
      <c r="C217" s="43"/>
      <c r="D217" s="16"/>
      <c r="E217" s="16"/>
      <c r="F217" s="16"/>
      <c r="G217" s="12"/>
      <c r="H217" s="12"/>
      <c r="I217" s="12"/>
      <c r="J217" s="12"/>
      <c r="K217" s="12"/>
      <c r="L217" s="12"/>
      <c r="M217" s="12"/>
      <c r="N217" s="16"/>
      <c r="O217" s="41"/>
      <c r="P217" s="41"/>
      <c r="Q217" s="41"/>
      <c r="R217" s="41"/>
      <c r="S217" s="41"/>
      <c r="T217" s="41"/>
      <c r="U217" s="41"/>
      <c r="V217" s="41"/>
      <c r="W217" s="41"/>
      <c r="X217" s="41"/>
      <c r="Y217" s="41"/>
      <c r="Z217" s="41"/>
    </row>
    <row r="218" spans="1:26" ht="15.75" customHeight="1" x14ac:dyDescent="0.2">
      <c r="A218" s="16"/>
      <c r="B218" s="43"/>
      <c r="C218" s="43"/>
      <c r="D218" s="16"/>
      <c r="E218" s="16"/>
      <c r="F218" s="16"/>
      <c r="G218" s="12"/>
      <c r="H218" s="12"/>
      <c r="I218" s="12"/>
      <c r="J218" s="12"/>
      <c r="K218" s="12"/>
      <c r="L218" s="12"/>
      <c r="M218" s="12"/>
      <c r="N218" s="16"/>
      <c r="O218" s="41"/>
      <c r="P218" s="41"/>
      <c r="Q218" s="41"/>
      <c r="R218" s="41"/>
      <c r="S218" s="41"/>
      <c r="T218" s="41"/>
      <c r="U218" s="41"/>
      <c r="V218" s="41"/>
      <c r="W218" s="41"/>
      <c r="X218" s="41"/>
      <c r="Y218" s="41"/>
      <c r="Z218" s="41"/>
    </row>
    <row r="219" spans="1:26" ht="15.75" customHeight="1" x14ac:dyDescent="0.2">
      <c r="A219" s="16"/>
      <c r="B219" s="43"/>
      <c r="C219" s="43"/>
      <c r="D219" s="16"/>
      <c r="E219" s="16"/>
      <c r="F219" s="16"/>
      <c r="G219" s="12"/>
      <c r="H219" s="12"/>
      <c r="I219" s="12"/>
      <c r="J219" s="12"/>
      <c r="K219" s="12"/>
      <c r="L219" s="12"/>
      <c r="M219" s="12"/>
      <c r="N219" s="16"/>
      <c r="O219" s="41"/>
      <c r="P219" s="41"/>
      <c r="Q219" s="41"/>
      <c r="R219" s="41"/>
      <c r="S219" s="41"/>
      <c r="T219" s="41"/>
      <c r="U219" s="41"/>
      <c r="V219" s="41"/>
      <c r="W219" s="41"/>
      <c r="X219" s="41"/>
      <c r="Y219" s="41"/>
      <c r="Z219" s="41"/>
    </row>
    <row r="220" spans="1:26" ht="15.75" customHeight="1" x14ac:dyDescent="0.2">
      <c r="A220" s="16"/>
      <c r="B220" s="43"/>
      <c r="C220" s="43"/>
      <c r="D220" s="16"/>
      <c r="E220" s="16"/>
      <c r="F220" s="16"/>
      <c r="G220" s="12"/>
      <c r="H220" s="12"/>
      <c r="I220" s="12"/>
      <c r="J220" s="12"/>
      <c r="K220" s="12"/>
      <c r="L220" s="12"/>
      <c r="M220" s="12"/>
      <c r="N220" s="16"/>
      <c r="O220" s="41"/>
      <c r="P220" s="41"/>
      <c r="Q220" s="41"/>
      <c r="R220" s="41"/>
      <c r="S220" s="41"/>
      <c r="T220" s="41"/>
      <c r="U220" s="41"/>
      <c r="V220" s="41"/>
      <c r="W220" s="41"/>
      <c r="X220" s="41"/>
      <c r="Y220" s="41"/>
      <c r="Z220" s="41"/>
    </row>
    <row r="221" spans="1:26" ht="15.75" customHeight="1" x14ac:dyDescent="0.2">
      <c r="A221" s="16"/>
      <c r="B221" s="43"/>
      <c r="C221" s="43"/>
      <c r="D221" s="16"/>
      <c r="E221" s="16"/>
      <c r="F221" s="16"/>
      <c r="G221" s="12"/>
      <c r="H221" s="12"/>
      <c r="I221" s="12"/>
      <c r="J221" s="12"/>
      <c r="K221" s="12"/>
      <c r="L221" s="12"/>
      <c r="M221" s="12"/>
      <c r="N221" s="16"/>
      <c r="O221" s="41"/>
      <c r="P221" s="41"/>
      <c r="Q221" s="41"/>
      <c r="R221" s="41"/>
      <c r="S221" s="41"/>
      <c r="T221" s="41"/>
      <c r="U221" s="41"/>
      <c r="V221" s="41"/>
      <c r="W221" s="41"/>
      <c r="X221" s="41"/>
      <c r="Y221" s="41"/>
      <c r="Z221" s="41"/>
    </row>
    <row r="222" spans="1:26" ht="15.75" customHeight="1" x14ac:dyDescent="0.2">
      <c r="A222" s="16"/>
      <c r="B222" s="43"/>
      <c r="C222" s="43"/>
      <c r="D222" s="16"/>
      <c r="E222" s="16"/>
      <c r="F222" s="16"/>
      <c r="G222" s="12"/>
      <c r="H222" s="12"/>
      <c r="I222" s="12"/>
      <c r="J222" s="12"/>
      <c r="K222" s="12"/>
      <c r="L222" s="12"/>
      <c r="M222" s="12"/>
      <c r="N222" s="16"/>
      <c r="O222" s="41"/>
      <c r="P222" s="41"/>
      <c r="Q222" s="41"/>
      <c r="R222" s="41"/>
      <c r="S222" s="41"/>
      <c r="T222" s="41"/>
      <c r="U222" s="41"/>
      <c r="V222" s="41"/>
      <c r="W222" s="41"/>
      <c r="X222" s="41"/>
      <c r="Y222" s="41"/>
      <c r="Z222" s="41"/>
    </row>
    <row r="223" spans="1:26" ht="15.75" customHeight="1" x14ac:dyDescent="0.2">
      <c r="A223" s="16"/>
      <c r="B223" s="43"/>
      <c r="C223" s="43"/>
      <c r="D223" s="16"/>
      <c r="E223" s="16"/>
      <c r="F223" s="16"/>
      <c r="G223" s="12"/>
      <c r="H223" s="12"/>
      <c r="I223" s="12"/>
      <c r="J223" s="12"/>
      <c r="K223" s="12"/>
      <c r="L223" s="12"/>
      <c r="M223" s="12"/>
      <c r="N223" s="16"/>
      <c r="O223" s="41"/>
      <c r="P223" s="41"/>
      <c r="Q223" s="41"/>
      <c r="R223" s="41"/>
      <c r="S223" s="41"/>
      <c r="T223" s="41"/>
      <c r="U223" s="41"/>
      <c r="V223" s="41"/>
      <c r="W223" s="41"/>
      <c r="X223" s="41"/>
      <c r="Y223" s="41"/>
      <c r="Z223" s="41"/>
    </row>
    <row r="224" spans="1:26" ht="15.75" customHeight="1" x14ac:dyDescent="0.2">
      <c r="A224" s="16"/>
      <c r="B224" s="43"/>
      <c r="C224" s="43"/>
      <c r="D224" s="16"/>
      <c r="E224" s="16"/>
      <c r="F224" s="16"/>
      <c r="G224" s="12"/>
      <c r="H224" s="12"/>
      <c r="I224" s="12"/>
      <c r="J224" s="12"/>
      <c r="K224" s="12"/>
      <c r="L224" s="12"/>
      <c r="M224" s="12"/>
      <c r="N224" s="16"/>
      <c r="O224" s="41"/>
      <c r="P224" s="41"/>
      <c r="Q224" s="41"/>
      <c r="R224" s="41"/>
      <c r="S224" s="41"/>
      <c r="T224" s="41"/>
      <c r="U224" s="41"/>
      <c r="V224" s="41"/>
      <c r="W224" s="41"/>
      <c r="X224" s="41"/>
      <c r="Y224" s="41"/>
      <c r="Z224" s="41"/>
    </row>
    <row r="225" spans="1:26" ht="15.75" customHeight="1" x14ac:dyDescent="0.2">
      <c r="A225" s="16"/>
      <c r="B225" s="43"/>
      <c r="C225" s="43"/>
      <c r="D225" s="16"/>
      <c r="E225" s="16"/>
      <c r="F225" s="16"/>
      <c r="G225" s="12"/>
      <c r="H225" s="12"/>
      <c r="I225" s="12"/>
      <c r="J225" s="12"/>
      <c r="K225" s="12"/>
      <c r="L225" s="12"/>
      <c r="M225" s="12"/>
      <c r="N225" s="16"/>
      <c r="O225" s="41"/>
      <c r="P225" s="41"/>
      <c r="Q225" s="41"/>
      <c r="R225" s="41"/>
      <c r="S225" s="41"/>
      <c r="T225" s="41"/>
      <c r="U225" s="41"/>
      <c r="V225" s="41"/>
      <c r="W225" s="41"/>
      <c r="X225" s="41"/>
      <c r="Y225" s="41"/>
      <c r="Z225" s="41"/>
    </row>
    <row r="226" spans="1:26" ht="15.75" customHeight="1" x14ac:dyDescent="0.2">
      <c r="A226" s="16"/>
      <c r="B226" s="43"/>
      <c r="C226" s="43"/>
      <c r="D226" s="16"/>
      <c r="E226" s="16"/>
      <c r="F226" s="16"/>
      <c r="G226" s="12"/>
      <c r="H226" s="12"/>
      <c r="I226" s="12"/>
      <c r="J226" s="12"/>
      <c r="K226" s="12"/>
      <c r="L226" s="12"/>
      <c r="M226" s="12"/>
      <c r="N226" s="16"/>
      <c r="O226" s="41"/>
      <c r="P226" s="41"/>
      <c r="Q226" s="41"/>
      <c r="R226" s="41"/>
      <c r="S226" s="41"/>
      <c r="T226" s="41"/>
      <c r="U226" s="41"/>
      <c r="V226" s="41"/>
      <c r="W226" s="41"/>
      <c r="X226" s="41"/>
      <c r="Y226" s="41"/>
      <c r="Z226" s="41"/>
    </row>
    <row r="227" spans="1:26" ht="15.75" customHeight="1" x14ac:dyDescent="0.2">
      <c r="A227" s="16"/>
      <c r="B227" s="43"/>
      <c r="C227" s="43"/>
      <c r="D227" s="16"/>
      <c r="E227" s="16"/>
      <c r="F227" s="16"/>
      <c r="G227" s="12"/>
      <c r="H227" s="12"/>
      <c r="I227" s="12"/>
      <c r="J227" s="12"/>
      <c r="K227" s="12"/>
      <c r="L227" s="12"/>
      <c r="M227" s="12"/>
      <c r="N227" s="16"/>
      <c r="O227" s="41"/>
      <c r="P227" s="41"/>
      <c r="Q227" s="41"/>
      <c r="R227" s="41"/>
      <c r="S227" s="41"/>
      <c r="T227" s="41"/>
      <c r="U227" s="41"/>
      <c r="V227" s="41"/>
      <c r="W227" s="41"/>
      <c r="X227" s="41"/>
      <c r="Y227" s="41"/>
      <c r="Z227" s="41"/>
    </row>
    <row r="228" spans="1:26" ht="15.75" customHeight="1" x14ac:dyDescent="0.2">
      <c r="A228" s="16"/>
      <c r="B228" s="43"/>
      <c r="C228" s="43"/>
      <c r="D228" s="16"/>
      <c r="E228" s="16"/>
      <c r="F228" s="16"/>
      <c r="G228" s="12"/>
      <c r="H228" s="12"/>
      <c r="I228" s="12"/>
      <c r="J228" s="12"/>
      <c r="K228" s="12"/>
      <c r="L228" s="12"/>
      <c r="M228" s="12"/>
      <c r="N228" s="16"/>
      <c r="O228" s="41"/>
      <c r="P228" s="41"/>
      <c r="Q228" s="41"/>
      <c r="R228" s="41"/>
      <c r="S228" s="41"/>
      <c r="T228" s="41"/>
      <c r="U228" s="41"/>
      <c r="V228" s="41"/>
      <c r="W228" s="41"/>
      <c r="X228" s="41"/>
      <c r="Y228" s="41"/>
      <c r="Z228" s="41"/>
    </row>
    <row r="229" spans="1:26" ht="15.75" customHeight="1" x14ac:dyDescent="0.2">
      <c r="A229" s="16"/>
      <c r="B229" s="43"/>
      <c r="C229" s="43"/>
      <c r="D229" s="16"/>
      <c r="E229" s="16"/>
      <c r="F229" s="16"/>
      <c r="G229" s="12"/>
      <c r="H229" s="12"/>
      <c r="I229" s="12"/>
      <c r="J229" s="12"/>
      <c r="K229" s="12"/>
      <c r="L229" s="12"/>
      <c r="M229" s="12"/>
      <c r="N229" s="16"/>
      <c r="O229" s="41"/>
      <c r="P229" s="41"/>
      <c r="Q229" s="41"/>
      <c r="R229" s="41"/>
      <c r="S229" s="41"/>
      <c r="T229" s="41"/>
      <c r="U229" s="41"/>
      <c r="V229" s="41"/>
      <c r="W229" s="41"/>
      <c r="X229" s="41"/>
      <c r="Y229" s="41"/>
      <c r="Z229" s="41"/>
    </row>
    <row r="230" spans="1:26" ht="15.75" customHeight="1" x14ac:dyDescent="0.2">
      <c r="A230" s="16"/>
      <c r="B230" s="43"/>
      <c r="C230" s="43"/>
      <c r="D230" s="16"/>
      <c r="E230" s="16"/>
      <c r="F230" s="16"/>
      <c r="G230" s="12"/>
      <c r="H230" s="12"/>
      <c r="I230" s="12"/>
      <c r="J230" s="12"/>
      <c r="K230" s="12"/>
      <c r="L230" s="12"/>
      <c r="M230" s="12"/>
      <c r="N230" s="16"/>
      <c r="O230" s="41"/>
      <c r="P230" s="41"/>
      <c r="Q230" s="41"/>
      <c r="R230" s="41"/>
      <c r="S230" s="41"/>
      <c r="T230" s="41"/>
      <c r="U230" s="41"/>
      <c r="V230" s="41"/>
      <c r="W230" s="41"/>
      <c r="X230" s="41"/>
      <c r="Y230" s="41"/>
      <c r="Z230" s="41"/>
    </row>
    <row r="231" spans="1:26" ht="15.75" customHeight="1" x14ac:dyDescent="0.2">
      <c r="A231" s="16"/>
      <c r="B231" s="43"/>
      <c r="C231" s="43"/>
      <c r="D231" s="16"/>
      <c r="E231" s="16"/>
      <c r="F231" s="16"/>
      <c r="G231" s="12"/>
      <c r="H231" s="12"/>
      <c r="I231" s="12"/>
      <c r="J231" s="12"/>
      <c r="K231" s="12"/>
      <c r="L231" s="12"/>
      <c r="M231" s="12"/>
      <c r="N231" s="16"/>
      <c r="O231" s="41"/>
      <c r="P231" s="41"/>
      <c r="Q231" s="41"/>
      <c r="R231" s="41"/>
      <c r="S231" s="41"/>
      <c r="T231" s="41"/>
      <c r="U231" s="41"/>
      <c r="V231" s="41"/>
      <c r="W231" s="41"/>
      <c r="X231" s="41"/>
      <c r="Y231" s="41"/>
      <c r="Z231" s="41"/>
    </row>
    <row r="232" spans="1:26" ht="15.75" customHeight="1" x14ac:dyDescent="0.2">
      <c r="A232" s="16"/>
      <c r="B232" s="43"/>
      <c r="C232" s="43"/>
      <c r="D232" s="16"/>
      <c r="E232" s="16"/>
      <c r="F232" s="16"/>
      <c r="G232" s="12"/>
      <c r="H232" s="12"/>
      <c r="I232" s="12"/>
      <c r="J232" s="12"/>
      <c r="K232" s="12"/>
      <c r="L232" s="12"/>
      <c r="M232" s="12"/>
      <c r="N232" s="16"/>
      <c r="O232" s="41"/>
      <c r="P232" s="41"/>
      <c r="Q232" s="41"/>
      <c r="R232" s="41"/>
      <c r="S232" s="41"/>
      <c r="T232" s="41"/>
      <c r="U232" s="41"/>
      <c r="V232" s="41"/>
      <c r="W232" s="41"/>
      <c r="X232" s="41"/>
      <c r="Y232" s="41"/>
      <c r="Z232" s="41"/>
    </row>
    <row r="233" spans="1:26" ht="15.75" customHeight="1" x14ac:dyDescent="0.2">
      <c r="A233" s="16"/>
      <c r="B233" s="43"/>
      <c r="C233" s="43"/>
      <c r="D233" s="16"/>
      <c r="E233" s="16"/>
      <c r="F233" s="16"/>
      <c r="G233" s="12"/>
      <c r="H233" s="12"/>
      <c r="I233" s="12"/>
      <c r="J233" s="12"/>
      <c r="K233" s="12"/>
      <c r="L233" s="12"/>
      <c r="M233" s="12"/>
      <c r="N233" s="16"/>
      <c r="O233" s="41"/>
      <c r="P233" s="41"/>
      <c r="Q233" s="41"/>
      <c r="R233" s="41"/>
      <c r="S233" s="41"/>
      <c r="T233" s="41"/>
      <c r="U233" s="41"/>
      <c r="V233" s="41"/>
      <c r="W233" s="41"/>
      <c r="X233" s="41"/>
      <c r="Y233" s="41"/>
      <c r="Z233" s="41"/>
    </row>
    <row r="234" spans="1:26" ht="15.75" customHeight="1" x14ac:dyDescent="0.2">
      <c r="A234" s="16"/>
      <c r="B234" s="43"/>
      <c r="C234" s="43"/>
      <c r="D234" s="16"/>
      <c r="E234" s="16"/>
      <c r="F234" s="16"/>
      <c r="G234" s="12"/>
      <c r="H234" s="12"/>
      <c r="I234" s="12"/>
      <c r="J234" s="12"/>
      <c r="K234" s="12"/>
      <c r="L234" s="12"/>
      <c r="M234" s="12"/>
      <c r="N234" s="16"/>
      <c r="O234" s="41"/>
      <c r="P234" s="41"/>
      <c r="Q234" s="41"/>
      <c r="R234" s="41"/>
      <c r="S234" s="41"/>
      <c r="T234" s="41"/>
      <c r="U234" s="41"/>
      <c r="V234" s="41"/>
      <c r="W234" s="41"/>
      <c r="X234" s="41"/>
      <c r="Y234" s="41"/>
      <c r="Z234" s="41"/>
    </row>
    <row r="235" spans="1:26" ht="15.75" customHeight="1" x14ac:dyDescent="0.2">
      <c r="A235" s="16"/>
      <c r="B235" s="43"/>
      <c r="C235" s="43"/>
      <c r="D235" s="16"/>
      <c r="E235" s="16"/>
      <c r="F235" s="16"/>
      <c r="G235" s="12"/>
      <c r="H235" s="12"/>
      <c r="I235" s="12"/>
      <c r="J235" s="12"/>
      <c r="K235" s="12"/>
      <c r="L235" s="12"/>
      <c r="M235" s="12"/>
      <c r="N235" s="16"/>
      <c r="O235" s="41"/>
      <c r="P235" s="41"/>
      <c r="Q235" s="41"/>
      <c r="R235" s="41"/>
      <c r="S235" s="41"/>
      <c r="T235" s="41"/>
      <c r="U235" s="41"/>
      <c r="V235" s="41"/>
      <c r="W235" s="41"/>
      <c r="X235" s="41"/>
      <c r="Y235" s="41"/>
      <c r="Z235" s="41"/>
    </row>
    <row r="236" spans="1:26" ht="15.75" customHeight="1" x14ac:dyDescent="0.2">
      <c r="A236" s="16"/>
      <c r="B236" s="43"/>
      <c r="C236" s="43"/>
      <c r="D236" s="16"/>
      <c r="E236" s="16"/>
      <c r="F236" s="16"/>
      <c r="G236" s="12"/>
      <c r="H236" s="12"/>
      <c r="I236" s="12"/>
      <c r="J236" s="12"/>
      <c r="K236" s="12"/>
      <c r="L236" s="12"/>
      <c r="M236" s="12"/>
      <c r="N236" s="16"/>
      <c r="O236" s="41"/>
      <c r="P236" s="41"/>
      <c r="Q236" s="41"/>
      <c r="R236" s="41"/>
      <c r="S236" s="41"/>
      <c r="T236" s="41"/>
      <c r="U236" s="41"/>
      <c r="V236" s="41"/>
      <c r="W236" s="41"/>
      <c r="X236" s="41"/>
      <c r="Y236" s="41"/>
      <c r="Z236" s="41"/>
    </row>
    <row r="237" spans="1:26" ht="15.75" customHeight="1" x14ac:dyDescent="0.2">
      <c r="A237" s="16"/>
      <c r="B237" s="43"/>
      <c r="C237" s="43"/>
      <c r="D237" s="16"/>
      <c r="E237" s="16"/>
      <c r="F237" s="16"/>
      <c r="G237" s="12"/>
      <c r="H237" s="12"/>
      <c r="I237" s="12"/>
      <c r="J237" s="12"/>
      <c r="K237" s="12"/>
      <c r="L237" s="12"/>
      <c r="M237" s="12"/>
      <c r="N237" s="16"/>
      <c r="O237" s="41"/>
      <c r="P237" s="41"/>
      <c r="Q237" s="41"/>
      <c r="R237" s="41"/>
      <c r="S237" s="41"/>
      <c r="T237" s="41"/>
      <c r="U237" s="41"/>
      <c r="V237" s="41"/>
      <c r="W237" s="41"/>
      <c r="X237" s="41"/>
      <c r="Y237" s="41"/>
      <c r="Z237" s="41"/>
    </row>
    <row r="238" spans="1:26" ht="15.75" customHeight="1" x14ac:dyDescent="0.2">
      <c r="A238" s="16"/>
      <c r="B238" s="43"/>
      <c r="C238" s="43"/>
      <c r="D238" s="16"/>
      <c r="E238" s="16"/>
      <c r="F238" s="16"/>
      <c r="G238" s="12"/>
      <c r="H238" s="12"/>
      <c r="I238" s="12"/>
      <c r="J238" s="12"/>
      <c r="K238" s="12"/>
      <c r="L238" s="12"/>
      <c r="M238" s="12"/>
      <c r="N238" s="16"/>
      <c r="O238" s="41"/>
      <c r="P238" s="41"/>
      <c r="Q238" s="41"/>
      <c r="R238" s="41"/>
      <c r="S238" s="41"/>
      <c r="T238" s="41"/>
      <c r="U238" s="41"/>
      <c r="V238" s="41"/>
      <c r="W238" s="41"/>
      <c r="X238" s="41"/>
      <c r="Y238" s="41"/>
      <c r="Z238" s="41"/>
    </row>
    <row r="239" spans="1:26" ht="15.75" customHeight="1" x14ac:dyDescent="0.2">
      <c r="A239" s="16"/>
      <c r="B239" s="43"/>
      <c r="C239" s="43"/>
      <c r="D239" s="16"/>
      <c r="E239" s="16"/>
      <c r="F239" s="16"/>
      <c r="G239" s="12"/>
      <c r="H239" s="12"/>
      <c r="I239" s="12"/>
      <c r="J239" s="12"/>
      <c r="K239" s="12"/>
      <c r="L239" s="12"/>
      <c r="M239" s="12"/>
      <c r="N239" s="16"/>
      <c r="O239" s="41"/>
      <c r="P239" s="41"/>
      <c r="Q239" s="41"/>
      <c r="R239" s="41"/>
      <c r="S239" s="41"/>
      <c r="T239" s="41"/>
      <c r="U239" s="41"/>
      <c r="V239" s="41"/>
      <c r="W239" s="41"/>
      <c r="X239" s="41"/>
      <c r="Y239" s="41"/>
      <c r="Z239" s="41"/>
    </row>
    <row r="240" spans="1:26" ht="15.75" customHeight="1" x14ac:dyDescent="0.2">
      <c r="A240" s="16"/>
      <c r="B240" s="43"/>
      <c r="C240" s="43"/>
      <c r="D240" s="16"/>
      <c r="E240" s="16"/>
      <c r="F240" s="16"/>
      <c r="G240" s="12"/>
      <c r="H240" s="12"/>
      <c r="I240" s="12"/>
      <c r="J240" s="12"/>
      <c r="K240" s="12"/>
      <c r="L240" s="12"/>
      <c r="M240" s="12"/>
      <c r="N240" s="16"/>
      <c r="O240" s="41"/>
      <c r="P240" s="41"/>
      <c r="Q240" s="41"/>
      <c r="R240" s="41"/>
      <c r="S240" s="41"/>
      <c r="T240" s="41"/>
      <c r="U240" s="41"/>
      <c r="V240" s="41"/>
      <c r="W240" s="41"/>
      <c r="X240" s="41"/>
      <c r="Y240" s="41"/>
      <c r="Z240" s="41"/>
    </row>
    <row r="241" spans="1:26" ht="15.75" customHeight="1" x14ac:dyDescent="0.2">
      <c r="A241" s="16"/>
      <c r="B241" s="43"/>
      <c r="C241" s="43"/>
      <c r="D241" s="16"/>
      <c r="E241" s="16"/>
      <c r="F241" s="16"/>
      <c r="G241" s="12"/>
      <c r="H241" s="12"/>
      <c r="I241" s="12"/>
      <c r="J241" s="12"/>
      <c r="K241" s="12"/>
      <c r="L241" s="12"/>
      <c r="M241" s="12"/>
      <c r="N241" s="16"/>
      <c r="O241" s="41"/>
      <c r="P241" s="41"/>
      <c r="Q241" s="41"/>
      <c r="R241" s="41"/>
      <c r="S241" s="41"/>
      <c r="T241" s="41"/>
      <c r="U241" s="41"/>
      <c r="V241" s="41"/>
      <c r="W241" s="41"/>
      <c r="X241" s="41"/>
      <c r="Y241" s="41"/>
      <c r="Z241" s="41"/>
    </row>
    <row r="242" spans="1:26" ht="15.75" customHeight="1" x14ac:dyDescent="0.2">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x14ac:dyDescent="0.2">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x14ac:dyDescent="0.2">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x14ac:dyDescent="0.2">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x14ac:dyDescent="0.2">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x14ac:dyDescent="0.2">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x14ac:dyDescent="0.2">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x14ac:dyDescent="0.2">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x14ac:dyDescent="0.2">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x14ac:dyDescent="0.2">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x14ac:dyDescent="0.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x14ac:dyDescent="0.2">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x14ac:dyDescent="0.2">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x14ac:dyDescent="0.2">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x14ac:dyDescent="0.2">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x14ac:dyDescent="0.2">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x14ac:dyDescent="0.2">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x14ac:dyDescent="0.2">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x14ac:dyDescent="0.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2">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2">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2">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2">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2">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2">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2">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2">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2">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2">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2">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2">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2">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2">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2">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2">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2">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2">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2">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2">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2">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2">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2">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2">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2">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2">
    <mergeCell ref="A2:B2"/>
    <mergeCell ref="H25:I25"/>
  </mergeCells>
  <hyperlinks>
    <hyperlink ref="A2" r:id="rId1"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1000"/>
  <sheetViews>
    <sheetView workbookViewId="0"/>
  </sheetViews>
  <sheetFormatPr baseColWidth="10" defaultColWidth="14.5" defaultRowHeight="15" customHeight="1" x14ac:dyDescent="0.15"/>
  <cols>
    <col min="1" max="6" width="14.5" customWidth="1"/>
  </cols>
  <sheetData>
    <row r="1" ht="15.75" customHeight="1" x14ac:dyDescent="0.15"/>
    <row r="2" ht="15.75" customHeight="1" x14ac:dyDescent="0.15"/>
    <row r="3" ht="15.75" customHeight="1" x14ac:dyDescent="0.15"/>
    <row r="4" ht="15.75" customHeight="1" x14ac:dyDescent="0.15"/>
    <row r="5" ht="15.75" customHeight="1" x14ac:dyDescent="0.15"/>
    <row r="6" ht="15.75" customHeight="1" x14ac:dyDescent="0.15"/>
    <row r="7" ht="15.75" customHeight="1" x14ac:dyDescent="0.15"/>
    <row r="8" ht="15.75" customHeight="1" x14ac:dyDescent="0.15"/>
    <row r="9" ht="15.75" customHeight="1" x14ac:dyDescent="0.15"/>
    <row r="10" ht="15.75" customHeight="1" x14ac:dyDescent="0.15"/>
    <row r="11" ht="15.75" customHeight="1" x14ac:dyDescent="0.15"/>
    <row r="12" ht="15.75" customHeight="1" x14ac:dyDescent="0.15"/>
    <row r="13" ht="15.75" customHeight="1" x14ac:dyDescent="0.15"/>
    <row r="14" ht="15.75" customHeight="1" x14ac:dyDescent="0.15"/>
    <row r="15" ht="15.75" customHeight="1" x14ac:dyDescent="0.15"/>
    <row r="16"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0"/>
  <sheetViews>
    <sheetView workbookViewId="0"/>
  </sheetViews>
  <sheetFormatPr baseColWidth="10" defaultColWidth="14.5" defaultRowHeight="15" customHeight="1" x14ac:dyDescent="0.15"/>
  <cols>
    <col min="1" max="1" width="16.6640625" customWidth="1"/>
    <col min="2" max="3" width="16.1640625" customWidth="1"/>
    <col min="4" max="4" width="13.5" customWidth="1"/>
    <col min="5" max="6" width="14.5" customWidth="1"/>
    <col min="7" max="7" width="9.1640625" customWidth="1"/>
    <col min="8" max="8" width="35.5" customWidth="1"/>
    <col min="9" max="9" width="17.1640625" customWidth="1"/>
    <col min="10" max="10" width="4.83203125" customWidth="1"/>
    <col min="11" max="11" width="31.5" customWidth="1"/>
    <col min="12" max="12" width="17.1640625" customWidth="1"/>
    <col min="13" max="13" width="7" customWidth="1"/>
    <col min="14" max="14" width="43.33203125" customWidth="1"/>
  </cols>
  <sheetData>
    <row r="1" spans="1:26" ht="27" customHeight="1" x14ac:dyDescent="0.2">
      <c r="A1" s="38" t="s">
        <v>347</v>
      </c>
      <c r="B1" s="39"/>
      <c r="C1" s="39"/>
      <c r="D1" s="3"/>
      <c r="E1" s="3"/>
      <c r="F1" s="3"/>
      <c r="G1" s="40"/>
      <c r="H1" s="38" t="s">
        <v>348</v>
      </c>
      <c r="I1" s="40"/>
      <c r="J1" s="40"/>
      <c r="K1" s="73"/>
      <c r="L1" s="40"/>
      <c r="M1" s="40"/>
      <c r="N1" s="84"/>
      <c r="O1" s="41"/>
      <c r="P1" s="41"/>
      <c r="Q1" s="41"/>
      <c r="R1" s="41"/>
      <c r="S1" s="41"/>
      <c r="T1" s="41"/>
      <c r="U1" s="41"/>
      <c r="V1" s="41"/>
      <c r="W1" s="41"/>
      <c r="X1" s="41"/>
      <c r="Y1" s="41"/>
      <c r="Z1" s="41"/>
    </row>
    <row r="2" spans="1:26" ht="27" customHeight="1" x14ac:dyDescent="0.2">
      <c r="A2" s="42" t="s">
        <v>349</v>
      </c>
      <c r="B2" s="43"/>
      <c r="C2" s="43"/>
      <c r="D2" s="16"/>
      <c r="E2" s="16"/>
      <c r="F2" s="16"/>
      <c r="G2" s="12"/>
      <c r="H2" s="101" t="s">
        <v>73</v>
      </c>
      <c r="I2" s="102"/>
      <c r="J2" s="12"/>
      <c r="K2" s="101" t="s">
        <v>350</v>
      </c>
      <c r="L2" s="102"/>
      <c r="M2" s="12"/>
      <c r="N2" s="46" t="s">
        <v>76</v>
      </c>
      <c r="O2" s="41"/>
      <c r="P2" s="41"/>
      <c r="Q2" s="41"/>
      <c r="R2" s="41"/>
      <c r="S2" s="41"/>
      <c r="T2" s="41"/>
      <c r="U2" s="41"/>
      <c r="V2" s="41"/>
      <c r="W2" s="41"/>
      <c r="X2" s="41"/>
      <c r="Y2" s="41"/>
      <c r="Z2" s="41"/>
    </row>
    <row r="3" spans="1:26" ht="27" customHeight="1" x14ac:dyDescent="0.2">
      <c r="A3" s="7" t="s">
        <v>18</v>
      </c>
      <c r="B3" s="7" t="s">
        <v>77</v>
      </c>
      <c r="C3" s="7" t="s">
        <v>78</v>
      </c>
      <c r="D3" s="47" t="s">
        <v>79</v>
      </c>
      <c r="E3" s="47" t="s">
        <v>80</v>
      </c>
      <c r="F3" s="48" t="s">
        <v>81</v>
      </c>
      <c r="G3" s="12"/>
      <c r="H3" s="103" t="s">
        <v>82</v>
      </c>
      <c r="I3" s="104" t="s">
        <v>83</v>
      </c>
      <c r="J3" s="36"/>
      <c r="K3" s="103" t="s">
        <v>351</v>
      </c>
      <c r="L3" s="104" t="s">
        <v>352</v>
      </c>
      <c r="M3" s="12"/>
      <c r="N3" s="105" t="s">
        <v>353</v>
      </c>
      <c r="O3" s="41"/>
      <c r="P3" s="41"/>
      <c r="Q3" s="41"/>
      <c r="R3" s="41"/>
      <c r="S3" s="41"/>
      <c r="T3" s="41"/>
      <c r="U3" s="41"/>
      <c r="V3" s="41"/>
      <c r="W3" s="41"/>
      <c r="X3" s="41"/>
      <c r="Y3" s="41"/>
      <c r="Z3" s="41"/>
    </row>
    <row r="4" spans="1:26" ht="27" customHeight="1" x14ac:dyDescent="0.2">
      <c r="A4" s="16">
        <v>1</v>
      </c>
      <c r="B4" s="43" t="s">
        <v>354</v>
      </c>
      <c r="C4" s="43" t="s">
        <v>355</v>
      </c>
      <c r="D4" s="15">
        <v>0</v>
      </c>
      <c r="E4" s="15">
        <f>15*$I$11</f>
        <v>0.59699999999999998</v>
      </c>
      <c r="F4" s="15">
        <f t="shared" ref="F4:F53" si="0">IFERROR(D4+E4,"error")</f>
        <v>0.59699999999999998</v>
      </c>
      <c r="G4" s="12"/>
      <c r="H4" s="106" t="s">
        <v>91</v>
      </c>
      <c r="I4" s="107">
        <v>180</v>
      </c>
      <c r="J4" s="12"/>
      <c r="K4" s="106" t="s">
        <v>92</v>
      </c>
      <c r="L4" s="107">
        <v>1</v>
      </c>
      <c r="M4" s="12"/>
      <c r="N4" s="105" t="s">
        <v>356</v>
      </c>
      <c r="O4" s="41"/>
      <c r="P4" s="41"/>
      <c r="Q4" s="41"/>
      <c r="R4" s="41"/>
      <c r="S4" s="41"/>
      <c r="T4" s="41"/>
      <c r="U4" s="41"/>
      <c r="V4" s="41"/>
      <c r="W4" s="41"/>
      <c r="X4" s="41"/>
      <c r="Y4" s="41"/>
      <c r="Z4" s="41"/>
    </row>
    <row r="5" spans="1:26" ht="27" customHeight="1" x14ac:dyDescent="0.2">
      <c r="A5" s="16">
        <v>2</v>
      </c>
      <c r="B5" s="43"/>
      <c r="C5" s="43" t="s">
        <v>357</v>
      </c>
      <c r="D5" s="15">
        <v>0</v>
      </c>
      <c r="E5" s="15">
        <v>0</v>
      </c>
      <c r="F5" s="15">
        <f t="shared" si="0"/>
        <v>0</v>
      </c>
      <c r="G5" s="12"/>
      <c r="H5" s="106" t="s">
        <v>97</v>
      </c>
      <c r="I5" s="108">
        <v>0.99</v>
      </c>
      <c r="J5" s="12"/>
      <c r="K5" s="109" t="s">
        <v>358</v>
      </c>
      <c r="L5" s="110">
        <v>8</v>
      </c>
      <c r="M5" s="12"/>
      <c r="N5" s="111"/>
      <c r="O5" s="41"/>
      <c r="P5" s="41"/>
      <c r="Q5" s="41"/>
      <c r="R5" s="41"/>
      <c r="S5" s="41"/>
      <c r="T5" s="41"/>
      <c r="U5" s="41"/>
      <c r="V5" s="41"/>
      <c r="W5" s="41"/>
      <c r="X5" s="41"/>
      <c r="Y5" s="41"/>
      <c r="Z5" s="41"/>
    </row>
    <row r="6" spans="1:26" ht="27" customHeight="1" x14ac:dyDescent="0.2">
      <c r="A6" s="16">
        <v>3</v>
      </c>
      <c r="B6" s="43" t="s">
        <v>359</v>
      </c>
      <c r="C6" s="43" t="s">
        <v>360</v>
      </c>
      <c r="D6" s="15">
        <f>1700*$I$6</f>
        <v>9.35</v>
      </c>
      <c r="E6" s="15">
        <f>3400*I6</f>
        <v>18.7</v>
      </c>
      <c r="F6" s="15">
        <f t="shared" si="0"/>
        <v>28.049999999999997</v>
      </c>
      <c r="G6" s="12"/>
      <c r="H6" s="112" t="s">
        <v>104</v>
      </c>
      <c r="I6" s="113">
        <f>IF(I4="N/A","N/A",I5/I4)</f>
        <v>5.4999999999999997E-3</v>
      </c>
      <c r="J6" s="12"/>
      <c r="K6" s="112" t="s">
        <v>104</v>
      </c>
      <c r="L6" s="114">
        <f>L5/L4*$I$11</f>
        <v>0.31840000000000002</v>
      </c>
      <c r="M6" s="12"/>
      <c r="N6" s="115" t="s">
        <v>361</v>
      </c>
      <c r="O6" s="41"/>
      <c r="P6" s="41"/>
      <c r="Q6" s="41"/>
      <c r="R6" s="41"/>
      <c r="S6" s="41"/>
      <c r="T6" s="41"/>
      <c r="U6" s="41"/>
      <c r="V6" s="41"/>
      <c r="W6" s="41"/>
      <c r="X6" s="41"/>
      <c r="Y6" s="41"/>
      <c r="Z6" s="41"/>
    </row>
    <row r="7" spans="1:26" ht="27" customHeight="1" x14ac:dyDescent="0.2">
      <c r="A7" s="16">
        <v>4</v>
      </c>
      <c r="B7" s="43"/>
      <c r="C7" s="43" t="s">
        <v>362</v>
      </c>
      <c r="D7" s="15">
        <v>0</v>
      </c>
      <c r="E7" s="15">
        <v>0</v>
      </c>
      <c r="F7" s="15">
        <f t="shared" si="0"/>
        <v>0</v>
      </c>
      <c r="G7" s="12"/>
      <c r="H7" s="116"/>
      <c r="I7" s="117"/>
      <c r="J7" s="12"/>
      <c r="K7" s="106"/>
      <c r="L7" s="110"/>
      <c r="M7" s="12"/>
      <c r="N7" s="118" t="s">
        <v>363</v>
      </c>
      <c r="O7" s="41"/>
      <c r="P7" s="41"/>
      <c r="Q7" s="41"/>
      <c r="R7" s="41"/>
      <c r="S7" s="41"/>
      <c r="T7" s="41"/>
      <c r="U7" s="41"/>
      <c r="V7" s="41"/>
      <c r="W7" s="41"/>
      <c r="X7" s="41"/>
      <c r="Y7" s="41"/>
      <c r="Z7" s="41"/>
    </row>
    <row r="8" spans="1:26" ht="27" customHeight="1" x14ac:dyDescent="0.2">
      <c r="A8" s="16">
        <v>5</v>
      </c>
      <c r="B8" s="43" t="s">
        <v>364</v>
      </c>
      <c r="C8" s="43" t="s">
        <v>365</v>
      </c>
      <c r="D8" s="15">
        <f>1*I11</f>
        <v>3.9800000000000002E-2</v>
      </c>
      <c r="E8" s="15">
        <f>5*L41</f>
        <v>2.3879999999999999</v>
      </c>
      <c r="F8" s="15">
        <f t="shared" si="0"/>
        <v>2.4278</v>
      </c>
      <c r="G8" s="12"/>
      <c r="H8" s="103" t="s">
        <v>110</v>
      </c>
      <c r="I8" s="104" t="s">
        <v>366</v>
      </c>
      <c r="J8" s="36"/>
      <c r="K8" s="103" t="s">
        <v>367</v>
      </c>
      <c r="L8" s="104" t="s">
        <v>368</v>
      </c>
      <c r="M8" s="12"/>
      <c r="N8" s="118" t="s">
        <v>369</v>
      </c>
      <c r="O8" s="41"/>
      <c r="P8" s="41"/>
      <c r="Q8" s="41"/>
      <c r="R8" s="41"/>
      <c r="S8" s="41"/>
      <c r="T8" s="41"/>
      <c r="U8" s="41"/>
      <c r="V8" s="41"/>
      <c r="W8" s="41"/>
      <c r="X8" s="41"/>
      <c r="Y8" s="41"/>
      <c r="Z8" s="41"/>
    </row>
    <row r="9" spans="1:26" ht="27" customHeight="1" x14ac:dyDescent="0.2">
      <c r="A9" s="16">
        <v>6</v>
      </c>
      <c r="B9" s="43"/>
      <c r="C9" s="43" t="s">
        <v>370</v>
      </c>
      <c r="D9" s="15">
        <v>0</v>
      </c>
      <c r="E9" s="15">
        <f>5*L6</f>
        <v>1.5920000000000001</v>
      </c>
      <c r="F9" s="15">
        <f t="shared" si="0"/>
        <v>1.5920000000000001</v>
      </c>
      <c r="G9" s="12"/>
      <c r="H9" s="106" t="s">
        <v>117</v>
      </c>
      <c r="I9" s="107">
        <v>50</v>
      </c>
      <c r="J9" s="12"/>
      <c r="K9" s="106" t="s">
        <v>92</v>
      </c>
      <c r="L9" s="107">
        <v>1</v>
      </c>
      <c r="M9" s="12"/>
      <c r="N9" s="118" t="s">
        <v>371</v>
      </c>
      <c r="O9" s="41"/>
      <c r="P9" s="41"/>
      <c r="Q9" s="41"/>
      <c r="R9" s="41"/>
      <c r="S9" s="41"/>
      <c r="T9" s="41"/>
      <c r="U9" s="41"/>
      <c r="V9" s="41"/>
      <c r="W9" s="41"/>
      <c r="X9" s="41"/>
      <c r="Y9" s="41"/>
      <c r="Z9" s="41"/>
    </row>
    <row r="10" spans="1:26" ht="27" customHeight="1" x14ac:dyDescent="0.2">
      <c r="A10" s="16">
        <v>7</v>
      </c>
      <c r="B10" s="43" t="s">
        <v>354</v>
      </c>
      <c r="C10" s="43" t="s">
        <v>372</v>
      </c>
      <c r="D10" s="15">
        <v>0</v>
      </c>
      <c r="E10" s="15">
        <f>5*L11</f>
        <v>1.5920000000000001</v>
      </c>
      <c r="F10" s="15">
        <f t="shared" si="0"/>
        <v>1.5920000000000001</v>
      </c>
      <c r="G10" s="12"/>
      <c r="H10" s="106" t="s">
        <v>97</v>
      </c>
      <c r="I10" s="108">
        <v>1.99</v>
      </c>
      <c r="J10" s="12"/>
      <c r="K10" s="109" t="s">
        <v>358</v>
      </c>
      <c r="L10" s="110">
        <v>8</v>
      </c>
      <c r="M10" s="12"/>
      <c r="N10" s="22"/>
      <c r="O10" s="41"/>
      <c r="P10" s="41"/>
      <c r="Q10" s="41"/>
      <c r="R10" s="41"/>
      <c r="S10" s="41"/>
      <c r="T10" s="41"/>
      <c r="U10" s="41"/>
      <c r="V10" s="41"/>
      <c r="W10" s="41"/>
      <c r="X10" s="41"/>
      <c r="Y10" s="41"/>
      <c r="Z10" s="41"/>
    </row>
    <row r="11" spans="1:26" ht="27" customHeight="1" x14ac:dyDescent="0.2">
      <c r="A11" s="16">
        <v>8</v>
      </c>
      <c r="B11" s="43"/>
      <c r="C11" s="43" t="s">
        <v>373</v>
      </c>
      <c r="D11" s="15">
        <v>0</v>
      </c>
      <c r="E11" s="15">
        <v>0</v>
      </c>
      <c r="F11" s="15">
        <f t="shared" si="0"/>
        <v>0</v>
      </c>
      <c r="G11" s="12"/>
      <c r="H11" s="112" t="s">
        <v>104</v>
      </c>
      <c r="I11" s="113">
        <f>IF(I9="N/A","N/A",I10/I9)</f>
        <v>3.9800000000000002E-2</v>
      </c>
      <c r="J11" s="12"/>
      <c r="K11" s="112" t="s">
        <v>104</v>
      </c>
      <c r="L11" s="114">
        <f>L10/L9*$I$11</f>
        <v>0.31840000000000002</v>
      </c>
      <c r="M11" s="12"/>
      <c r="N11" s="22"/>
      <c r="O11" s="41"/>
      <c r="P11" s="41"/>
      <c r="Q11" s="41"/>
      <c r="R11" s="41"/>
      <c r="S11" s="41"/>
      <c r="T11" s="41"/>
      <c r="U11" s="41"/>
      <c r="V11" s="41"/>
      <c r="W11" s="41"/>
      <c r="X11" s="41"/>
      <c r="Y11" s="41"/>
      <c r="Z11" s="41"/>
    </row>
    <row r="12" spans="1:26" ht="27" customHeight="1" x14ac:dyDescent="0.2">
      <c r="A12" s="16">
        <v>9</v>
      </c>
      <c r="B12" s="43" t="s">
        <v>374</v>
      </c>
      <c r="C12" s="43" t="s">
        <v>375</v>
      </c>
      <c r="D12" s="15">
        <f>2*L21</f>
        <v>0.63680000000000003</v>
      </c>
      <c r="E12" s="15">
        <f>5*L16</f>
        <v>1.5920000000000001</v>
      </c>
      <c r="F12" s="15">
        <f t="shared" si="0"/>
        <v>2.2288000000000001</v>
      </c>
      <c r="G12" s="12"/>
      <c r="H12" s="106"/>
      <c r="I12" s="117"/>
      <c r="J12" s="12"/>
      <c r="K12" s="106"/>
      <c r="L12" s="119"/>
      <c r="M12" s="12"/>
      <c r="N12" s="22"/>
      <c r="O12" s="41"/>
      <c r="P12" s="41"/>
      <c r="Q12" s="41"/>
      <c r="R12" s="41"/>
      <c r="S12" s="41"/>
      <c r="T12" s="41"/>
      <c r="U12" s="41"/>
      <c r="V12" s="41"/>
      <c r="W12" s="41"/>
      <c r="X12" s="41"/>
      <c r="Y12" s="41"/>
      <c r="Z12" s="41"/>
    </row>
    <row r="13" spans="1:26" ht="27" customHeight="1" x14ac:dyDescent="0.2">
      <c r="A13" s="16">
        <v>10</v>
      </c>
      <c r="B13" s="43"/>
      <c r="C13" s="43" t="s">
        <v>355</v>
      </c>
      <c r="D13" s="15">
        <v>0</v>
      </c>
      <c r="E13" s="15">
        <f>15*$I$11</f>
        <v>0.59699999999999998</v>
      </c>
      <c r="F13" s="15">
        <f t="shared" si="0"/>
        <v>0.59699999999999998</v>
      </c>
      <c r="G13" s="12"/>
      <c r="H13" s="103" t="s">
        <v>236</v>
      </c>
      <c r="I13" s="104" t="s">
        <v>111</v>
      </c>
      <c r="J13" s="36"/>
      <c r="K13" s="103" t="s">
        <v>376</v>
      </c>
      <c r="L13" s="104" t="s">
        <v>377</v>
      </c>
      <c r="M13" s="12"/>
      <c r="N13" s="22"/>
      <c r="O13" s="41"/>
      <c r="P13" s="41"/>
      <c r="Q13" s="41"/>
      <c r="R13" s="41"/>
      <c r="S13" s="41"/>
      <c r="T13" s="41"/>
      <c r="U13" s="41"/>
      <c r="V13" s="41"/>
      <c r="W13" s="41"/>
      <c r="X13" s="41"/>
      <c r="Y13" s="41"/>
      <c r="Z13" s="41"/>
    </row>
    <row r="14" spans="1:26" ht="27" customHeight="1" x14ac:dyDescent="0.2">
      <c r="A14" s="16">
        <v>11</v>
      </c>
      <c r="B14" s="43" t="s">
        <v>378</v>
      </c>
      <c r="C14" s="43" t="s">
        <v>379</v>
      </c>
      <c r="D14" s="15">
        <v>0</v>
      </c>
      <c r="E14" s="15">
        <v>0</v>
      </c>
      <c r="F14" s="15">
        <f t="shared" si="0"/>
        <v>0</v>
      </c>
      <c r="G14" s="12"/>
      <c r="H14" s="106" t="s">
        <v>117</v>
      </c>
      <c r="I14" s="107" t="s">
        <v>111</v>
      </c>
      <c r="J14" s="12"/>
      <c r="K14" s="106" t="s">
        <v>92</v>
      </c>
      <c r="L14" s="107">
        <v>1</v>
      </c>
      <c r="M14" s="12"/>
      <c r="N14" s="22"/>
      <c r="O14" s="41"/>
      <c r="P14" s="41"/>
      <c r="Q14" s="41"/>
      <c r="R14" s="41"/>
      <c r="S14" s="41"/>
      <c r="T14" s="41"/>
      <c r="U14" s="41"/>
      <c r="V14" s="41"/>
      <c r="W14" s="41"/>
      <c r="X14" s="41"/>
      <c r="Y14" s="41"/>
      <c r="Z14" s="41"/>
    </row>
    <row r="15" spans="1:26" ht="27" customHeight="1" x14ac:dyDescent="0.2">
      <c r="A15" s="16">
        <v>12</v>
      </c>
      <c r="B15" s="43"/>
      <c r="C15" s="43" t="s">
        <v>380</v>
      </c>
      <c r="D15" s="15">
        <v>0</v>
      </c>
      <c r="E15" s="15">
        <v>0</v>
      </c>
      <c r="F15" s="15">
        <f t="shared" si="0"/>
        <v>0</v>
      </c>
      <c r="G15" s="12"/>
      <c r="H15" s="109" t="s">
        <v>139</v>
      </c>
      <c r="I15" s="108" t="s">
        <v>111</v>
      </c>
      <c r="J15" s="12"/>
      <c r="K15" s="109" t="s">
        <v>358</v>
      </c>
      <c r="L15" s="110">
        <v>8</v>
      </c>
      <c r="M15" s="12"/>
      <c r="N15" s="22"/>
      <c r="O15" s="41"/>
      <c r="P15" s="41"/>
      <c r="Q15" s="41"/>
      <c r="R15" s="41"/>
      <c r="S15" s="41"/>
      <c r="T15" s="41"/>
      <c r="U15" s="41"/>
      <c r="V15" s="41"/>
      <c r="W15" s="41"/>
      <c r="X15" s="41"/>
      <c r="Y15" s="41"/>
      <c r="Z15" s="41"/>
    </row>
    <row r="16" spans="1:26" ht="27" customHeight="1" x14ac:dyDescent="0.2">
      <c r="A16" s="16">
        <v>13</v>
      </c>
      <c r="B16" s="43" t="s">
        <v>381</v>
      </c>
      <c r="C16" s="43" t="s">
        <v>382</v>
      </c>
      <c r="D16" s="15">
        <f>2*L26</f>
        <v>0.95520000000000005</v>
      </c>
      <c r="E16" s="15">
        <f>5*L21</f>
        <v>1.5920000000000001</v>
      </c>
      <c r="F16" s="15">
        <f t="shared" si="0"/>
        <v>2.5472000000000001</v>
      </c>
      <c r="G16" s="12"/>
      <c r="H16" s="112" t="s">
        <v>104</v>
      </c>
      <c r="I16" s="113" t="str">
        <f>IF(I14="N/A","N/A",I15/I14)</f>
        <v>N/A</v>
      </c>
      <c r="J16" s="12"/>
      <c r="K16" s="112" t="s">
        <v>104</v>
      </c>
      <c r="L16" s="114">
        <f>L15/L14*$I$11</f>
        <v>0.31840000000000002</v>
      </c>
      <c r="M16" s="12"/>
      <c r="N16" s="22"/>
      <c r="O16" s="41"/>
      <c r="P16" s="41"/>
      <c r="Q16" s="41"/>
      <c r="R16" s="41"/>
      <c r="S16" s="41"/>
      <c r="T16" s="41"/>
      <c r="U16" s="41"/>
      <c r="V16" s="41"/>
      <c r="W16" s="41"/>
      <c r="X16" s="41"/>
      <c r="Y16" s="41"/>
      <c r="Z16" s="41"/>
    </row>
    <row r="17" spans="1:26" ht="27" customHeight="1" x14ac:dyDescent="0.2">
      <c r="A17" s="16">
        <v>14</v>
      </c>
      <c r="B17" s="43"/>
      <c r="C17" s="43" t="s">
        <v>383</v>
      </c>
      <c r="D17" s="15">
        <v>0</v>
      </c>
      <c r="E17" s="15">
        <v>0</v>
      </c>
      <c r="F17" s="15">
        <f t="shared" si="0"/>
        <v>0</v>
      </c>
      <c r="G17" s="12"/>
      <c r="H17" s="106"/>
      <c r="I17" s="117"/>
      <c r="J17" s="12"/>
      <c r="K17" s="120"/>
      <c r="L17" s="108"/>
      <c r="M17" s="12"/>
      <c r="N17" s="22"/>
      <c r="O17" s="41"/>
      <c r="P17" s="41"/>
      <c r="Q17" s="41"/>
      <c r="R17" s="41"/>
      <c r="S17" s="41"/>
      <c r="T17" s="41"/>
      <c r="U17" s="41"/>
      <c r="V17" s="41"/>
      <c r="W17" s="41"/>
      <c r="X17" s="41"/>
      <c r="Y17" s="41"/>
      <c r="Z17" s="41"/>
    </row>
    <row r="18" spans="1:26" ht="27" customHeight="1" x14ac:dyDescent="0.2">
      <c r="A18" s="16">
        <v>15</v>
      </c>
      <c r="B18" s="43" t="s">
        <v>384</v>
      </c>
      <c r="C18" s="43" t="s">
        <v>385</v>
      </c>
      <c r="D18" s="15">
        <f>2*L36</f>
        <v>0.63680000000000003</v>
      </c>
      <c r="E18" s="15">
        <v>0</v>
      </c>
      <c r="F18" s="15">
        <f t="shared" si="0"/>
        <v>0.63680000000000003</v>
      </c>
      <c r="G18" s="12"/>
      <c r="H18" s="103"/>
      <c r="I18" s="104"/>
      <c r="J18" s="36"/>
      <c r="K18" s="103" t="s">
        <v>386</v>
      </c>
      <c r="L18" s="121" t="s">
        <v>387</v>
      </c>
      <c r="M18" s="12"/>
      <c r="N18" s="22"/>
      <c r="O18" s="41"/>
      <c r="P18" s="41"/>
      <c r="Q18" s="41"/>
      <c r="R18" s="41"/>
      <c r="S18" s="41"/>
      <c r="T18" s="41"/>
      <c r="U18" s="41"/>
      <c r="V18" s="41"/>
      <c r="W18" s="41"/>
      <c r="X18" s="41"/>
      <c r="Y18" s="41"/>
      <c r="Z18" s="41"/>
    </row>
    <row r="19" spans="1:26" ht="27" customHeight="1" x14ac:dyDescent="0.2">
      <c r="A19" s="16">
        <v>16</v>
      </c>
      <c r="B19" s="43"/>
      <c r="C19" s="43" t="s">
        <v>355</v>
      </c>
      <c r="D19" s="15">
        <v>0</v>
      </c>
      <c r="E19" s="15">
        <f>15*$I$11</f>
        <v>0.59699999999999998</v>
      </c>
      <c r="F19" s="15">
        <f t="shared" si="0"/>
        <v>0.59699999999999998</v>
      </c>
      <c r="G19" s="12"/>
      <c r="H19" s="106"/>
      <c r="I19" s="107"/>
      <c r="J19" s="12"/>
      <c r="K19" s="106" t="s">
        <v>92</v>
      </c>
      <c r="L19" s="107">
        <v>1</v>
      </c>
      <c r="M19" s="12"/>
      <c r="N19" s="22"/>
      <c r="O19" s="41"/>
      <c r="P19" s="41"/>
      <c r="Q19" s="41"/>
      <c r="R19" s="41"/>
      <c r="S19" s="41"/>
      <c r="T19" s="41"/>
      <c r="U19" s="41"/>
      <c r="V19" s="41"/>
      <c r="W19" s="41"/>
      <c r="X19" s="41"/>
      <c r="Y19" s="41"/>
      <c r="Z19" s="41"/>
    </row>
    <row r="20" spans="1:26" ht="27" customHeight="1" x14ac:dyDescent="0.2">
      <c r="A20" s="16">
        <v>17</v>
      </c>
      <c r="B20" s="43" t="s">
        <v>354</v>
      </c>
      <c r="C20" s="43" t="s">
        <v>388</v>
      </c>
      <c r="D20" s="15">
        <v>0</v>
      </c>
      <c r="E20" s="15">
        <v>0</v>
      </c>
      <c r="F20" s="15">
        <f t="shared" si="0"/>
        <v>0</v>
      </c>
      <c r="G20" s="12"/>
      <c r="H20" s="109"/>
      <c r="I20" s="108"/>
      <c r="J20" s="12"/>
      <c r="K20" s="109" t="s">
        <v>358</v>
      </c>
      <c r="L20" s="110">
        <v>8</v>
      </c>
      <c r="M20" s="12"/>
      <c r="N20" s="22"/>
      <c r="O20" s="41"/>
      <c r="P20" s="41"/>
      <c r="Q20" s="41"/>
      <c r="R20" s="41"/>
      <c r="S20" s="41"/>
      <c r="T20" s="41"/>
      <c r="U20" s="41"/>
      <c r="V20" s="41"/>
      <c r="W20" s="41"/>
      <c r="X20" s="41"/>
      <c r="Y20" s="41"/>
      <c r="Z20" s="41"/>
    </row>
    <row r="21" spans="1:26" ht="27" customHeight="1" x14ac:dyDescent="0.2">
      <c r="A21" s="16">
        <v>18</v>
      </c>
      <c r="B21" s="43"/>
      <c r="C21" s="43" t="s">
        <v>389</v>
      </c>
      <c r="D21" s="15">
        <v>0</v>
      </c>
      <c r="E21" s="15">
        <v>0</v>
      </c>
      <c r="F21" s="15">
        <f t="shared" si="0"/>
        <v>0</v>
      </c>
      <c r="G21" s="12"/>
      <c r="H21" s="103"/>
      <c r="I21" s="122"/>
      <c r="J21" s="12"/>
      <c r="K21" s="112" t="s">
        <v>104</v>
      </c>
      <c r="L21" s="114">
        <f>L20/L19*$I$11</f>
        <v>0.31840000000000002</v>
      </c>
      <c r="M21" s="68"/>
      <c r="N21" s="22"/>
      <c r="O21" s="41"/>
      <c r="P21" s="41"/>
      <c r="Q21" s="41"/>
      <c r="R21" s="41"/>
      <c r="S21" s="41"/>
      <c r="T21" s="41"/>
      <c r="U21" s="41"/>
      <c r="V21" s="41"/>
      <c r="W21" s="41"/>
      <c r="X21" s="41"/>
      <c r="Y21" s="41"/>
      <c r="Z21" s="41"/>
    </row>
    <row r="22" spans="1:26" ht="27" customHeight="1" x14ac:dyDescent="0.2">
      <c r="A22" s="16">
        <v>19</v>
      </c>
      <c r="B22" s="43" t="s">
        <v>390</v>
      </c>
      <c r="C22" s="43" t="s">
        <v>391</v>
      </c>
      <c r="D22" s="15">
        <f>2*L31</f>
        <v>0.95520000000000005</v>
      </c>
      <c r="E22" s="15">
        <v>0</v>
      </c>
      <c r="F22" s="15">
        <f t="shared" si="0"/>
        <v>0.95520000000000005</v>
      </c>
      <c r="G22" s="12"/>
      <c r="H22" s="120"/>
      <c r="I22" s="117"/>
      <c r="J22" s="12"/>
      <c r="K22" s="119"/>
      <c r="L22" s="123"/>
      <c r="M22" s="68"/>
      <c r="N22" s="22"/>
      <c r="O22" s="41"/>
      <c r="P22" s="41"/>
      <c r="Q22" s="41"/>
      <c r="R22" s="41"/>
      <c r="S22" s="41"/>
      <c r="T22" s="41"/>
      <c r="U22" s="41"/>
      <c r="V22" s="41"/>
      <c r="W22" s="41"/>
      <c r="X22" s="41"/>
      <c r="Y22" s="41"/>
      <c r="Z22" s="41"/>
    </row>
    <row r="23" spans="1:26" ht="27" customHeight="1" x14ac:dyDescent="0.2">
      <c r="A23" s="16">
        <v>20</v>
      </c>
      <c r="B23" s="43"/>
      <c r="C23" s="43" t="s">
        <v>392</v>
      </c>
      <c r="D23" s="15">
        <v>0</v>
      </c>
      <c r="E23" s="15">
        <f>5*L6</f>
        <v>1.5920000000000001</v>
      </c>
      <c r="F23" s="15">
        <f t="shared" si="0"/>
        <v>1.5920000000000001</v>
      </c>
      <c r="G23" s="12"/>
      <c r="H23" s="103"/>
      <c r="I23" s="104"/>
      <c r="J23" s="36"/>
      <c r="K23" s="103" t="s">
        <v>393</v>
      </c>
      <c r="L23" s="104" t="s">
        <v>394</v>
      </c>
      <c r="M23" s="68"/>
      <c r="N23" s="22"/>
      <c r="O23" s="41"/>
      <c r="P23" s="41"/>
      <c r="Q23" s="41"/>
      <c r="R23" s="41"/>
      <c r="S23" s="41"/>
      <c r="T23" s="41"/>
      <c r="U23" s="41"/>
      <c r="V23" s="41"/>
      <c r="W23" s="41"/>
      <c r="X23" s="41"/>
      <c r="Y23" s="41"/>
      <c r="Z23" s="41"/>
    </row>
    <row r="24" spans="1:26" ht="27" customHeight="1" x14ac:dyDescent="0.2">
      <c r="A24" s="16">
        <v>21</v>
      </c>
      <c r="B24" s="43" t="s">
        <v>395</v>
      </c>
      <c r="C24" s="43" t="s">
        <v>396</v>
      </c>
      <c r="D24" s="15">
        <f>5*L36</f>
        <v>1.5920000000000001</v>
      </c>
      <c r="E24" s="15">
        <v>0</v>
      </c>
      <c r="F24" s="15">
        <f t="shared" si="0"/>
        <v>1.5920000000000001</v>
      </c>
      <c r="G24" s="12"/>
      <c r="H24" s="106"/>
      <c r="I24" s="107"/>
      <c r="J24" s="12"/>
      <c r="K24" s="106" t="s">
        <v>92</v>
      </c>
      <c r="L24" s="107">
        <v>16</v>
      </c>
      <c r="M24" s="68"/>
      <c r="N24" s="22"/>
      <c r="O24" s="41"/>
      <c r="P24" s="41"/>
      <c r="Q24" s="41"/>
      <c r="R24" s="41"/>
      <c r="S24" s="41"/>
      <c r="T24" s="41"/>
      <c r="U24" s="41"/>
      <c r="V24" s="41"/>
      <c r="W24" s="41"/>
      <c r="X24" s="41"/>
      <c r="Y24" s="41"/>
      <c r="Z24" s="41"/>
    </row>
    <row r="25" spans="1:26" ht="27" customHeight="1" x14ac:dyDescent="0.2">
      <c r="A25" s="16">
        <v>22</v>
      </c>
      <c r="B25" s="43"/>
      <c r="C25" s="43" t="s">
        <v>383</v>
      </c>
      <c r="D25" s="15">
        <v>0</v>
      </c>
      <c r="E25" s="15">
        <v>0</v>
      </c>
      <c r="F25" s="15">
        <f t="shared" si="0"/>
        <v>0</v>
      </c>
      <c r="G25" s="12"/>
      <c r="H25" s="109"/>
      <c r="I25" s="110"/>
      <c r="J25" s="12"/>
      <c r="K25" s="109" t="s">
        <v>358</v>
      </c>
      <c r="L25" s="110">
        <v>192</v>
      </c>
      <c r="M25" s="68"/>
      <c r="N25" s="22"/>
      <c r="O25" s="41"/>
      <c r="P25" s="41"/>
      <c r="Q25" s="41"/>
      <c r="R25" s="41"/>
      <c r="S25" s="41"/>
      <c r="T25" s="41"/>
      <c r="U25" s="41"/>
      <c r="V25" s="41"/>
      <c r="W25" s="41"/>
      <c r="X25" s="41"/>
      <c r="Y25" s="41"/>
      <c r="Z25" s="41"/>
    </row>
    <row r="26" spans="1:26" ht="27" customHeight="1" x14ac:dyDescent="0.2">
      <c r="A26" s="16">
        <v>23</v>
      </c>
      <c r="B26" s="43" t="s">
        <v>397</v>
      </c>
      <c r="C26" s="43" t="s">
        <v>379</v>
      </c>
      <c r="D26" s="15">
        <f>2*L6</f>
        <v>0.63680000000000003</v>
      </c>
      <c r="E26" s="15">
        <v>0</v>
      </c>
      <c r="F26" s="15">
        <f t="shared" si="0"/>
        <v>0.63680000000000003</v>
      </c>
      <c r="G26" s="12"/>
      <c r="H26" s="103"/>
      <c r="I26" s="122"/>
      <c r="J26" s="12"/>
      <c r="K26" s="112" t="s">
        <v>104</v>
      </c>
      <c r="L26" s="114">
        <f>L25/L24*$I$11</f>
        <v>0.47760000000000002</v>
      </c>
      <c r="M26" s="12"/>
      <c r="N26" s="22"/>
      <c r="O26" s="41"/>
      <c r="P26" s="41"/>
      <c r="Q26" s="41"/>
      <c r="R26" s="41"/>
      <c r="S26" s="41"/>
      <c r="T26" s="41"/>
      <c r="U26" s="41"/>
      <c r="V26" s="41"/>
      <c r="W26" s="41"/>
      <c r="X26" s="41"/>
      <c r="Y26" s="41"/>
      <c r="Z26" s="41"/>
    </row>
    <row r="27" spans="1:26" ht="27" customHeight="1" x14ac:dyDescent="0.2">
      <c r="A27" s="16">
        <v>24</v>
      </c>
      <c r="B27" s="43"/>
      <c r="C27" s="43" t="s">
        <v>398</v>
      </c>
      <c r="D27" s="15">
        <v>0</v>
      </c>
      <c r="E27" s="15">
        <f>5*L46</f>
        <v>1.5920000000000001</v>
      </c>
      <c r="F27" s="15">
        <f t="shared" si="0"/>
        <v>1.5920000000000001</v>
      </c>
      <c r="G27" s="12"/>
      <c r="H27" s="120"/>
      <c r="I27" s="120"/>
      <c r="J27" s="12"/>
      <c r="K27" s="120"/>
      <c r="L27" s="120"/>
      <c r="M27" s="12"/>
      <c r="N27" s="22"/>
      <c r="O27" s="41"/>
      <c r="P27" s="41"/>
      <c r="Q27" s="41"/>
      <c r="R27" s="41"/>
      <c r="S27" s="41"/>
      <c r="T27" s="41"/>
      <c r="U27" s="41"/>
      <c r="V27" s="41"/>
      <c r="W27" s="41"/>
      <c r="X27" s="41"/>
      <c r="Y27" s="41"/>
      <c r="Z27" s="41"/>
    </row>
    <row r="28" spans="1:26" ht="27" customHeight="1" x14ac:dyDescent="0.2">
      <c r="A28" s="16">
        <v>25</v>
      </c>
      <c r="B28" s="43" t="s">
        <v>390</v>
      </c>
      <c r="C28" s="43" t="s">
        <v>355</v>
      </c>
      <c r="D28" s="15">
        <f>2*L31</f>
        <v>0.95520000000000005</v>
      </c>
      <c r="E28" s="15">
        <f>15*$I$11</f>
        <v>0.59699999999999998</v>
      </c>
      <c r="F28" s="15">
        <f t="shared" si="0"/>
        <v>1.5522</v>
      </c>
      <c r="G28" s="12"/>
      <c r="H28" s="120"/>
      <c r="I28" s="120"/>
      <c r="J28" s="12"/>
      <c r="K28" s="103" t="s">
        <v>399</v>
      </c>
      <c r="L28" s="104" t="s">
        <v>400</v>
      </c>
      <c r="M28" s="12"/>
      <c r="N28" s="22"/>
      <c r="O28" s="41"/>
      <c r="P28" s="41"/>
      <c r="Q28" s="41"/>
      <c r="R28" s="41"/>
      <c r="S28" s="41"/>
      <c r="T28" s="41"/>
      <c r="U28" s="41"/>
      <c r="V28" s="41"/>
      <c r="W28" s="41"/>
      <c r="X28" s="41"/>
      <c r="Y28" s="41"/>
      <c r="Z28" s="41"/>
    </row>
    <row r="29" spans="1:26" ht="27" customHeight="1" x14ac:dyDescent="0.2">
      <c r="A29" s="16">
        <v>26</v>
      </c>
      <c r="B29" s="43"/>
      <c r="C29" s="43" t="s">
        <v>360</v>
      </c>
      <c r="D29" s="15">
        <v>0</v>
      </c>
      <c r="E29" s="15">
        <f>3400*I6</f>
        <v>18.7</v>
      </c>
      <c r="F29" s="15">
        <f t="shared" si="0"/>
        <v>18.7</v>
      </c>
      <c r="G29" s="12"/>
      <c r="H29" s="120"/>
      <c r="I29" s="120"/>
      <c r="J29" s="12"/>
      <c r="K29" s="106" t="s">
        <v>92</v>
      </c>
      <c r="L29" s="107">
        <v>1</v>
      </c>
      <c r="M29" s="12"/>
      <c r="N29" s="22"/>
      <c r="O29" s="41"/>
      <c r="P29" s="41"/>
      <c r="Q29" s="41"/>
      <c r="R29" s="41"/>
      <c r="S29" s="41"/>
      <c r="T29" s="41"/>
      <c r="U29" s="41"/>
      <c r="V29" s="41"/>
      <c r="W29" s="41"/>
      <c r="X29" s="41"/>
      <c r="Y29" s="41"/>
      <c r="Z29" s="41"/>
    </row>
    <row r="30" spans="1:26" ht="27" customHeight="1" x14ac:dyDescent="0.2">
      <c r="A30" s="16">
        <v>27</v>
      </c>
      <c r="B30" s="43" t="s">
        <v>378</v>
      </c>
      <c r="C30" s="43" t="s">
        <v>383</v>
      </c>
      <c r="D30" s="15">
        <f>2600*I6</f>
        <v>14.299999999999999</v>
      </c>
      <c r="E30" s="15">
        <v>0</v>
      </c>
      <c r="F30" s="15">
        <f t="shared" si="0"/>
        <v>14.299999999999999</v>
      </c>
      <c r="G30" s="12"/>
      <c r="H30" s="120"/>
      <c r="I30" s="120"/>
      <c r="J30" s="12"/>
      <c r="K30" s="109" t="s">
        <v>358</v>
      </c>
      <c r="L30" s="110">
        <v>12</v>
      </c>
      <c r="M30" s="12"/>
      <c r="N30" s="22"/>
      <c r="O30" s="41"/>
      <c r="P30" s="41"/>
      <c r="Q30" s="41"/>
      <c r="R30" s="41"/>
      <c r="S30" s="41"/>
      <c r="T30" s="41"/>
      <c r="U30" s="41"/>
      <c r="V30" s="41"/>
      <c r="W30" s="41"/>
      <c r="X30" s="41"/>
      <c r="Y30" s="41"/>
      <c r="Z30" s="41"/>
    </row>
    <row r="31" spans="1:26" ht="27" customHeight="1" x14ac:dyDescent="0.2">
      <c r="A31" s="16">
        <v>28</v>
      </c>
      <c r="B31" s="43"/>
      <c r="C31" s="43" t="s">
        <v>382</v>
      </c>
      <c r="D31" s="15">
        <v>0</v>
      </c>
      <c r="E31" s="15">
        <f>5*L21</f>
        <v>1.5920000000000001</v>
      </c>
      <c r="F31" s="15">
        <f t="shared" si="0"/>
        <v>1.5920000000000001</v>
      </c>
      <c r="G31" s="12"/>
      <c r="H31" s="120"/>
      <c r="I31" s="120"/>
      <c r="J31" s="12"/>
      <c r="K31" s="112" t="s">
        <v>104</v>
      </c>
      <c r="L31" s="114">
        <f>IFERROR(L30/L29*$I$11,"")</f>
        <v>0.47760000000000002</v>
      </c>
      <c r="M31" s="12"/>
      <c r="N31" s="22"/>
      <c r="O31" s="41"/>
      <c r="P31" s="41"/>
      <c r="Q31" s="41"/>
      <c r="R31" s="41"/>
      <c r="S31" s="41"/>
      <c r="T31" s="41"/>
      <c r="U31" s="41"/>
      <c r="V31" s="41"/>
      <c r="W31" s="41"/>
      <c r="X31" s="41"/>
      <c r="Y31" s="41"/>
      <c r="Z31" s="41"/>
    </row>
    <row r="32" spans="1:26" ht="27" customHeight="1" x14ac:dyDescent="0.2">
      <c r="A32" s="16">
        <v>29</v>
      </c>
      <c r="B32" s="43" t="s">
        <v>388</v>
      </c>
      <c r="C32" s="43" t="s">
        <v>373</v>
      </c>
      <c r="D32" s="15">
        <v>0</v>
      </c>
      <c r="E32" s="15">
        <v>0</v>
      </c>
      <c r="F32" s="15">
        <f t="shared" si="0"/>
        <v>0</v>
      </c>
      <c r="G32" s="12"/>
      <c r="H32" s="120"/>
      <c r="I32" s="120"/>
      <c r="J32" s="12"/>
      <c r="K32" s="120"/>
      <c r="L32" s="120"/>
      <c r="M32" s="12"/>
      <c r="N32" s="22"/>
      <c r="O32" s="41"/>
      <c r="P32" s="41"/>
      <c r="Q32" s="41"/>
      <c r="R32" s="41"/>
      <c r="S32" s="41"/>
      <c r="T32" s="41"/>
      <c r="U32" s="41"/>
      <c r="V32" s="41"/>
      <c r="W32" s="41"/>
      <c r="X32" s="41"/>
      <c r="Y32" s="41"/>
      <c r="Z32" s="41"/>
    </row>
    <row r="33" spans="1:26" ht="27" customHeight="1" x14ac:dyDescent="0.2">
      <c r="A33" s="16">
        <v>30</v>
      </c>
      <c r="B33" s="43" t="s">
        <v>401</v>
      </c>
      <c r="C33" s="43" t="s">
        <v>402</v>
      </c>
      <c r="D33" s="15">
        <f>3400*I6</f>
        <v>18.7</v>
      </c>
      <c r="E33" s="15">
        <f>6900*I6</f>
        <v>37.949999999999996</v>
      </c>
      <c r="F33" s="15">
        <f t="shared" si="0"/>
        <v>56.649999999999991</v>
      </c>
      <c r="G33" s="12"/>
      <c r="H33" s="120"/>
      <c r="I33" s="120"/>
      <c r="J33" s="12"/>
      <c r="K33" s="103" t="s">
        <v>403</v>
      </c>
      <c r="L33" s="121" t="s">
        <v>404</v>
      </c>
      <c r="M33" s="12"/>
      <c r="N33" s="22"/>
      <c r="O33" s="41"/>
      <c r="P33" s="41"/>
      <c r="Q33" s="41"/>
      <c r="R33" s="41"/>
      <c r="S33" s="41"/>
      <c r="T33" s="41"/>
      <c r="U33" s="41"/>
      <c r="V33" s="41"/>
      <c r="W33" s="41"/>
      <c r="X33" s="41"/>
      <c r="Y33" s="41"/>
      <c r="Z33" s="41"/>
    </row>
    <row r="34" spans="1:26" ht="27" customHeight="1" x14ac:dyDescent="0.2">
      <c r="A34" s="16">
        <v>31</v>
      </c>
      <c r="B34" s="43"/>
      <c r="C34" s="43"/>
      <c r="D34" s="15"/>
      <c r="E34" s="15"/>
      <c r="F34" s="15">
        <f t="shared" si="0"/>
        <v>0</v>
      </c>
      <c r="G34" s="12"/>
      <c r="H34" s="120"/>
      <c r="I34" s="120"/>
      <c r="J34" s="12"/>
      <c r="K34" s="106" t="s">
        <v>92</v>
      </c>
      <c r="L34" s="107">
        <v>1</v>
      </c>
      <c r="M34" s="12"/>
      <c r="N34" s="22"/>
      <c r="O34" s="41"/>
      <c r="P34" s="41"/>
      <c r="Q34" s="41"/>
      <c r="R34" s="41"/>
      <c r="S34" s="41"/>
      <c r="T34" s="41"/>
      <c r="U34" s="41"/>
      <c r="V34" s="41"/>
      <c r="W34" s="41"/>
      <c r="X34" s="41"/>
      <c r="Y34" s="41"/>
      <c r="Z34" s="41"/>
    </row>
    <row r="35" spans="1:26" ht="27" customHeight="1" x14ac:dyDescent="0.2">
      <c r="A35" s="16">
        <v>32</v>
      </c>
      <c r="B35" s="43"/>
      <c r="C35" s="43"/>
      <c r="D35" s="15"/>
      <c r="E35" s="15"/>
      <c r="F35" s="15">
        <f t="shared" si="0"/>
        <v>0</v>
      </c>
      <c r="G35" s="12"/>
      <c r="H35" s="120"/>
      <c r="I35" s="120"/>
      <c r="J35" s="12"/>
      <c r="K35" s="109" t="s">
        <v>358</v>
      </c>
      <c r="L35" s="110">
        <v>8</v>
      </c>
      <c r="M35" s="12"/>
      <c r="N35" s="22"/>
      <c r="O35" s="41"/>
      <c r="P35" s="41"/>
      <c r="Q35" s="41"/>
      <c r="R35" s="41"/>
      <c r="S35" s="41"/>
      <c r="T35" s="41"/>
      <c r="U35" s="41"/>
      <c r="V35" s="41"/>
      <c r="W35" s="41"/>
      <c r="X35" s="41"/>
      <c r="Y35" s="41"/>
      <c r="Z35" s="41"/>
    </row>
    <row r="36" spans="1:26" ht="27" customHeight="1" x14ac:dyDescent="0.2">
      <c r="A36" s="16">
        <v>33</v>
      </c>
      <c r="B36" s="43"/>
      <c r="C36" s="43"/>
      <c r="D36" s="15"/>
      <c r="E36" s="15"/>
      <c r="F36" s="15">
        <f t="shared" si="0"/>
        <v>0</v>
      </c>
      <c r="G36" s="12"/>
      <c r="H36" s="120"/>
      <c r="I36" s="120"/>
      <c r="J36" s="12"/>
      <c r="K36" s="112" t="s">
        <v>104</v>
      </c>
      <c r="L36" s="114">
        <f>L35/L34*$I$11</f>
        <v>0.31840000000000002</v>
      </c>
      <c r="M36" s="12"/>
      <c r="N36" s="22"/>
      <c r="O36" s="41"/>
      <c r="P36" s="41"/>
      <c r="Q36" s="41"/>
      <c r="R36" s="41"/>
      <c r="S36" s="41"/>
      <c r="T36" s="41"/>
      <c r="U36" s="41"/>
      <c r="V36" s="41"/>
      <c r="W36" s="41"/>
      <c r="X36" s="41"/>
      <c r="Y36" s="41"/>
      <c r="Z36" s="41"/>
    </row>
    <row r="37" spans="1:26" ht="27" customHeight="1" x14ac:dyDescent="0.2">
      <c r="A37" s="16">
        <v>34</v>
      </c>
      <c r="B37" s="43"/>
      <c r="C37" s="43"/>
      <c r="D37" s="15"/>
      <c r="E37" s="15"/>
      <c r="F37" s="15">
        <f t="shared" si="0"/>
        <v>0</v>
      </c>
      <c r="G37" s="12"/>
      <c r="H37" s="120"/>
      <c r="I37" s="120"/>
      <c r="J37" s="12"/>
      <c r="K37" s="119"/>
      <c r="L37" s="123"/>
      <c r="M37" s="12"/>
      <c r="N37" s="22"/>
      <c r="O37" s="41"/>
      <c r="P37" s="41"/>
      <c r="Q37" s="41"/>
      <c r="R37" s="41"/>
      <c r="S37" s="41"/>
      <c r="T37" s="41"/>
      <c r="U37" s="41"/>
      <c r="V37" s="41"/>
      <c r="W37" s="41"/>
      <c r="X37" s="41"/>
      <c r="Y37" s="41"/>
      <c r="Z37" s="41"/>
    </row>
    <row r="38" spans="1:26" ht="27" customHeight="1" x14ac:dyDescent="0.2">
      <c r="A38" s="16">
        <v>35</v>
      </c>
      <c r="B38" s="43"/>
      <c r="C38" s="43"/>
      <c r="D38" s="15"/>
      <c r="E38" s="15"/>
      <c r="F38" s="15">
        <f t="shared" si="0"/>
        <v>0</v>
      </c>
      <c r="G38" s="12"/>
      <c r="H38" s="120"/>
      <c r="I38" s="120"/>
      <c r="J38" s="12"/>
      <c r="K38" s="103" t="s">
        <v>405</v>
      </c>
      <c r="L38" s="104" t="s">
        <v>406</v>
      </c>
      <c r="M38" s="12"/>
      <c r="N38" s="22"/>
      <c r="O38" s="41"/>
      <c r="P38" s="41"/>
      <c r="Q38" s="41"/>
      <c r="R38" s="41"/>
      <c r="S38" s="41"/>
      <c r="T38" s="41"/>
      <c r="U38" s="41"/>
      <c r="V38" s="41"/>
      <c r="W38" s="41"/>
      <c r="X38" s="41"/>
      <c r="Y38" s="41"/>
      <c r="Z38" s="41"/>
    </row>
    <row r="39" spans="1:26" ht="27" customHeight="1" x14ac:dyDescent="0.2">
      <c r="A39" s="16">
        <v>36</v>
      </c>
      <c r="B39" s="43"/>
      <c r="C39" s="43"/>
      <c r="D39" s="15"/>
      <c r="E39" s="15"/>
      <c r="F39" s="15">
        <f t="shared" si="0"/>
        <v>0</v>
      </c>
      <c r="G39" s="12"/>
      <c r="H39" s="120"/>
      <c r="I39" s="120"/>
      <c r="J39" s="12"/>
      <c r="K39" s="106" t="s">
        <v>92</v>
      </c>
      <c r="L39" s="107">
        <v>1</v>
      </c>
      <c r="M39" s="12"/>
      <c r="N39" s="22"/>
      <c r="O39" s="41"/>
      <c r="P39" s="41"/>
      <c r="Q39" s="41"/>
      <c r="R39" s="41"/>
      <c r="S39" s="41"/>
      <c r="T39" s="41"/>
      <c r="U39" s="41"/>
      <c r="V39" s="41"/>
      <c r="W39" s="41"/>
      <c r="X39" s="41"/>
      <c r="Y39" s="41"/>
      <c r="Z39" s="41"/>
    </row>
    <row r="40" spans="1:26" ht="27" customHeight="1" x14ac:dyDescent="0.2">
      <c r="A40" s="16">
        <v>37</v>
      </c>
      <c r="B40" s="43"/>
      <c r="C40" s="43"/>
      <c r="D40" s="15"/>
      <c r="E40" s="15"/>
      <c r="F40" s="15">
        <f t="shared" si="0"/>
        <v>0</v>
      </c>
      <c r="G40" s="12"/>
      <c r="H40" s="120"/>
      <c r="I40" s="120"/>
      <c r="J40" s="12"/>
      <c r="K40" s="109" t="s">
        <v>358</v>
      </c>
      <c r="L40" s="110">
        <v>12</v>
      </c>
      <c r="M40" s="12"/>
      <c r="N40" s="22"/>
      <c r="O40" s="41"/>
      <c r="P40" s="41"/>
      <c r="Q40" s="41"/>
      <c r="R40" s="41"/>
      <c r="S40" s="41"/>
      <c r="T40" s="41"/>
      <c r="U40" s="41"/>
      <c r="V40" s="41"/>
      <c r="W40" s="41"/>
      <c r="X40" s="41"/>
      <c r="Y40" s="41"/>
      <c r="Z40" s="41"/>
    </row>
    <row r="41" spans="1:26" ht="27" customHeight="1" x14ac:dyDescent="0.2">
      <c r="A41" s="16">
        <v>38</v>
      </c>
      <c r="B41" s="43"/>
      <c r="C41" s="43"/>
      <c r="D41" s="15"/>
      <c r="E41" s="15"/>
      <c r="F41" s="15">
        <f t="shared" si="0"/>
        <v>0</v>
      </c>
      <c r="G41" s="12"/>
      <c r="H41" s="120"/>
      <c r="I41" s="120"/>
      <c r="J41" s="12"/>
      <c r="K41" s="112" t="s">
        <v>104</v>
      </c>
      <c r="L41" s="114">
        <f>L40/L39*$I$11</f>
        <v>0.47760000000000002</v>
      </c>
      <c r="M41" s="12"/>
      <c r="N41" s="22"/>
      <c r="O41" s="41"/>
      <c r="P41" s="41"/>
      <c r="Q41" s="41"/>
      <c r="R41" s="41"/>
      <c r="S41" s="41"/>
      <c r="T41" s="41"/>
      <c r="U41" s="41"/>
      <c r="V41" s="41"/>
      <c r="W41" s="41"/>
      <c r="X41" s="41"/>
      <c r="Y41" s="41"/>
      <c r="Z41" s="41"/>
    </row>
    <row r="42" spans="1:26" ht="27" customHeight="1" x14ac:dyDescent="0.2">
      <c r="A42" s="16">
        <v>39</v>
      </c>
      <c r="B42" s="43"/>
      <c r="C42" s="43"/>
      <c r="D42" s="15"/>
      <c r="E42" s="15"/>
      <c r="F42" s="15">
        <f t="shared" si="0"/>
        <v>0</v>
      </c>
      <c r="G42" s="12"/>
      <c r="H42" s="120"/>
      <c r="I42" s="120"/>
      <c r="J42" s="12"/>
      <c r="K42" s="120"/>
      <c r="L42" s="120"/>
      <c r="M42" s="12"/>
      <c r="N42" s="22"/>
      <c r="O42" s="41"/>
      <c r="P42" s="41"/>
      <c r="Q42" s="41"/>
      <c r="R42" s="41"/>
      <c r="S42" s="41"/>
      <c r="T42" s="41"/>
      <c r="U42" s="41"/>
      <c r="V42" s="41"/>
      <c r="W42" s="41"/>
      <c r="X42" s="41"/>
      <c r="Y42" s="41"/>
      <c r="Z42" s="41"/>
    </row>
    <row r="43" spans="1:26" ht="27" customHeight="1" x14ac:dyDescent="0.2">
      <c r="A43" s="16">
        <v>40</v>
      </c>
      <c r="B43" s="43"/>
      <c r="C43" s="43"/>
      <c r="D43" s="15"/>
      <c r="E43" s="15"/>
      <c r="F43" s="15">
        <f t="shared" si="0"/>
        <v>0</v>
      </c>
      <c r="G43" s="12"/>
      <c r="H43" s="120"/>
      <c r="I43" s="120"/>
      <c r="J43" s="12"/>
      <c r="K43" s="103" t="s">
        <v>407</v>
      </c>
      <c r="L43" s="104" t="s">
        <v>408</v>
      </c>
      <c r="M43" s="12"/>
      <c r="N43" s="22"/>
      <c r="O43" s="41"/>
      <c r="P43" s="41"/>
      <c r="Q43" s="41"/>
      <c r="R43" s="41"/>
      <c r="S43" s="41"/>
      <c r="T43" s="41"/>
      <c r="U43" s="41"/>
      <c r="V43" s="41"/>
      <c r="W43" s="41"/>
      <c r="X43" s="41"/>
      <c r="Y43" s="41"/>
      <c r="Z43" s="41"/>
    </row>
    <row r="44" spans="1:26" ht="27" customHeight="1" x14ac:dyDescent="0.2">
      <c r="A44" s="16">
        <v>41</v>
      </c>
      <c r="B44" s="43"/>
      <c r="C44" s="43"/>
      <c r="D44" s="15"/>
      <c r="E44" s="15"/>
      <c r="F44" s="15">
        <f t="shared" si="0"/>
        <v>0</v>
      </c>
      <c r="G44" s="12"/>
      <c r="H44" s="120"/>
      <c r="I44" s="120"/>
      <c r="J44" s="12"/>
      <c r="K44" s="106" t="s">
        <v>92</v>
      </c>
      <c r="L44" s="107">
        <v>1</v>
      </c>
      <c r="M44" s="12"/>
      <c r="N44" s="22"/>
      <c r="O44" s="41"/>
      <c r="P44" s="41"/>
      <c r="Q44" s="41"/>
      <c r="R44" s="41"/>
      <c r="S44" s="41"/>
      <c r="T44" s="41"/>
      <c r="U44" s="41"/>
      <c r="V44" s="41"/>
      <c r="W44" s="41"/>
      <c r="X44" s="41"/>
      <c r="Y44" s="41"/>
      <c r="Z44" s="41"/>
    </row>
    <row r="45" spans="1:26" ht="27" customHeight="1" x14ac:dyDescent="0.2">
      <c r="A45" s="16">
        <v>42</v>
      </c>
      <c r="B45" s="43"/>
      <c r="C45" s="43"/>
      <c r="D45" s="15"/>
      <c r="E45" s="15"/>
      <c r="F45" s="15">
        <f t="shared" si="0"/>
        <v>0</v>
      </c>
      <c r="G45" s="12"/>
      <c r="H45" s="120"/>
      <c r="I45" s="120"/>
      <c r="J45" s="12"/>
      <c r="K45" s="109" t="s">
        <v>358</v>
      </c>
      <c r="L45" s="110">
        <v>8</v>
      </c>
      <c r="M45" s="12"/>
      <c r="N45" s="22"/>
      <c r="O45" s="41"/>
      <c r="P45" s="41"/>
      <c r="Q45" s="41"/>
      <c r="R45" s="41"/>
      <c r="S45" s="41"/>
      <c r="T45" s="41"/>
      <c r="U45" s="41"/>
      <c r="V45" s="41"/>
      <c r="W45" s="41"/>
      <c r="X45" s="41"/>
      <c r="Y45" s="41"/>
      <c r="Z45" s="41"/>
    </row>
    <row r="46" spans="1:26" ht="27" customHeight="1" x14ac:dyDescent="0.2">
      <c r="A46" s="16">
        <v>43</v>
      </c>
      <c r="B46" s="43"/>
      <c r="C46" s="43"/>
      <c r="D46" s="15"/>
      <c r="E46" s="15"/>
      <c r="F46" s="15">
        <f t="shared" si="0"/>
        <v>0</v>
      </c>
      <c r="G46" s="12"/>
      <c r="H46" s="120"/>
      <c r="I46" s="120"/>
      <c r="J46" s="12"/>
      <c r="K46" s="112" t="s">
        <v>104</v>
      </c>
      <c r="L46" s="114">
        <f>IFERROR(L45/L44*$I$11,"")</f>
        <v>0.31840000000000002</v>
      </c>
      <c r="M46" s="12"/>
      <c r="N46" s="22"/>
      <c r="O46" s="41"/>
      <c r="P46" s="41"/>
      <c r="Q46" s="41"/>
      <c r="R46" s="41"/>
      <c r="S46" s="41"/>
      <c r="T46" s="41"/>
      <c r="U46" s="41"/>
      <c r="V46" s="41"/>
      <c r="W46" s="41"/>
      <c r="X46" s="41"/>
      <c r="Y46" s="41"/>
      <c r="Z46" s="41"/>
    </row>
    <row r="47" spans="1:26" ht="27" customHeight="1" x14ac:dyDescent="0.2">
      <c r="A47" s="16">
        <v>44</v>
      </c>
      <c r="B47" s="43"/>
      <c r="C47" s="43"/>
      <c r="D47" s="15"/>
      <c r="E47" s="15"/>
      <c r="F47" s="15">
        <f t="shared" si="0"/>
        <v>0</v>
      </c>
      <c r="G47" s="12"/>
      <c r="H47" s="120"/>
      <c r="I47" s="120"/>
      <c r="J47" s="12"/>
      <c r="K47" s="120"/>
      <c r="L47" s="120"/>
      <c r="M47" s="12"/>
      <c r="N47" s="22"/>
      <c r="O47" s="41"/>
      <c r="P47" s="41"/>
      <c r="Q47" s="41"/>
      <c r="R47" s="41"/>
      <c r="S47" s="41"/>
      <c r="T47" s="41"/>
      <c r="U47" s="41"/>
      <c r="V47" s="41"/>
      <c r="W47" s="41"/>
      <c r="X47" s="41"/>
      <c r="Y47" s="41"/>
      <c r="Z47" s="41"/>
    </row>
    <row r="48" spans="1:26" ht="27" customHeight="1" x14ac:dyDescent="0.2">
      <c r="A48" s="16">
        <v>45</v>
      </c>
      <c r="B48" s="43"/>
      <c r="C48" s="43"/>
      <c r="D48" s="15"/>
      <c r="E48" s="15"/>
      <c r="F48" s="15">
        <f t="shared" si="0"/>
        <v>0</v>
      </c>
      <c r="G48" s="12"/>
      <c r="H48" s="120"/>
      <c r="I48" s="120"/>
      <c r="J48" s="12"/>
      <c r="K48" s="112" t="s">
        <v>409</v>
      </c>
      <c r="L48" s="114">
        <f>AVERAGE(L6,L11,L16,L21,L26,L31,L36,L41,L46)</f>
        <v>0.37146666666666667</v>
      </c>
      <c r="M48" s="12"/>
      <c r="N48" s="22"/>
      <c r="O48" s="41"/>
      <c r="P48" s="41"/>
      <c r="Q48" s="41"/>
      <c r="R48" s="41"/>
      <c r="S48" s="41"/>
      <c r="T48" s="41"/>
      <c r="U48" s="41"/>
      <c r="V48" s="41"/>
      <c r="W48" s="41"/>
      <c r="X48" s="41"/>
      <c r="Y48" s="41"/>
      <c r="Z48" s="41"/>
    </row>
    <row r="49" spans="1:26" ht="27" customHeight="1" x14ac:dyDescent="0.2">
      <c r="A49" s="16">
        <v>46</v>
      </c>
      <c r="B49" s="43"/>
      <c r="C49" s="43"/>
      <c r="D49" s="15"/>
      <c r="E49" s="15"/>
      <c r="F49" s="15">
        <f t="shared" si="0"/>
        <v>0</v>
      </c>
      <c r="G49" s="12"/>
      <c r="H49" s="120"/>
      <c r="I49" s="120"/>
      <c r="J49" s="12"/>
      <c r="K49" s="120"/>
      <c r="L49" s="120"/>
      <c r="M49" s="12"/>
      <c r="N49" s="22"/>
      <c r="O49" s="41"/>
      <c r="P49" s="41"/>
      <c r="Q49" s="41"/>
      <c r="R49" s="41"/>
      <c r="S49" s="41"/>
      <c r="T49" s="41"/>
      <c r="U49" s="41"/>
      <c r="V49" s="41"/>
      <c r="W49" s="41"/>
      <c r="X49" s="41"/>
      <c r="Y49" s="41"/>
      <c r="Z49" s="41"/>
    </row>
    <row r="50" spans="1:26" ht="27" customHeight="1" x14ac:dyDescent="0.2">
      <c r="A50" s="16">
        <v>47</v>
      </c>
      <c r="B50" s="43"/>
      <c r="C50" s="43"/>
      <c r="D50" s="15"/>
      <c r="E50" s="15"/>
      <c r="F50" s="15">
        <f t="shared" si="0"/>
        <v>0</v>
      </c>
      <c r="G50" s="12"/>
      <c r="H50" s="120"/>
      <c r="I50" s="120"/>
      <c r="J50" s="12"/>
      <c r="K50" s="120"/>
      <c r="L50" s="120"/>
      <c r="M50" s="12"/>
      <c r="N50" s="22"/>
      <c r="O50" s="41"/>
      <c r="P50" s="41"/>
      <c r="Q50" s="41"/>
      <c r="R50" s="41"/>
      <c r="S50" s="41"/>
      <c r="T50" s="41"/>
      <c r="U50" s="41"/>
      <c r="V50" s="41"/>
      <c r="W50" s="41"/>
      <c r="X50" s="41"/>
      <c r="Y50" s="41"/>
      <c r="Z50" s="41"/>
    </row>
    <row r="51" spans="1:26" ht="27" customHeight="1" x14ac:dyDescent="0.2">
      <c r="A51" s="16">
        <v>48</v>
      </c>
      <c r="B51" s="43"/>
      <c r="C51" s="43"/>
      <c r="D51" s="15"/>
      <c r="E51" s="15"/>
      <c r="F51" s="15">
        <f t="shared" si="0"/>
        <v>0</v>
      </c>
      <c r="G51" s="12"/>
      <c r="H51" s="120"/>
      <c r="I51" s="120"/>
      <c r="J51" s="12"/>
      <c r="K51" s="120"/>
      <c r="L51" s="120"/>
      <c r="M51" s="12"/>
      <c r="N51" s="22"/>
      <c r="O51" s="41"/>
      <c r="P51" s="41"/>
      <c r="Q51" s="41"/>
      <c r="R51" s="41"/>
      <c r="S51" s="41"/>
      <c r="T51" s="41"/>
      <c r="U51" s="41"/>
      <c r="V51" s="41"/>
      <c r="W51" s="41"/>
      <c r="X51" s="41"/>
      <c r="Y51" s="41"/>
      <c r="Z51" s="41"/>
    </row>
    <row r="52" spans="1:26" ht="27" customHeight="1" x14ac:dyDescent="0.2">
      <c r="A52" s="16">
        <v>49</v>
      </c>
      <c r="B52" s="43"/>
      <c r="C52" s="43"/>
      <c r="D52" s="15"/>
      <c r="E52" s="15"/>
      <c r="F52" s="15">
        <f t="shared" si="0"/>
        <v>0</v>
      </c>
      <c r="G52" s="12"/>
      <c r="H52" s="120"/>
      <c r="I52" s="120"/>
      <c r="J52" s="12"/>
      <c r="K52" s="120"/>
      <c r="L52" s="120"/>
      <c r="M52" s="12"/>
      <c r="N52" s="22"/>
      <c r="O52" s="41"/>
      <c r="P52" s="41"/>
      <c r="Q52" s="41"/>
      <c r="R52" s="41"/>
      <c r="S52" s="41"/>
      <c r="T52" s="41"/>
      <c r="U52" s="41"/>
      <c r="V52" s="41"/>
      <c r="W52" s="41"/>
      <c r="X52" s="41"/>
      <c r="Y52" s="41"/>
      <c r="Z52" s="41"/>
    </row>
    <row r="53" spans="1:26" ht="27" customHeight="1" x14ac:dyDescent="0.2">
      <c r="A53" s="16">
        <v>50</v>
      </c>
      <c r="B53" s="43"/>
      <c r="C53" s="43"/>
      <c r="D53" s="15"/>
      <c r="E53" s="15"/>
      <c r="F53" s="15">
        <f t="shared" si="0"/>
        <v>0</v>
      </c>
      <c r="G53" s="12"/>
      <c r="H53" s="120"/>
      <c r="I53" s="120"/>
      <c r="J53" s="12"/>
      <c r="K53" s="120"/>
      <c r="L53" s="120"/>
      <c r="M53" s="12"/>
      <c r="N53" s="22"/>
      <c r="O53" s="41"/>
      <c r="P53" s="41"/>
      <c r="Q53" s="41"/>
      <c r="R53" s="41"/>
      <c r="S53" s="41"/>
      <c r="T53" s="41"/>
      <c r="U53" s="41"/>
      <c r="V53" s="41"/>
      <c r="W53" s="41"/>
      <c r="X53" s="41"/>
      <c r="Y53" s="41"/>
      <c r="Z53" s="41"/>
    </row>
    <row r="54" spans="1:26" ht="27" customHeight="1" x14ac:dyDescent="0.2">
      <c r="A54" s="124" t="s">
        <v>81</v>
      </c>
      <c r="B54" s="125"/>
      <c r="C54" s="125"/>
      <c r="D54" s="126">
        <f t="shared" ref="D54:F54" si="1">SUM(D4:D53)</f>
        <v>48.757799999999996</v>
      </c>
      <c r="E54" s="126">
        <f t="shared" si="1"/>
        <v>91.269999999999982</v>
      </c>
      <c r="F54" s="126">
        <f t="shared" si="1"/>
        <v>140.02779999999998</v>
      </c>
      <c r="G54" s="12"/>
      <c r="H54" s="120"/>
      <c r="I54" s="120"/>
      <c r="J54" s="12"/>
      <c r="K54" s="120"/>
      <c r="L54" s="120"/>
      <c r="M54" s="12"/>
      <c r="N54" s="22"/>
      <c r="O54" s="41"/>
      <c r="P54" s="41"/>
      <c r="Q54" s="41"/>
      <c r="R54" s="41"/>
      <c r="S54" s="41"/>
      <c r="T54" s="41"/>
      <c r="U54" s="41"/>
      <c r="V54" s="41"/>
      <c r="W54" s="41"/>
      <c r="X54" s="41"/>
      <c r="Y54" s="41"/>
      <c r="Z54" s="41"/>
    </row>
    <row r="55" spans="1:26" ht="27" customHeight="1" x14ac:dyDescent="0.2">
      <c r="A55" s="16"/>
      <c r="B55" s="43"/>
      <c r="C55" s="43"/>
      <c r="D55" s="16"/>
      <c r="E55" s="16"/>
      <c r="F55" s="16"/>
      <c r="G55" s="12"/>
      <c r="H55" s="120"/>
      <c r="I55" s="120"/>
      <c r="J55" s="12"/>
      <c r="K55" s="120"/>
      <c r="L55" s="120"/>
      <c r="M55" s="12"/>
      <c r="N55" s="22"/>
      <c r="O55" s="41"/>
      <c r="P55" s="41"/>
      <c r="Q55" s="41"/>
      <c r="R55" s="41"/>
      <c r="S55" s="41"/>
      <c r="T55" s="41"/>
      <c r="U55" s="41"/>
      <c r="V55" s="41"/>
      <c r="W55" s="41"/>
      <c r="X55" s="41"/>
      <c r="Y55" s="41"/>
      <c r="Z55" s="41"/>
    </row>
    <row r="56" spans="1:26" ht="15.75" customHeight="1" x14ac:dyDescent="0.2">
      <c r="A56" s="16"/>
      <c r="B56" s="43"/>
      <c r="C56" s="43"/>
      <c r="D56" s="16"/>
      <c r="E56" s="16"/>
      <c r="F56" s="16"/>
      <c r="G56" s="12"/>
      <c r="H56" s="120"/>
      <c r="I56" s="120"/>
      <c r="J56" s="12"/>
      <c r="K56" s="120"/>
      <c r="L56" s="120"/>
      <c r="M56" s="12"/>
      <c r="N56" s="22"/>
    </row>
    <row r="57" spans="1:26" ht="15.75" customHeight="1" x14ac:dyDescent="0.2">
      <c r="A57" s="16"/>
      <c r="B57" s="43"/>
      <c r="C57" s="43"/>
      <c r="D57" s="16"/>
      <c r="E57" s="16"/>
      <c r="F57" s="16"/>
      <c r="G57" s="12"/>
      <c r="H57" s="120"/>
      <c r="I57" s="120"/>
      <c r="J57" s="12"/>
      <c r="K57" s="120"/>
      <c r="L57" s="120"/>
      <c r="M57" s="12"/>
      <c r="N57" s="22"/>
    </row>
    <row r="58" spans="1:26" ht="15.75" customHeight="1" x14ac:dyDescent="0.2">
      <c r="A58" s="16"/>
      <c r="B58" s="43"/>
      <c r="C58" s="43"/>
      <c r="D58" s="16"/>
      <c r="E58" s="16"/>
      <c r="F58" s="16"/>
      <c r="G58" s="12"/>
      <c r="H58" s="120"/>
      <c r="I58" s="120"/>
      <c r="J58" s="12"/>
      <c r="K58" s="120"/>
      <c r="L58" s="120"/>
      <c r="M58" s="12"/>
      <c r="N58" s="22"/>
    </row>
    <row r="59" spans="1:26" ht="15.75" customHeight="1" x14ac:dyDescent="0.2">
      <c r="A59" s="16"/>
      <c r="B59" s="43"/>
      <c r="C59" s="43"/>
      <c r="D59" s="16"/>
      <c r="E59" s="16"/>
      <c r="F59" s="16"/>
      <c r="G59" s="12"/>
      <c r="H59" s="120"/>
      <c r="I59" s="120"/>
      <c r="J59" s="12"/>
      <c r="K59" s="120"/>
      <c r="L59" s="120"/>
      <c r="M59" s="12"/>
      <c r="N59" s="22"/>
    </row>
    <row r="60" spans="1:26" ht="15.75" customHeight="1" x14ac:dyDescent="0.2">
      <c r="A60" s="16"/>
      <c r="B60" s="43"/>
      <c r="C60" s="43"/>
      <c r="D60" s="16"/>
      <c r="E60" s="16"/>
      <c r="F60" s="16"/>
      <c r="G60" s="12"/>
      <c r="H60" s="120"/>
      <c r="I60" s="120"/>
      <c r="J60" s="12"/>
      <c r="K60" s="120"/>
      <c r="L60" s="120"/>
      <c r="M60" s="12"/>
      <c r="N60" s="22"/>
    </row>
    <row r="61" spans="1:26" ht="15.75" customHeight="1" x14ac:dyDescent="0.2">
      <c r="A61" s="16"/>
      <c r="B61" s="43"/>
      <c r="C61" s="43"/>
      <c r="D61" s="16"/>
      <c r="E61" s="16"/>
      <c r="F61" s="16"/>
      <c r="G61" s="12"/>
      <c r="H61" s="120"/>
      <c r="I61" s="120"/>
      <c r="J61" s="12"/>
      <c r="K61" s="120"/>
      <c r="L61" s="120"/>
      <c r="M61" s="12"/>
      <c r="N61" s="22"/>
    </row>
    <row r="62" spans="1:26" ht="15.75" customHeight="1" x14ac:dyDescent="0.2">
      <c r="A62" s="16"/>
      <c r="B62" s="43"/>
      <c r="C62" s="43"/>
      <c r="D62" s="16"/>
      <c r="E62" s="16"/>
      <c r="F62" s="16"/>
      <c r="G62" s="12"/>
      <c r="H62" s="120"/>
      <c r="I62" s="120"/>
      <c r="J62" s="12"/>
      <c r="K62" s="120"/>
      <c r="L62" s="120"/>
      <c r="M62" s="12"/>
      <c r="N62" s="22"/>
    </row>
    <row r="63" spans="1:26" ht="15.75" customHeight="1" x14ac:dyDescent="0.2">
      <c r="A63" s="16"/>
      <c r="B63" s="43"/>
      <c r="C63" s="43"/>
      <c r="D63" s="16"/>
      <c r="E63" s="16"/>
      <c r="F63" s="16"/>
      <c r="G63" s="12"/>
      <c r="H63" s="120"/>
      <c r="I63" s="120"/>
      <c r="J63" s="12"/>
      <c r="K63" s="12"/>
      <c r="L63" s="12"/>
      <c r="M63" s="12"/>
      <c r="N63" s="22"/>
    </row>
    <row r="64" spans="1:26" ht="15.75" customHeight="1" x14ac:dyDescent="0.2">
      <c r="A64" s="16"/>
      <c r="B64" s="43"/>
      <c r="C64" s="43"/>
      <c r="D64" s="16"/>
      <c r="E64" s="16"/>
      <c r="F64" s="16"/>
      <c r="G64" s="12"/>
      <c r="H64" s="120"/>
      <c r="I64" s="120"/>
      <c r="J64" s="12"/>
      <c r="K64" s="12"/>
      <c r="L64" s="12"/>
      <c r="M64" s="12"/>
      <c r="N64" s="22"/>
    </row>
    <row r="65" spans="1:14" ht="15.75" customHeight="1" x14ac:dyDescent="0.2">
      <c r="A65" s="16"/>
      <c r="B65" s="43"/>
      <c r="C65" s="43"/>
      <c r="D65" s="16"/>
      <c r="E65" s="16"/>
      <c r="F65" s="16"/>
      <c r="G65" s="12"/>
      <c r="H65" s="120"/>
      <c r="I65" s="120"/>
      <c r="J65" s="12"/>
      <c r="K65" s="12"/>
      <c r="L65" s="12"/>
      <c r="M65" s="12"/>
      <c r="N65" s="22"/>
    </row>
    <row r="66" spans="1:14" ht="15.75" customHeight="1" x14ac:dyDescent="0.2">
      <c r="A66" s="16"/>
      <c r="B66" s="43"/>
      <c r="C66" s="43"/>
      <c r="D66" s="16"/>
      <c r="E66" s="16"/>
      <c r="F66" s="16"/>
      <c r="G66" s="12"/>
      <c r="H66" s="120"/>
      <c r="I66" s="120"/>
      <c r="J66" s="12"/>
      <c r="K66" s="12"/>
      <c r="L66" s="12"/>
      <c r="M66" s="12"/>
      <c r="N66" s="22"/>
    </row>
    <row r="67" spans="1:14" ht="15.75" customHeight="1" x14ac:dyDescent="0.2">
      <c r="A67" s="16"/>
      <c r="B67" s="43"/>
      <c r="C67" s="43"/>
      <c r="D67" s="16"/>
      <c r="E67" s="16"/>
      <c r="F67" s="16"/>
      <c r="G67" s="12"/>
      <c r="H67" s="120"/>
      <c r="I67" s="120"/>
      <c r="J67" s="12"/>
      <c r="K67" s="12"/>
      <c r="L67" s="12"/>
      <c r="M67" s="12"/>
      <c r="N67" s="22"/>
    </row>
    <row r="68" spans="1:14" ht="15.75" customHeight="1" x14ac:dyDescent="0.15">
      <c r="A68" s="16"/>
      <c r="B68" s="43"/>
      <c r="C68" s="43"/>
      <c r="D68" s="16"/>
      <c r="E68" s="16"/>
      <c r="F68" s="16"/>
      <c r="G68" s="12"/>
      <c r="H68" s="12"/>
      <c r="I68" s="12"/>
      <c r="J68" s="12"/>
      <c r="K68" s="12"/>
      <c r="L68" s="12"/>
      <c r="M68" s="12"/>
      <c r="N68" s="22"/>
    </row>
    <row r="69" spans="1:14" ht="15.75" customHeight="1" x14ac:dyDescent="0.15">
      <c r="A69" s="16"/>
      <c r="B69" s="43"/>
      <c r="C69" s="43"/>
      <c r="D69" s="16"/>
      <c r="E69" s="16"/>
      <c r="F69" s="16"/>
      <c r="G69" s="12"/>
      <c r="H69" s="12"/>
      <c r="I69" s="12"/>
      <c r="J69" s="12"/>
      <c r="K69" s="12"/>
      <c r="L69" s="12"/>
      <c r="M69" s="12"/>
      <c r="N69" s="22"/>
    </row>
    <row r="70" spans="1:14" ht="15.75" customHeight="1" x14ac:dyDescent="0.15">
      <c r="A70" s="16"/>
      <c r="B70" s="43"/>
      <c r="C70" s="43"/>
      <c r="D70" s="16"/>
      <c r="E70" s="16"/>
      <c r="F70" s="16"/>
      <c r="G70" s="12"/>
      <c r="H70" s="12"/>
      <c r="I70" s="12"/>
      <c r="J70" s="12"/>
      <c r="K70" s="12"/>
      <c r="L70" s="12"/>
      <c r="M70" s="12"/>
      <c r="N70" s="22"/>
    </row>
    <row r="71" spans="1:14" ht="15.75" customHeight="1" x14ac:dyDescent="0.15">
      <c r="A71" s="16"/>
      <c r="B71" s="43"/>
      <c r="C71" s="43"/>
      <c r="D71" s="16"/>
      <c r="E71" s="16"/>
      <c r="F71" s="16"/>
      <c r="G71" s="12"/>
      <c r="H71" s="12"/>
      <c r="I71" s="12"/>
      <c r="J71" s="12"/>
      <c r="K71" s="12"/>
      <c r="L71" s="12"/>
      <c r="M71" s="12"/>
      <c r="N71" s="22"/>
    </row>
    <row r="72" spans="1:14" ht="15.75" customHeight="1" x14ac:dyDescent="0.15">
      <c r="A72" s="16"/>
      <c r="B72" s="43"/>
      <c r="C72" s="43"/>
      <c r="D72" s="16"/>
      <c r="E72" s="16"/>
      <c r="F72" s="16"/>
      <c r="G72" s="12"/>
      <c r="H72" s="12"/>
      <c r="I72" s="12"/>
      <c r="J72" s="12"/>
      <c r="K72" s="12"/>
      <c r="L72" s="12"/>
      <c r="M72" s="12"/>
      <c r="N72" s="22"/>
    </row>
    <row r="73" spans="1:14" ht="15.75" customHeight="1" x14ac:dyDescent="0.15">
      <c r="A73" s="16"/>
      <c r="B73" s="43"/>
      <c r="C73" s="43"/>
      <c r="D73" s="16"/>
      <c r="E73" s="16"/>
      <c r="F73" s="16"/>
      <c r="G73" s="12"/>
      <c r="H73" s="12"/>
      <c r="I73" s="12"/>
      <c r="J73" s="12"/>
      <c r="K73" s="12"/>
      <c r="L73" s="12"/>
      <c r="M73" s="12"/>
      <c r="N73" s="22"/>
    </row>
    <row r="74" spans="1:14" ht="15.75" customHeight="1" x14ac:dyDescent="0.15">
      <c r="A74" s="16"/>
      <c r="B74" s="43"/>
      <c r="C74" s="43"/>
      <c r="D74" s="16"/>
      <c r="E74" s="16"/>
      <c r="F74" s="16"/>
      <c r="G74" s="12"/>
      <c r="H74" s="12"/>
      <c r="I74" s="12"/>
      <c r="J74" s="12"/>
      <c r="K74" s="12"/>
      <c r="L74" s="12"/>
      <c r="M74" s="12"/>
      <c r="N74" s="22"/>
    </row>
    <row r="75" spans="1:14" ht="15.75" customHeight="1" x14ac:dyDescent="0.15">
      <c r="A75" s="16"/>
      <c r="B75" s="43"/>
      <c r="C75" s="43"/>
      <c r="D75" s="16"/>
      <c r="E75" s="16"/>
      <c r="F75" s="16"/>
      <c r="G75" s="12"/>
      <c r="H75" s="12"/>
      <c r="I75" s="12"/>
      <c r="J75" s="12"/>
      <c r="K75" s="12"/>
      <c r="L75" s="12"/>
      <c r="M75" s="12"/>
      <c r="N75" s="22"/>
    </row>
    <row r="76" spans="1:14" ht="15.75" customHeight="1" x14ac:dyDescent="0.15">
      <c r="A76" s="16"/>
      <c r="B76" s="43"/>
      <c r="C76" s="43"/>
      <c r="D76" s="16"/>
      <c r="E76" s="16"/>
      <c r="F76" s="16"/>
      <c r="G76" s="12"/>
      <c r="H76" s="12"/>
      <c r="I76" s="12"/>
      <c r="J76" s="12"/>
      <c r="K76" s="12"/>
      <c r="L76" s="12"/>
      <c r="M76" s="12"/>
      <c r="N76" s="22"/>
    </row>
    <row r="77" spans="1:14" ht="15.75" customHeight="1" x14ac:dyDescent="0.15">
      <c r="A77" s="16"/>
      <c r="B77" s="43"/>
      <c r="C77" s="43"/>
      <c r="D77" s="16"/>
      <c r="E77" s="16"/>
      <c r="F77" s="16"/>
      <c r="G77" s="12"/>
      <c r="H77" s="12"/>
      <c r="I77" s="12"/>
      <c r="J77" s="12"/>
      <c r="K77" s="12"/>
      <c r="L77" s="12"/>
      <c r="M77" s="12"/>
      <c r="N77" s="22"/>
    </row>
    <row r="78" spans="1:14" ht="15.75" customHeight="1" x14ac:dyDescent="0.15">
      <c r="A78" s="16"/>
      <c r="B78" s="43"/>
      <c r="C78" s="43"/>
      <c r="D78" s="16"/>
      <c r="E78" s="16"/>
      <c r="F78" s="16"/>
      <c r="G78" s="12"/>
      <c r="H78" s="12"/>
      <c r="I78" s="12"/>
      <c r="J78" s="12"/>
      <c r="K78" s="12"/>
      <c r="L78" s="12"/>
      <c r="M78" s="12"/>
      <c r="N78" s="22"/>
    </row>
    <row r="79" spans="1:14" ht="15.75" customHeight="1" x14ac:dyDescent="0.15">
      <c r="A79" s="16"/>
      <c r="B79" s="43"/>
      <c r="C79" s="43"/>
      <c r="D79" s="16"/>
      <c r="E79" s="16"/>
      <c r="F79" s="16"/>
      <c r="G79" s="12"/>
      <c r="H79" s="12"/>
      <c r="I79" s="12"/>
      <c r="J79" s="12"/>
      <c r="K79" s="12"/>
      <c r="L79" s="12"/>
      <c r="M79" s="12"/>
      <c r="N79" s="22"/>
    </row>
    <row r="80" spans="1:14" ht="15.75" customHeight="1" x14ac:dyDescent="0.15">
      <c r="A80" s="16"/>
      <c r="B80" s="43"/>
      <c r="C80" s="43"/>
      <c r="D80" s="16"/>
      <c r="E80" s="16"/>
      <c r="F80" s="16"/>
      <c r="G80" s="12"/>
      <c r="H80" s="12"/>
      <c r="I80" s="12"/>
      <c r="J80" s="12"/>
      <c r="K80" s="12"/>
      <c r="L80" s="12"/>
      <c r="M80" s="12"/>
      <c r="N80" s="22"/>
    </row>
    <row r="81" spans="1:14" ht="15.75" customHeight="1" x14ac:dyDescent="0.15">
      <c r="A81" s="16"/>
      <c r="B81" s="43"/>
      <c r="C81" s="43"/>
      <c r="D81" s="16"/>
      <c r="E81" s="16"/>
      <c r="F81" s="16"/>
      <c r="G81" s="12"/>
      <c r="H81" s="12"/>
      <c r="I81" s="12"/>
      <c r="J81" s="12"/>
      <c r="K81" s="12"/>
      <c r="L81" s="12"/>
      <c r="M81" s="12"/>
      <c r="N81" s="22"/>
    </row>
    <row r="82" spans="1:14" ht="15.75" customHeight="1" x14ac:dyDescent="0.15">
      <c r="A82" s="16"/>
      <c r="B82" s="43"/>
      <c r="C82" s="43"/>
      <c r="D82" s="16"/>
      <c r="E82" s="16"/>
      <c r="F82" s="16"/>
      <c r="G82" s="12"/>
      <c r="H82" s="12"/>
      <c r="I82" s="12"/>
      <c r="J82" s="12"/>
      <c r="K82" s="12"/>
      <c r="L82" s="12"/>
      <c r="M82" s="12"/>
      <c r="N82" s="22"/>
    </row>
    <row r="83" spans="1:14" ht="15.75" customHeight="1" x14ac:dyDescent="0.15">
      <c r="A83" s="16"/>
      <c r="B83" s="43"/>
      <c r="C83" s="43"/>
      <c r="D83" s="16"/>
      <c r="E83" s="16"/>
      <c r="F83" s="16"/>
      <c r="G83" s="12"/>
      <c r="H83" s="12"/>
      <c r="I83" s="12"/>
      <c r="J83" s="12"/>
      <c r="K83" s="12"/>
      <c r="L83" s="12"/>
      <c r="M83" s="12"/>
      <c r="N83" s="22"/>
    </row>
    <row r="84" spans="1:14" ht="15.75" customHeight="1" x14ac:dyDescent="0.15">
      <c r="A84" s="16"/>
      <c r="B84" s="43"/>
      <c r="C84" s="43"/>
      <c r="D84" s="16"/>
      <c r="E84" s="16"/>
      <c r="F84" s="16"/>
      <c r="G84" s="12"/>
      <c r="H84" s="12"/>
      <c r="I84" s="12"/>
      <c r="J84" s="12"/>
      <c r="K84" s="12"/>
      <c r="L84" s="12"/>
      <c r="M84" s="12"/>
      <c r="N84" s="22"/>
    </row>
    <row r="85" spans="1:14" ht="15.75" customHeight="1" x14ac:dyDescent="0.15">
      <c r="A85" s="16"/>
      <c r="B85" s="43"/>
      <c r="C85" s="43"/>
      <c r="D85" s="16"/>
      <c r="E85" s="16"/>
      <c r="F85" s="16"/>
      <c r="G85" s="12"/>
      <c r="H85" s="12"/>
      <c r="I85" s="12"/>
      <c r="J85" s="12"/>
      <c r="K85" s="12"/>
      <c r="L85" s="12"/>
      <c r="M85" s="12"/>
      <c r="N85" s="22"/>
    </row>
    <row r="86" spans="1:14" ht="15.75" customHeight="1" x14ac:dyDescent="0.15">
      <c r="A86" s="16"/>
      <c r="B86" s="43"/>
      <c r="C86" s="43"/>
      <c r="D86" s="16"/>
      <c r="E86" s="16"/>
      <c r="F86" s="16"/>
      <c r="G86" s="12"/>
      <c r="H86" s="12"/>
      <c r="I86" s="12"/>
      <c r="J86" s="12"/>
      <c r="K86" s="12"/>
      <c r="L86" s="12"/>
      <c r="M86" s="12"/>
      <c r="N86" s="22"/>
    </row>
    <row r="87" spans="1:14" ht="15.75" customHeight="1" x14ac:dyDescent="0.15">
      <c r="A87" s="16"/>
      <c r="B87" s="43"/>
      <c r="C87" s="43"/>
      <c r="D87" s="16"/>
      <c r="E87" s="16"/>
      <c r="F87" s="16"/>
      <c r="G87" s="12"/>
      <c r="H87" s="12"/>
      <c r="I87" s="12"/>
      <c r="J87" s="12"/>
      <c r="K87" s="12"/>
      <c r="L87" s="12"/>
      <c r="M87" s="12"/>
      <c r="N87" s="22"/>
    </row>
    <row r="88" spans="1:14" ht="15.75" customHeight="1" x14ac:dyDescent="0.15">
      <c r="A88" s="16"/>
      <c r="B88" s="43"/>
      <c r="C88" s="43"/>
      <c r="D88" s="16"/>
      <c r="E88" s="16"/>
      <c r="F88" s="16"/>
      <c r="G88" s="12"/>
      <c r="H88" s="12"/>
      <c r="I88" s="12"/>
      <c r="J88" s="12"/>
      <c r="K88" s="12"/>
      <c r="L88" s="12"/>
      <c r="M88" s="12"/>
      <c r="N88" s="22"/>
    </row>
    <row r="89" spans="1:14" ht="15.75" customHeight="1" x14ac:dyDescent="0.15">
      <c r="A89" s="16"/>
      <c r="B89" s="43"/>
      <c r="C89" s="43"/>
      <c r="D89" s="16"/>
      <c r="E89" s="16"/>
      <c r="F89" s="16"/>
      <c r="G89" s="12"/>
      <c r="H89" s="12"/>
      <c r="I89" s="12"/>
      <c r="J89" s="12"/>
      <c r="K89" s="12"/>
      <c r="L89" s="12"/>
      <c r="M89" s="12"/>
      <c r="N89" s="22"/>
    </row>
    <row r="90" spans="1:14" ht="15.75" customHeight="1" x14ac:dyDescent="0.15">
      <c r="A90" s="16"/>
      <c r="B90" s="43"/>
      <c r="C90" s="43"/>
      <c r="D90" s="16"/>
      <c r="E90" s="16"/>
      <c r="F90" s="16"/>
      <c r="G90" s="12"/>
      <c r="H90" s="12"/>
      <c r="I90" s="12"/>
      <c r="J90" s="12"/>
      <c r="K90" s="12"/>
      <c r="L90" s="12"/>
      <c r="M90" s="12"/>
      <c r="N90" s="22"/>
    </row>
    <row r="91" spans="1:14" ht="15.75" customHeight="1" x14ac:dyDescent="0.15">
      <c r="A91" s="16"/>
      <c r="B91" s="43"/>
      <c r="C91" s="43"/>
      <c r="D91" s="16"/>
      <c r="E91" s="16"/>
      <c r="F91" s="16"/>
      <c r="G91" s="12"/>
      <c r="H91" s="12"/>
      <c r="I91" s="12"/>
      <c r="J91" s="12"/>
      <c r="K91" s="12"/>
      <c r="L91" s="12"/>
      <c r="M91" s="12"/>
      <c r="N91" s="22"/>
    </row>
    <row r="92" spans="1:14" ht="15.75" customHeight="1" x14ac:dyDescent="0.15">
      <c r="A92" s="16"/>
      <c r="B92" s="43"/>
      <c r="C92" s="43"/>
      <c r="D92" s="16"/>
      <c r="E92" s="16"/>
      <c r="F92" s="16"/>
      <c r="G92" s="12"/>
      <c r="H92" s="12"/>
      <c r="I92" s="12"/>
      <c r="J92" s="12"/>
      <c r="K92" s="12"/>
      <c r="L92" s="12"/>
      <c r="M92" s="12"/>
      <c r="N92" s="22"/>
    </row>
    <row r="93" spans="1:14" ht="15.75" customHeight="1" x14ac:dyDescent="0.15">
      <c r="A93" s="16"/>
      <c r="B93" s="43"/>
      <c r="C93" s="43"/>
      <c r="D93" s="16"/>
      <c r="E93" s="16"/>
      <c r="F93" s="16"/>
      <c r="G93" s="12"/>
      <c r="H93" s="12"/>
      <c r="I93" s="12"/>
      <c r="J93" s="12"/>
      <c r="K93" s="12"/>
      <c r="L93" s="12"/>
      <c r="M93" s="12"/>
      <c r="N93" s="22"/>
    </row>
    <row r="94" spans="1:14" ht="15.75" customHeight="1" x14ac:dyDescent="0.15">
      <c r="A94" s="16"/>
      <c r="B94" s="43"/>
      <c r="C94" s="43"/>
      <c r="D94" s="16"/>
      <c r="E94" s="16"/>
      <c r="F94" s="16"/>
      <c r="G94" s="12"/>
      <c r="H94" s="12"/>
      <c r="I94" s="12"/>
      <c r="J94" s="12"/>
      <c r="K94" s="12"/>
      <c r="L94" s="12"/>
      <c r="M94" s="12"/>
      <c r="N94" s="22"/>
    </row>
    <row r="95" spans="1:14" ht="15.75" customHeight="1" x14ac:dyDescent="0.15">
      <c r="A95" s="16"/>
      <c r="B95" s="43"/>
      <c r="C95" s="43"/>
      <c r="D95" s="16"/>
      <c r="E95" s="16"/>
      <c r="F95" s="16"/>
      <c r="G95" s="12"/>
      <c r="H95" s="12"/>
      <c r="I95" s="12"/>
      <c r="J95" s="12"/>
      <c r="K95" s="12"/>
      <c r="L95" s="12"/>
      <c r="M95" s="12"/>
      <c r="N95" s="22"/>
    </row>
    <row r="96" spans="1:14" ht="15.75" customHeight="1" x14ac:dyDescent="0.15">
      <c r="A96" s="16"/>
      <c r="B96" s="43"/>
      <c r="C96" s="43"/>
      <c r="D96" s="16"/>
      <c r="E96" s="16"/>
      <c r="F96" s="16"/>
      <c r="G96" s="12"/>
      <c r="H96" s="12"/>
      <c r="I96" s="12"/>
      <c r="J96" s="12"/>
      <c r="K96" s="12"/>
      <c r="L96" s="12"/>
      <c r="M96" s="12"/>
      <c r="N96" s="22"/>
    </row>
    <row r="97" spans="1:14" ht="15.75" customHeight="1" x14ac:dyDescent="0.15">
      <c r="A97" s="16"/>
      <c r="B97" s="43"/>
      <c r="C97" s="43"/>
      <c r="D97" s="16"/>
      <c r="E97" s="16"/>
      <c r="F97" s="16"/>
      <c r="G97" s="12"/>
      <c r="H97" s="12"/>
      <c r="I97" s="12"/>
      <c r="J97" s="12"/>
      <c r="K97" s="12"/>
      <c r="L97" s="12"/>
      <c r="M97" s="12"/>
      <c r="N97" s="22"/>
    </row>
    <row r="98" spans="1:14" ht="15.75" customHeight="1" x14ac:dyDescent="0.15">
      <c r="A98" s="16"/>
      <c r="B98" s="43"/>
      <c r="C98" s="43"/>
      <c r="D98" s="16"/>
      <c r="E98" s="16"/>
      <c r="F98" s="16"/>
      <c r="G98" s="12"/>
      <c r="H98" s="12"/>
      <c r="I98" s="12"/>
      <c r="J98" s="12"/>
      <c r="K98" s="12"/>
      <c r="L98" s="12"/>
      <c r="M98" s="12"/>
      <c r="N98" s="22"/>
    </row>
    <row r="99" spans="1:14" ht="15.75" customHeight="1" x14ac:dyDescent="0.15">
      <c r="A99" s="16"/>
      <c r="B99" s="43"/>
      <c r="C99" s="43"/>
      <c r="D99" s="16"/>
      <c r="E99" s="16"/>
      <c r="F99" s="16"/>
      <c r="G99" s="12"/>
      <c r="H99" s="12"/>
      <c r="I99" s="12"/>
      <c r="J99" s="12"/>
      <c r="K99" s="12"/>
      <c r="L99" s="12"/>
      <c r="M99" s="12"/>
      <c r="N99" s="22"/>
    </row>
    <row r="100" spans="1:14" ht="15.75" customHeight="1" x14ac:dyDescent="0.15">
      <c r="A100" s="16"/>
      <c r="B100" s="43"/>
      <c r="C100" s="43"/>
      <c r="D100" s="16"/>
      <c r="E100" s="16"/>
      <c r="F100" s="16"/>
      <c r="G100" s="12"/>
      <c r="H100" s="12"/>
      <c r="I100" s="12"/>
      <c r="J100" s="12"/>
      <c r="K100" s="12"/>
      <c r="L100" s="12"/>
      <c r="M100" s="12"/>
      <c r="N100" s="22"/>
    </row>
    <row r="101" spans="1:14" ht="15.75" customHeight="1" x14ac:dyDescent="0.15">
      <c r="A101" s="16"/>
      <c r="B101" s="43"/>
      <c r="C101" s="43"/>
      <c r="D101" s="16"/>
      <c r="E101" s="16"/>
      <c r="F101" s="16"/>
      <c r="G101" s="12"/>
      <c r="H101" s="12"/>
      <c r="I101" s="12"/>
      <c r="J101" s="12"/>
      <c r="K101" s="12"/>
      <c r="L101" s="12"/>
      <c r="M101" s="12"/>
      <c r="N101" s="22"/>
    </row>
    <row r="102" spans="1:14" ht="15.75" customHeight="1" x14ac:dyDescent="0.15">
      <c r="A102" s="16"/>
      <c r="B102" s="43"/>
      <c r="C102" s="43"/>
      <c r="D102" s="16"/>
      <c r="E102" s="16"/>
      <c r="F102" s="16"/>
      <c r="G102" s="12"/>
      <c r="H102" s="12"/>
      <c r="I102" s="12"/>
      <c r="J102" s="12"/>
      <c r="K102" s="12"/>
      <c r="L102" s="12"/>
      <c r="M102" s="12"/>
      <c r="N102" s="22"/>
    </row>
    <row r="103" spans="1:14" ht="15.75" customHeight="1" x14ac:dyDescent="0.15">
      <c r="A103" s="16"/>
      <c r="B103" s="43"/>
      <c r="C103" s="43"/>
      <c r="D103" s="16"/>
      <c r="E103" s="16"/>
      <c r="F103" s="16"/>
      <c r="G103" s="12"/>
      <c r="H103" s="12"/>
      <c r="I103" s="12"/>
      <c r="J103" s="12"/>
      <c r="K103" s="12"/>
      <c r="L103" s="12"/>
      <c r="M103" s="12"/>
      <c r="N103" s="22"/>
    </row>
    <row r="104" spans="1:14" ht="15.75" customHeight="1" x14ac:dyDescent="0.15">
      <c r="A104" s="16"/>
      <c r="B104" s="43"/>
      <c r="C104" s="43"/>
      <c r="D104" s="16"/>
      <c r="E104" s="16"/>
      <c r="F104" s="16"/>
      <c r="G104" s="12"/>
      <c r="H104" s="12"/>
      <c r="I104" s="12"/>
      <c r="J104" s="12"/>
      <c r="K104" s="12"/>
      <c r="L104" s="12"/>
      <c r="M104" s="12"/>
      <c r="N104" s="22"/>
    </row>
    <row r="105" spans="1:14" ht="15.75" customHeight="1" x14ac:dyDescent="0.15">
      <c r="A105" s="16"/>
      <c r="B105" s="43"/>
      <c r="C105" s="43"/>
      <c r="D105" s="16"/>
      <c r="E105" s="16"/>
      <c r="F105" s="16"/>
      <c r="G105" s="12"/>
      <c r="H105" s="12"/>
      <c r="I105" s="12"/>
      <c r="J105" s="12"/>
      <c r="K105" s="12"/>
      <c r="L105" s="12"/>
      <c r="M105" s="12"/>
      <c r="N105" s="22"/>
    </row>
    <row r="106" spans="1:14" ht="15.75" customHeight="1" x14ac:dyDescent="0.15">
      <c r="A106" s="16"/>
      <c r="B106" s="43"/>
      <c r="C106" s="43"/>
      <c r="D106" s="16"/>
      <c r="E106" s="16"/>
      <c r="F106" s="16"/>
      <c r="G106" s="12"/>
      <c r="H106" s="12"/>
      <c r="I106" s="12"/>
      <c r="J106" s="12"/>
      <c r="K106" s="12"/>
      <c r="L106" s="12"/>
      <c r="M106" s="12"/>
      <c r="N106" s="22"/>
    </row>
    <row r="107" spans="1:14" ht="15.75" customHeight="1" x14ac:dyDescent="0.15">
      <c r="A107" s="16"/>
      <c r="B107" s="43"/>
      <c r="C107" s="43"/>
      <c r="D107" s="16"/>
      <c r="E107" s="16"/>
      <c r="F107" s="16"/>
      <c r="G107" s="12"/>
      <c r="H107" s="12"/>
      <c r="I107" s="12"/>
      <c r="J107" s="12"/>
      <c r="K107" s="12"/>
      <c r="L107" s="12"/>
      <c r="M107" s="12"/>
      <c r="N107" s="22"/>
    </row>
    <row r="108" spans="1:14" ht="15.75" customHeight="1" x14ac:dyDescent="0.15">
      <c r="A108" s="16"/>
      <c r="B108" s="43"/>
      <c r="C108" s="43"/>
      <c r="D108" s="16"/>
      <c r="E108" s="16"/>
      <c r="F108" s="16"/>
      <c r="G108" s="12"/>
      <c r="H108" s="12"/>
      <c r="I108" s="12"/>
      <c r="J108" s="12"/>
      <c r="K108" s="12"/>
      <c r="L108" s="12"/>
      <c r="M108" s="12"/>
      <c r="N108" s="22"/>
    </row>
    <row r="109" spans="1:14" ht="15.75" customHeight="1" x14ac:dyDescent="0.15">
      <c r="A109" s="16"/>
      <c r="B109" s="43"/>
      <c r="C109" s="43"/>
      <c r="D109" s="16"/>
      <c r="E109" s="16"/>
      <c r="F109" s="16"/>
      <c r="G109" s="12"/>
      <c r="H109" s="12"/>
      <c r="I109" s="12"/>
      <c r="J109" s="12"/>
      <c r="K109" s="12"/>
      <c r="L109" s="12"/>
      <c r="M109" s="12"/>
      <c r="N109" s="22"/>
    </row>
    <row r="110" spans="1:14" ht="15.75" customHeight="1" x14ac:dyDescent="0.15">
      <c r="A110" s="16"/>
      <c r="B110" s="43"/>
      <c r="C110" s="43"/>
      <c r="D110" s="16"/>
      <c r="E110" s="16"/>
      <c r="F110" s="16"/>
      <c r="G110" s="12"/>
      <c r="H110" s="12"/>
      <c r="I110" s="12"/>
      <c r="J110" s="12"/>
      <c r="K110" s="12"/>
      <c r="L110" s="12"/>
      <c r="M110" s="12"/>
      <c r="N110" s="22"/>
    </row>
    <row r="111" spans="1:14" ht="15.75" customHeight="1" x14ac:dyDescent="0.15">
      <c r="A111" s="16"/>
      <c r="B111" s="43"/>
      <c r="C111" s="43"/>
      <c r="D111" s="16"/>
      <c r="E111" s="16"/>
      <c r="F111" s="16"/>
      <c r="G111" s="12"/>
      <c r="H111" s="12"/>
      <c r="I111" s="12"/>
      <c r="J111" s="12"/>
      <c r="K111" s="12"/>
      <c r="L111" s="12"/>
      <c r="M111" s="12"/>
      <c r="N111" s="22"/>
    </row>
    <row r="112" spans="1:14" ht="15.75" customHeight="1" x14ac:dyDescent="0.15">
      <c r="A112" s="16"/>
      <c r="B112" s="43"/>
      <c r="C112" s="43"/>
      <c r="D112" s="16"/>
      <c r="E112" s="16"/>
      <c r="F112" s="16"/>
      <c r="G112" s="12"/>
      <c r="H112" s="12"/>
      <c r="I112" s="12"/>
      <c r="J112" s="12"/>
      <c r="K112" s="12"/>
      <c r="L112" s="12"/>
      <c r="M112" s="12"/>
      <c r="N112" s="22"/>
    </row>
    <row r="113" spans="1:14" ht="15.75" customHeight="1" x14ac:dyDescent="0.15">
      <c r="A113" s="16"/>
      <c r="B113" s="43"/>
      <c r="C113" s="43"/>
      <c r="D113" s="16"/>
      <c r="E113" s="16"/>
      <c r="F113" s="16"/>
      <c r="G113" s="12"/>
      <c r="H113" s="12"/>
      <c r="I113" s="12"/>
      <c r="J113" s="12"/>
      <c r="K113" s="12"/>
      <c r="L113" s="12"/>
      <c r="M113" s="12"/>
      <c r="N113" s="22"/>
    </row>
    <row r="114" spans="1:14" ht="15.75" customHeight="1" x14ac:dyDescent="0.15">
      <c r="A114" s="16"/>
      <c r="B114" s="43"/>
      <c r="C114" s="43"/>
      <c r="D114" s="16"/>
      <c r="E114" s="16"/>
      <c r="F114" s="16"/>
      <c r="G114" s="12"/>
      <c r="H114" s="12"/>
      <c r="I114" s="12"/>
      <c r="J114" s="12"/>
      <c r="K114" s="12"/>
      <c r="L114" s="12"/>
      <c r="M114" s="12"/>
      <c r="N114" s="22"/>
    </row>
    <row r="115" spans="1:14" ht="15.75" customHeight="1" x14ac:dyDescent="0.15">
      <c r="A115" s="16"/>
      <c r="B115" s="43"/>
      <c r="C115" s="43"/>
      <c r="D115" s="16"/>
      <c r="E115" s="16"/>
      <c r="F115" s="16"/>
      <c r="G115" s="12"/>
      <c r="H115" s="12"/>
      <c r="I115" s="12"/>
      <c r="J115" s="12"/>
      <c r="K115" s="12"/>
      <c r="L115" s="12"/>
      <c r="M115" s="12"/>
      <c r="N115" s="22"/>
    </row>
    <row r="116" spans="1:14" ht="15.75" customHeight="1" x14ac:dyDescent="0.15">
      <c r="A116" s="16"/>
      <c r="B116" s="43"/>
      <c r="C116" s="43"/>
      <c r="D116" s="16"/>
      <c r="E116" s="16"/>
      <c r="F116" s="16"/>
      <c r="G116" s="12"/>
      <c r="H116" s="12"/>
      <c r="I116" s="12"/>
      <c r="J116" s="12"/>
      <c r="K116" s="12"/>
      <c r="L116" s="12"/>
      <c r="M116" s="12"/>
      <c r="N116" s="22"/>
    </row>
    <row r="117" spans="1:14" ht="15.75" customHeight="1" x14ac:dyDescent="0.15">
      <c r="A117" s="16"/>
      <c r="B117" s="43"/>
      <c r="C117" s="43"/>
      <c r="D117" s="16"/>
      <c r="E117" s="16"/>
      <c r="F117" s="16"/>
      <c r="G117" s="12"/>
      <c r="H117" s="12"/>
      <c r="I117" s="12"/>
      <c r="J117" s="12"/>
      <c r="K117" s="12"/>
      <c r="L117" s="12"/>
      <c r="M117" s="12"/>
      <c r="N117" s="22"/>
    </row>
    <row r="118" spans="1:14" ht="15.75" customHeight="1" x14ac:dyDescent="0.15">
      <c r="A118" s="16"/>
      <c r="B118" s="43"/>
      <c r="C118" s="43"/>
      <c r="D118" s="16"/>
      <c r="E118" s="16"/>
      <c r="F118" s="16"/>
      <c r="G118" s="12"/>
      <c r="H118" s="12"/>
      <c r="I118" s="12"/>
      <c r="J118" s="12"/>
      <c r="K118" s="12"/>
      <c r="L118" s="12"/>
      <c r="M118" s="12"/>
      <c r="N118" s="22"/>
    </row>
    <row r="119" spans="1:14" ht="15.75" customHeight="1" x14ac:dyDescent="0.15">
      <c r="A119" s="16"/>
      <c r="B119" s="43"/>
      <c r="C119" s="43"/>
      <c r="D119" s="16"/>
      <c r="E119" s="16"/>
      <c r="F119" s="16"/>
      <c r="G119" s="12"/>
      <c r="H119" s="12"/>
      <c r="I119" s="12"/>
      <c r="J119" s="12"/>
      <c r="K119" s="12"/>
      <c r="L119" s="12"/>
      <c r="M119" s="12"/>
      <c r="N119" s="22"/>
    </row>
    <row r="120" spans="1:14" ht="15.75" customHeight="1" x14ac:dyDescent="0.15">
      <c r="A120" s="16"/>
      <c r="B120" s="43"/>
      <c r="C120" s="43"/>
      <c r="D120" s="16"/>
      <c r="E120" s="16"/>
      <c r="F120" s="16"/>
      <c r="G120" s="12"/>
      <c r="H120" s="12"/>
      <c r="I120" s="12"/>
      <c r="J120" s="12"/>
      <c r="K120" s="12"/>
      <c r="L120" s="12"/>
      <c r="M120" s="12"/>
      <c r="N120" s="22"/>
    </row>
    <row r="121" spans="1:14" ht="15.75" customHeight="1" x14ac:dyDescent="0.15">
      <c r="A121" s="16"/>
      <c r="B121" s="43"/>
      <c r="C121" s="43"/>
      <c r="D121" s="16"/>
      <c r="E121" s="16"/>
      <c r="F121" s="16"/>
      <c r="G121" s="12"/>
      <c r="H121" s="12"/>
      <c r="I121" s="12"/>
      <c r="J121" s="12"/>
      <c r="K121" s="12"/>
      <c r="L121" s="12"/>
      <c r="M121" s="12"/>
      <c r="N121" s="22"/>
    </row>
    <row r="122" spans="1:14" ht="15.75" customHeight="1" x14ac:dyDescent="0.15">
      <c r="A122" s="16"/>
      <c r="B122" s="43"/>
      <c r="C122" s="43"/>
      <c r="D122" s="16"/>
      <c r="E122" s="16"/>
      <c r="F122" s="16"/>
      <c r="G122" s="12"/>
      <c r="H122" s="12"/>
      <c r="I122" s="12"/>
      <c r="J122" s="12"/>
      <c r="K122" s="12"/>
      <c r="L122" s="12"/>
      <c r="M122" s="12"/>
      <c r="N122" s="22"/>
    </row>
    <row r="123" spans="1:14" ht="15.75" customHeight="1" x14ac:dyDescent="0.15">
      <c r="A123" s="16"/>
      <c r="B123" s="43"/>
      <c r="C123" s="43"/>
      <c r="D123" s="16"/>
      <c r="E123" s="16"/>
      <c r="F123" s="16"/>
      <c r="G123" s="12"/>
      <c r="H123" s="12"/>
      <c r="I123" s="12"/>
      <c r="J123" s="12"/>
      <c r="K123" s="12"/>
      <c r="L123" s="12"/>
      <c r="M123" s="12"/>
      <c r="N123" s="22"/>
    </row>
    <row r="124" spans="1:14" ht="15.75" customHeight="1" x14ac:dyDescent="0.15">
      <c r="A124" s="16"/>
      <c r="B124" s="43"/>
      <c r="C124" s="43"/>
      <c r="D124" s="16"/>
      <c r="E124" s="16"/>
      <c r="F124" s="16"/>
      <c r="G124" s="12"/>
      <c r="H124" s="12"/>
      <c r="I124" s="12"/>
      <c r="J124" s="12"/>
      <c r="K124" s="12"/>
      <c r="L124" s="12"/>
      <c r="M124" s="12"/>
      <c r="N124" s="22"/>
    </row>
    <row r="125" spans="1:14" ht="15.75" customHeight="1" x14ac:dyDescent="0.15">
      <c r="A125" s="16"/>
      <c r="B125" s="43"/>
      <c r="C125" s="43"/>
      <c r="D125" s="16"/>
      <c r="E125" s="16"/>
      <c r="F125" s="16"/>
      <c r="G125" s="12"/>
      <c r="H125" s="12"/>
      <c r="I125" s="12"/>
      <c r="J125" s="12"/>
      <c r="K125" s="12"/>
      <c r="L125" s="12"/>
      <c r="M125" s="12"/>
      <c r="N125" s="22"/>
    </row>
    <row r="126" spans="1:14" ht="15.75" customHeight="1" x14ac:dyDescent="0.15">
      <c r="A126" s="16"/>
      <c r="B126" s="43"/>
      <c r="C126" s="43"/>
      <c r="D126" s="16"/>
      <c r="E126" s="16"/>
      <c r="F126" s="16"/>
      <c r="G126" s="12"/>
      <c r="H126" s="12"/>
      <c r="I126" s="12"/>
      <c r="J126" s="12"/>
      <c r="K126" s="12"/>
      <c r="L126" s="12"/>
      <c r="M126" s="12"/>
      <c r="N126" s="22"/>
    </row>
    <row r="127" spans="1:14" ht="15.75" customHeight="1" x14ac:dyDescent="0.15">
      <c r="A127" s="16"/>
      <c r="B127" s="43"/>
      <c r="C127" s="43"/>
      <c r="D127" s="16"/>
      <c r="E127" s="16"/>
      <c r="F127" s="16"/>
      <c r="G127" s="12"/>
      <c r="H127" s="12"/>
      <c r="I127" s="12"/>
      <c r="J127" s="12"/>
      <c r="K127" s="12"/>
      <c r="L127" s="12"/>
      <c r="M127" s="12"/>
      <c r="N127" s="22"/>
    </row>
    <row r="128" spans="1:14" ht="15.75" customHeight="1" x14ac:dyDescent="0.15">
      <c r="A128" s="16"/>
      <c r="B128" s="43"/>
      <c r="C128" s="43"/>
      <c r="D128" s="16"/>
      <c r="E128" s="16"/>
      <c r="F128" s="16"/>
      <c r="G128" s="12"/>
      <c r="H128" s="12"/>
      <c r="I128" s="12"/>
      <c r="J128" s="12"/>
      <c r="K128" s="12"/>
      <c r="L128" s="12"/>
      <c r="M128" s="12"/>
      <c r="N128" s="22"/>
    </row>
    <row r="129" spans="1:14" ht="15.75" customHeight="1" x14ac:dyDescent="0.15">
      <c r="A129" s="16"/>
      <c r="B129" s="43"/>
      <c r="C129" s="43"/>
      <c r="D129" s="16"/>
      <c r="E129" s="16"/>
      <c r="F129" s="16"/>
      <c r="G129" s="12"/>
      <c r="H129" s="12"/>
      <c r="I129" s="12"/>
      <c r="J129" s="12"/>
      <c r="K129" s="12"/>
      <c r="L129" s="12"/>
      <c r="M129" s="12"/>
      <c r="N129" s="22"/>
    </row>
    <row r="130" spans="1:14" ht="15.75" customHeight="1" x14ac:dyDescent="0.15">
      <c r="A130" s="16"/>
      <c r="B130" s="43"/>
      <c r="C130" s="43"/>
      <c r="D130" s="16"/>
      <c r="E130" s="16"/>
      <c r="F130" s="16"/>
      <c r="G130" s="12"/>
      <c r="H130" s="12"/>
      <c r="I130" s="12"/>
      <c r="J130" s="12"/>
      <c r="K130" s="12"/>
      <c r="L130" s="12"/>
      <c r="M130" s="12"/>
      <c r="N130" s="22"/>
    </row>
    <row r="131" spans="1:14" ht="15.75" customHeight="1" x14ac:dyDescent="0.15">
      <c r="A131" s="16"/>
      <c r="B131" s="43"/>
      <c r="C131" s="43"/>
      <c r="D131" s="16"/>
      <c r="E131" s="16"/>
      <c r="F131" s="16"/>
      <c r="G131" s="12"/>
      <c r="H131" s="12"/>
      <c r="I131" s="12"/>
      <c r="J131" s="12"/>
      <c r="K131" s="12"/>
      <c r="L131" s="12"/>
      <c r="M131" s="12"/>
      <c r="N131" s="22"/>
    </row>
    <row r="132" spans="1:14" ht="15.75" customHeight="1" x14ac:dyDescent="0.15">
      <c r="A132" s="16"/>
      <c r="B132" s="43"/>
      <c r="C132" s="43"/>
      <c r="D132" s="16"/>
      <c r="E132" s="16"/>
      <c r="F132" s="16"/>
      <c r="G132" s="12"/>
      <c r="H132" s="12"/>
      <c r="I132" s="12"/>
      <c r="J132" s="12"/>
      <c r="K132" s="12"/>
      <c r="L132" s="12"/>
      <c r="M132" s="12"/>
      <c r="N132" s="22"/>
    </row>
    <row r="133" spans="1:14" ht="15.75" customHeight="1" x14ac:dyDescent="0.15">
      <c r="A133" s="16"/>
      <c r="B133" s="43"/>
      <c r="C133" s="43"/>
      <c r="D133" s="16"/>
      <c r="E133" s="16"/>
      <c r="F133" s="16"/>
      <c r="G133" s="12"/>
      <c r="H133" s="12"/>
      <c r="I133" s="12"/>
      <c r="J133" s="12"/>
      <c r="K133" s="12"/>
      <c r="L133" s="12"/>
      <c r="M133" s="12"/>
      <c r="N133" s="22"/>
    </row>
    <row r="134" spans="1:14" ht="15.75" customHeight="1" x14ac:dyDescent="0.15">
      <c r="A134" s="16"/>
      <c r="B134" s="43"/>
      <c r="C134" s="43"/>
      <c r="D134" s="16"/>
      <c r="E134" s="16"/>
      <c r="F134" s="16"/>
      <c r="G134" s="12"/>
      <c r="H134" s="12"/>
      <c r="I134" s="12"/>
      <c r="J134" s="12"/>
      <c r="K134" s="12"/>
      <c r="L134" s="12"/>
      <c r="M134" s="12"/>
      <c r="N134" s="22"/>
    </row>
    <row r="135" spans="1:14" ht="15.75" customHeight="1" x14ac:dyDescent="0.15">
      <c r="A135" s="16"/>
      <c r="B135" s="43"/>
      <c r="C135" s="43"/>
      <c r="D135" s="16"/>
      <c r="E135" s="16"/>
      <c r="F135" s="16"/>
      <c r="G135" s="12"/>
      <c r="H135" s="12"/>
      <c r="I135" s="12"/>
      <c r="J135" s="12"/>
      <c r="K135" s="12"/>
      <c r="L135" s="12"/>
      <c r="M135" s="12"/>
      <c r="N135" s="22"/>
    </row>
    <row r="136" spans="1:14" ht="15.75" customHeight="1" x14ac:dyDescent="0.15">
      <c r="A136" s="16"/>
      <c r="B136" s="43"/>
      <c r="C136" s="43"/>
      <c r="D136" s="16"/>
      <c r="E136" s="16"/>
      <c r="F136" s="16"/>
      <c r="G136" s="12"/>
      <c r="H136" s="12"/>
      <c r="I136" s="12"/>
      <c r="J136" s="12"/>
      <c r="K136" s="12"/>
      <c r="L136" s="12"/>
      <c r="M136" s="12"/>
      <c r="N136" s="22"/>
    </row>
    <row r="137" spans="1:14" ht="15.75" customHeight="1" x14ac:dyDescent="0.15">
      <c r="A137" s="16"/>
      <c r="B137" s="43"/>
      <c r="C137" s="43"/>
      <c r="D137" s="16"/>
      <c r="E137" s="16"/>
      <c r="F137" s="16"/>
      <c r="G137" s="12"/>
      <c r="H137" s="12"/>
      <c r="I137" s="12"/>
      <c r="J137" s="12"/>
      <c r="K137" s="12"/>
      <c r="L137" s="12"/>
      <c r="M137" s="12"/>
      <c r="N137" s="22"/>
    </row>
    <row r="138" spans="1:14" ht="15.75" customHeight="1" x14ac:dyDescent="0.15">
      <c r="A138" s="16"/>
      <c r="B138" s="43"/>
      <c r="C138" s="43"/>
      <c r="D138" s="16"/>
      <c r="E138" s="16"/>
      <c r="F138" s="16"/>
      <c r="G138" s="12"/>
      <c r="H138" s="12"/>
      <c r="I138" s="12"/>
      <c r="J138" s="12"/>
      <c r="K138" s="12"/>
      <c r="L138" s="12"/>
      <c r="M138" s="12"/>
      <c r="N138" s="22"/>
    </row>
    <row r="139" spans="1:14" ht="15.75" customHeight="1" x14ac:dyDescent="0.15">
      <c r="A139" s="16"/>
      <c r="B139" s="43"/>
      <c r="C139" s="43"/>
      <c r="D139" s="16"/>
      <c r="E139" s="16"/>
      <c r="F139" s="16"/>
      <c r="G139" s="12"/>
      <c r="H139" s="12"/>
      <c r="I139" s="12"/>
      <c r="J139" s="12"/>
      <c r="K139" s="12"/>
      <c r="L139" s="12"/>
      <c r="M139" s="12"/>
      <c r="N139" s="22"/>
    </row>
    <row r="140" spans="1:14" ht="15.75" customHeight="1" x14ac:dyDescent="0.15">
      <c r="A140" s="16"/>
      <c r="B140" s="43"/>
      <c r="C140" s="43"/>
      <c r="D140" s="16"/>
      <c r="E140" s="16"/>
      <c r="F140" s="16"/>
      <c r="G140" s="12"/>
      <c r="H140" s="12"/>
      <c r="I140" s="12"/>
      <c r="J140" s="12"/>
      <c r="K140" s="12"/>
      <c r="L140" s="12"/>
      <c r="M140" s="12"/>
      <c r="N140" s="22"/>
    </row>
    <row r="141" spans="1:14" ht="15.75" customHeight="1" x14ac:dyDescent="0.15">
      <c r="A141" s="16"/>
      <c r="B141" s="43"/>
      <c r="C141" s="43"/>
      <c r="D141" s="16"/>
      <c r="E141" s="16"/>
      <c r="F141" s="16"/>
      <c r="G141" s="12"/>
      <c r="H141" s="12"/>
      <c r="I141" s="12"/>
      <c r="J141" s="12"/>
      <c r="K141" s="12"/>
      <c r="L141" s="12"/>
      <c r="M141" s="12"/>
      <c r="N141" s="22"/>
    </row>
    <row r="142" spans="1:14" ht="15.75" customHeight="1" x14ac:dyDescent="0.15">
      <c r="A142" s="16"/>
      <c r="B142" s="43"/>
      <c r="C142" s="43"/>
      <c r="D142" s="16"/>
      <c r="E142" s="16"/>
      <c r="F142" s="16"/>
      <c r="G142" s="12"/>
      <c r="H142" s="12"/>
      <c r="I142" s="12"/>
      <c r="J142" s="12"/>
      <c r="K142" s="12"/>
      <c r="L142" s="12"/>
      <c r="M142" s="12"/>
      <c r="N142" s="22"/>
    </row>
    <row r="143" spans="1:14" ht="15.75" customHeight="1" x14ac:dyDescent="0.15">
      <c r="A143" s="16"/>
      <c r="B143" s="43"/>
      <c r="C143" s="43"/>
      <c r="D143" s="16"/>
      <c r="E143" s="16"/>
      <c r="F143" s="16"/>
      <c r="G143" s="12"/>
      <c r="H143" s="12"/>
      <c r="I143" s="12"/>
      <c r="J143" s="12"/>
      <c r="K143" s="12"/>
      <c r="L143" s="12"/>
      <c r="M143" s="12"/>
      <c r="N143" s="22"/>
    </row>
    <row r="144" spans="1:14" ht="15.75" customHeight="1" x14ac:dyDescent="0.15">
      <c r="A144" s="16"/>
      <c r="B144" s="43"/>
      <c r="C144" s="43"/>
      <c r="D144" s="16"/>
      <c r="E144" s="16"/>
      <c r="F144" s="16"/>
      <c r="G144" s="12"/>
      <c r="H144" s="12"/>
      <c r="I144" s="12"/>
      <c r="J144" s="12"/>
      <c r="K144" s="12"/>
      <c r="L144" s="12"/>
      <c r="M144" s="12"/>
      <c r="N144" s="22"/>
    </row>
    <row r="145" spans="1:14" ht="15.75" customHeight="1" x14ac:dyDescent="0.15">
      <c r="A145" s="16"/>
      <c r="B145" s="43"/>
      <c r="C145" s="43"/>
      <c r="D145" s="16"/>
      <c r="E145" s="16"/>
      <c r="F145" s="16"/>
      <c r="G145" s="12"/>
      <c r="H145" s="12"/>
      <c r="I145" s="12"/>
      <c r="J145" s="12"/>
      <c r="K145" s="12"/>
      <c r="L145" s="12"/>
      <c r="M145" s="12"/>
      <c r="N145" s="22"/>
    </row>
    <row r="146" spans="1:14" ht="15.75" customHeight="1" x14ac:dyDescent="0.15">
      <c r="A146" s="16"/>
      <c r="B146" s="43"/>
      <c r="C146" s="43"/>
      <c r="D146" s="16"/>
      <c r="E146" s="16"/>
      <c r="F146" s="16"/>
      <c r="G146" s="12"/>
      <c r="H146" s="12"/>
      <c r="I146" s="12"/>
      <c r="J146" s="12"/>
      <c r="K146" s="12"/>
      <c r="L146" s="12"/>
      <c r="M146" s="12"/>
      <c r="N146" s="22"/>
    </row>
    <row r="147" spans="1:14" ht="15.75" customHeight="1" x14ac:dyDescent="0.15">
      <c r="A147" s="16"/>
      <c r="B147" s="43"/>
      <c r="C147" s="43"/>
      <c r="D147" s="16"/>
      <c r="E147" s="16"/>
      <c r="F147" s="16"/>
      <c r="G147" s="12"/>
      <c r="H147" s="12"/>
      <c r="I147" s="12"/>
      <c r="J147" s="12"/>
      <c r="K147" s="12"/>
      <c r="L147" s="12"/>
      <c r="M147" s="12"/>
      <c r="N147" s="22"/>
    </row>
    <row r="148" spans="1:14" ht="15.75" customHeight="1" x14ac:dyDescent="0.15">
      <c r="A148" s="16"/>
      <c r="B148" s="43"/>
      <c r="C148" s="43"/>
      <c r="D148" s="16"/>
      <c r="E148" s="16"/>
      <c r="F148" s="16"/>
      <c r="G148" s="12"/>
      <c r="H148" s="12"/>
      <c r="I148" s="12"/>
      <c r="J148" s="12"/>
      <c r="K148" s="12"/>
      <c r="L148" s="12"/>
      <c r="M148" s="12"/>
      <c r="N148" s="22"/>
    </row>
    <row r="149" spans="1:14" ht="15.75" customHeight="1" x14ac:dyDescent="0.15">
      <c r="A149" s="16"/>
      <c r="B149" s="43"/>
      <c r="C149" s="43"/>
      <c r="D149" s="16"/>
      <c r="E149" s="16"/>
      <c r="F149" s="16"/>
      <c r="G149" s="12"/>
      <c r="H149" s="12"/>
      <c r="I149" s="12"/>
      <c r="J149" s="12"/>
      <c r="K149" s="12"/>
      <c r="L149" s="12"/>
      <c r="M149" s="12"/>
      <c r="N149" s="22"/>
    </row>
    <row r="150" spans="1:14" ht="15.75" customHeight="1" x14ac:dyDescent="0.15">
      <c r="A150" s="16"/>
      <c r="B150" s="43"/>
      <c r="C150" s="43"/>
      <c r="D150" s="16"/>
      <c r="E150" s="16"/>
      <c r="F150" s="16"/>
      <c r="G150" s="12"/>
      <c r="H150" s="12"/>
      <c r="I150" s="12"/>
      <c r="J150" s="12"/>
      <c r="K150" s="12"/>
      <c r="L150" s="12"/>
      <c r="M150" s="12"/>
      <c r="N150" s="22"/>
    </row>
    <row r="151" spans="1:14" ht="15.75" customHeight="1" x14ac:dyDescent="0.15">
      <c r="A151" s="16"/>
      <c r="B151" s="43"/>
      <c r="C151" s="43"/>
      <c r="D151" s="16"/>
      <c r="E151" s="16"/>
      <c r="F151" s="16"/>
      <c r="G151" s="12"/>
      <c r="H151" s="12"/>
      <c r="I151" s="12"/>
      <c r="J151" s="12"/>
      <c r="K151" s="12"/>
      <c r="L151" s="12"/>
      <c r="M151" s="12"/>
      <c r="N151" s="22"/>
    </row>
    <row r="152" spans="1:14" ht="15.75" customHeight="1" x14ac:dyDescent="0.15">
      <c r="A152" s="16"/>
      <c r="B152" s="43"/>
      <c r="C152" s="43"/>
      <c r="D152" s="16"/>
      <c r="E152" s="16"/>
      <c r="F152" s="16"/>
      <c r="G152" s="12"/>
      <c r="H152" s="12"/>
      <c r="I152" s="12"/>
      <c r="J152" s="12"/>
      <c r="K152" s="12"/>
      <c r="L152" s="12"/>
      <c r="M152" s="12"/>
      <c r="N152" s="22"/>
    </row>
    <row r="153" spans="1:14" ht="15.75" customHeight="1" x14ac:dyDescent="0.15">
      <c r="A153" s="16"/>
      <c r="B153" s="43"/>
      <c r="C153" s="43"/>
      <c r="D153" s="16"/>
      <c r="E153" s="16"/>
      <c r="F153" s="16"/>
      <c r="G153" s="12"/>
      <c r="H153" s="12"/>
      <c r="I153" s="12"/>
      <c r="J153" s="12"/>
      <c r="K153" s="12"/>
      <c r="L153" s="12"/>
      <c r="M153" s="12"/>
      <c r="N153" s="22"/>
    </row>
    <row r="154" spans="1:14" ht="15.75" customHeight="1" x14ac:dyDescent="0.15">
      <c r="A154" s="16"/>
      <c r="B154" s="43"/>
      <c r="C154" s="43"/>
      <c r="D154" s="16"/>
      <c r="E154" s="16"/>
      <c r="F154" s="16"/>
      <c r="G154" s="12"/>
      <c r="H154" s="12"/>
      <c r="I154" s="12"/>
      <c r="J154" s="12"/>
      <c r="K154" s="12"/>
      <c r="L154" s="12"/>
      <c r="M154" s="12"/>
      <c r="N154" s="22"/>
    </row>
    <row r="155" spans="1:14" ht="15.75" customHeight="1" x14ac:dyDescent="0.15">
      <c r="A155" s="16"/>
      <c r="B155" s="43"/>
      <c r="C155" s="43"/>
      <c r="D155" s="16"/>
      <c r="E155" s="16"/>
      <c r="F155" s="16"/>
      <c r="G155" s="12"/>
      <c r="H155" s="12"/>
      <c r="I155" s="12"/>
      <c r="J155" s="12"/>
      <c r="K155" s="12"/>
      <c r="L155" s="12"/>
      <c r="M155" s="12"/>
      <c r="N155" s="22"/>
    </row>
    <row r="156" spans="1:14" ht="15.75" customHeight="1" x14ac:dyDescent="0.15">
      <c r="A156" s="16"/>
      <c r="B156" s="43"/>
      <c r="C156" s="43"/>
      <c r="D156" s="16"/>
      <c r="E156" s="16"/>
      <c r="F156" s="16"/>
      <c r="G156" s="12"/>
      <c r="H156" s="12"/>
      <c r="I156" s="12"/>
      <c r="J156" s="12"/>
      <c r="K156" s="12"/>
      <c r="L156" s="12"/>
      <c r="M156" s="12"/>
      <c r="N156" s="22"/>
    </row>
    <row r="157" spans="1:14" ht="15.75" customHeight="1" x14ac:dyDescent="0.15">
      <c r="A157" s="16"/>
      <c r="B157" s="43"/>
      <c r="C157" s="43"/>
      <c r="D157" s="16"/>
      <c r="E157" s="16"/>
      <c r="F157" s="16"/>
      <c r="G157" s="12"/>
      <c r="H157" s="12"/>
      <c r="I157" s="12"/>
      <c r="J157" s="12"/>
      <c r="K157" s="12"/>
      <c r="L157" s="12"/>
      <c r="M157" s="12"/>
      <c r="N157" s="22"/>
    </row>
    <row r="158" spans="1:14" ht="15.75" customHeight="1" x14ac:dyDescent="0.15">
      <c r="A158" s="16"/>
      <c r="B158" s="43"/>
      <c r="C158" s="43"/>
      <c r="D158" s="16"/>
      <c r="E158" s="16"/>
      <c r="F158" s="16"/>
      <c r="G158" s="12"/>
      <c r="H158" s="12"/>
      <c r="I158" s="12"/>
      <c r="J158" s="12"/>
      <c r="K158" s="12"/>
      <c r="L158" s="12"/>
      <c r="M158" s="12"/>
      <c r="N158" s="22"/>
    </row>
    <row r="159" spans="1:14" ht="15.75" customHeight="1" x14ac:dyDescent="0.15">
      <c r="A159" s="16"/>
      <c r="B159" s="43"/>
      <c r="C159" s="43"/>
      <c r="D159" s="16"/>
      <c r="E159" s="16"/>
      <c r="F159" s="16"/>
      <c r="G159" s="12"/>
      <c r="H159" s="12"/>
      <c r="I159" s="12"/>
      <c r="J159" s="12"/>
      <c r="K159" s="12"/>
      <c r="L159" s="12"/>
      <c r="M159" s="12"/>
      <c r="N159" s="22"/>
    </row>
    <row r="160" spans="1:14" ht="15.75" customHeight="1" x14ac:dyDescent="0.15">
      <c r="A160" s="16"/>
      <c r="B160" s="43"/>
      <c r="C160" s="43"/>
      <c r="D160" s="16"/>
      <c r="E160" s="16"/>
      <c r="F160" s="16"/>
      <c r="G160" s="12"/>
      <c r="H160" s="12"/>
      <c r="I160" s="12"/>
      <c r="J160" s="12"/>
      <c r="K160" s="12"/>
      <c r="L160" s="12"/>
      <c r="M160" s="12"/>
      <c r="N160" s="22"/>
    </row>
    <row r="161" spans="1:14" ht="15.75" customHeight="1" x14ac:dyDescent="0.15">
      <c r="A161" s="16"/>
      <c r="B161" s="43"/>
      <c r="C161" s="43"/>
      <c r="D161" s="16"/>
      <c r="E161" s="16"/>
      <c r="F161" s="16"/>
      <c r="G161" s="12"/>
      <c r="H161" s="12"/>
      <c r="I161" s="12"/>
      <c r="J161" s="12"/>
      <c r="K161" s="12"/>
      <c r="L161" s="12"/>
      <c r="M161" s="12"/>
      <c r="N161" s="22"/>
    </row>
    <row r="162" spans="1:14" ht="15.75" customHeight="1" x14ac:dyDescent="0.15">
      <c r="A162" s="16"/>
      <c r="B162" s="43"/>
      <c r="C162" s="43"/>
      <c r="D162" s="16"/>
      <c r="E162" s="16"/>
      <c r="F162" s="16"/>
      <c r="G162" s="12"/>
      <c r="H162" s="12"/>
      <c r="I162" s="12"/>
      <c r="J162" s="12"/>
      <c r="K162" s="12"/>
      <c r="L162" s="12"/>
      <c r="M162" s="12"/>
      <c r="N162" s="22"/>
    </row>
    <row r="163" spans="1:14" ht="15.75" customHeight="1" x14ac:dyDescent="0.15">
      <c r="A163" s="16"/>
      <c r="B163" s="43"/>
      <c r="C163" s="43"/>
      <c r="D163" s="16"/>
      <c r="E163" s="16"/>
      <c r="F163" s="16"/>
      <c r="G163" s="12"/>
      <c r="H163" s="12"/>
      <c r="I163" s="12"/>
      <c r="J163" s="12"/>
      <c r="K163" s="12"/>
      <c r="L163" s="12"/>
      <c r="M163" s="12"/>
      <c r="N163" s="22"/>
    </row>
    <row r="164" spans="1:14" ht="15.75" customHeight="1" x14ac:dyDescent="0.15">
      <c r="A164" s="16"/>
      <c r="B164" s="43"/>
      <c r="C164" s="43"/>
      <c r="D164" s="16"/>
      <c r="E164" s="16"/>
      <c r="F164" s="16"/>
      <c r="G164" s="12"/>
      <c r="H164" s="12"/>
      <c r="I164" s="12"/>
      <c r="J164" s="12"/>
      <c r="K164" s="12"/>
      <c r="L164" s="12"/>
      <c r="M164" s="12"/>
      <c r="N164" s="22"/>
    </row>
    <row r="165" spans="1:14" ht="15.75" customHeight="1" x14ac:dyDescent="0.15">
      <c r="A165" s="16"/>
      <c r="B165" s="43"/>
      <c r="C165" s="43"/>
      <c r="D165" s="16"/>
      <c r="E165" s="16"/>
      <c r="F165" s="16"/>
      <c r="G165" s="12"/>
      <c r="H165" s="12"/>
      <c r="I165" s="12"/>
      <c r="J165" s="12"/>
      <c r="K165" s="12"/>
      <c r="L165" s="12"/>
      <c r="M165" s="12"/>
      <c r="N165" s="22"/>
    </row>
    <row r="166" spans="1:14" ht="15.75" customHeight="1" x14ac:dyDescent="0.15">
      <c r="A166" s="16"/>
      <c r="B166" s="43"/>
      <c r="C166" s="43"/>
      <c r="D166" s="16"/>
      <c r="E166" s="16"/>
      <c r="F166" s="16"/>
      <c r="G166" s="12"/>
      <c r="H166" s="12"/>
      <c r="I166" s="12"/>
      <c r="J166" s="12"/>
      <c r="K166" s="12"/>
      <c r="L166" s="12"/>
      <c r="M166" s="12"/>
      <c r="N166" s="22"/>
    </row>
    <row r="167" spans="1:14" ht="15.75" customHeight="1" x14ac:dyDescent="0.15">
      <c r="A167" s="16"/>
      <c r="B167" s="43"/>
      <c r="C167" s="43"/>
      <c r="D167" s="16"/>
      <c r="E167" s="16"/>
      <c r="F167" s="16"/>
      <c r="G167" s="12"/>
      <c r="H167" s="12"/>
      <c r="I167" s="12"/>
      <c r="J167" s="12"/>
      <c r="K167" s="12"/>
      <c r="L167" s="12"/>
      <c r="M167" s="12"/>
      <c r="N167" s="22"/>
    </row>
    <row r="168" spans="1:14" ht="15.75" customHeight="1" x14ac:dyDescent="0.15">
      <c r="A168" s="16"/>
      <c r="B168" s="43"/>
      <c r="C168" s="43"/>
      <c r="D168" s="16"/>
      <c r="E168" s="16"/>
      <c r="F168" s="16"/>
      <c r="G168" s="12"/>
      <c r="H168" s="12"/>
      <c r="I168" s="12"/>
      <c r="J168" s="12"/>
      <c r="K168" s="12"/>
      <c r="L168" s="12"/>
      <c r="M168" s="12"/>
      <c r="N168" s="22"/>
    </row>
    <row r="169" spans="1:14" ht="15.75" customHeight="1" x14ac:dyDescent="0.15">
      <c r="A169" s="16"/>
      <c r="B169" s="43"/>
      <c r="C169" s="43"/>
      <c r="D169" s="16"/>
      <c r="E169" s="16"/>
      <c r="F169" s="16"/>
      <c r="G169" s="12"/>
      <c r="H169" s="12"/>
      <c r="I169" s="12"/>
      <c r="J169" s="12"/>
      <c r="K169" s="12"/>
      <c r="L169" s="12"/>
      <c r="M169" s="12"/>
      <c r="N169" s="22"/>
    </row>
    <row r="170" spans="1:14" ht="15.75" customHeight="1" x14ac:dyDescent="0.15">
      <c r="A170" s="16"/>
      <c r="B170" s="43"/>
      <c r="C170" s="43"/>
      <c r="D170" s="16"/>
      <c r="E170" s="16"/>
      <c r="F170" s="16"/>
      <c r="G170" s="12"/>
      <c r="H170" s="12"/>
      <c r="I170" s="12"/>
      <c r="J170" s="12"/>
      <c r="K170" s="12"/>
      <c r="L170" s="12"/>
      <c r="M170" s="12"/>
      <c r="N170" s="22"/>
    </row>
    <row r="171" spans="1:14" ht="15.75" customHeight="1" x14ac:dyDescent="0.15">
      <c r="A171" s="16"/>
      <c r="B171" s="43"/>
      <c r="C171" s="43"/>
      <c r="D171" s="16"/>
      <c r="E171" s="16"/>
      <c r="F171" s="16"/>
      <c r="G171" s="12"/>
      <c r="H171" s="12"/>
      <c r="I171" s="12"/>
      <c r="J171" s="12"/>
      <c r="K171" s="12"/>
      <c r="L171" s="12"/>
      <c r="M171" s="12"/>
      <c r="N171" s="22"/>
    </row>
    <row r="172" spans="1:14" ht="15.75" customHeight="1" x14ac:dyDescent="0.15">
      <c r="A172" s="16"/>
      <c r="B172" s="43"/>
      <c r="C172" s="43"/>
      <c r="D172" s="16"/>
      <c r="E172" s="16"/>
      <c r="F172" s="16"/>
      <c r="G172" s="12"/>
      <c r="H172" s="12"/>
      <c r="I172" s="12"/>
      <c r="J172" s="12"/>
      <c r="K172" s="12"/>
      <c r="L172" s="12"/>
      <c r="M172" s="12"/>
      <c r="N172" s="22"/>
    </row>
    <row r="173" spans="1:14" ht="15.75" customHeight="1" x14ac:dyDescent="0.15">
      <c r="A173" s="16"/>
      <c r="B173" s="43"/>
      <c r="C173" s="43"/>
      <c r="D173" s="16"/>
      <c r="E173" s="16"/>
      <c r="F173" s="16"/>
      <c r="G173" s="12"/>
      <c r="H173" s="12"/>
      <c r="I173" s="12"/>
      <c r="J173" s="12"/>
      <c r="K173" s="12"/>
      <c r="L173" s="12"/>
      <c r="M173" s="12"/>
      <c r="N173" s="22"/>
    </row>
    <row r="174" spans="1:14" ht="15.75" customHeight="1" x14ac:dyDescent="0.15">
      <c r="A174" s="16"/>
      <c r="B174" s="43"/>
      <c r="C174" s="43"/>
      <c r="D174" s="16"/>
      <c r="E174" s="16"/>
      <c r="F174" s="16"/>
      <c r="G174" s="12"/>
      <c r="H174" s="12"/>
      <c r="I174" s="12"/>
      <c r="J174" s="12"/>
      <c r="K174" s="12"/>
      <c r="L174" s="12"/>
      <c r="M174" s="12"/>
      <c r="N174" s="22"/>
    </row>
    <row r="175" spans="1:14" ht="15.75" customHeight="1" x14ac:dyDescent="0.15">
      <c r="A175" s="16"/>
      <c r="B175" s="43"/>
      <c r="C175" s="43"/>
      <c r="D175" s="16"/>
      <c r="E175" s="16"/>
      <c r="F175" s="16"/>
      <c r="G175" s="12"/>
      <c r="H175" s="12"/>
      <c r="I175" s="12"/>
      <c r="J175" s="12"/>
      <c r="K175" s="12"/>
      <c r="L175" s="12"/>
      <c r="M175" s="12"/>
      <c r="N175" s="22"/>
    </row>
    <row r="176" spans="1:14" ht="15.75" customHeight="1" x14ac:dyDescent="0.15">
      <c r="A176" s="16"/>
      <c r="B176" s="43"/>
      <c r="C176" s="43"/>
      <c r="D176" s="16"/>
      <c r="E176" s="16"/>
      <c r="F176" s="16"/>
      <c r="G176" s="12"/>
      <c r="H176" s="12"/>
      <c r="I176" s="12"/>
      <c r="J176" s="12"/>
      <c r="K176" s="12"/>
      <c r="L176" s="12"/>
      <c r="M176" s="12"/>
      <c r="N176" s="22"/>
    </row>
    <row r="177" spans="1:14" ht="15.75" customHeight="1" x14ac:dyDescent="0.15">
      <c r="A177" s="16"/>
      <c r="B177" s="43"/>
      <c r="C177" s="43"/>
      <c r="D177" s="16"/>
      <c r="E177" s="16"/>
      <c r="F177" s="16"/>
      <c r="G177" s="12"/>
      <c r="H177" s="12"/>
      <c r="I177" s="12"/>
      <c r="J177" s="12"/>
      <c r="K177" s="12"/>
      <c r="L177" s="12"/>
      <c r="M177" s="12"/>
      <c r="N177" s="22"/>
    </row>
    <row r="178" spans="1:14" ht="15.75" customHeight="1" x14ac:dyDescent="0.15">
      <c r="A178" s="16"/>
      <c r="B178" s="43"/>
      <c r="C178" s="43"/>
      <c r="D178" s="16"/>
      <c r="E178" s="16"/>
      <c r="F178" s="16"/>
      <c r="G178" s="12"/>
      <c r="H178" s="12"/>
      <c r="I178" s="12"/>
      <c r="J178" s="12"/>
      <c r="K178" s="12"/>
      <c r="L178" s="12"/>
      <c r="M178" s="12"/>
      <c r="N178" s="22"/>
    </row>
    <row r="179" spans="1:14" ht="15.75" customHeight="1" x14ac:dyDescent="0.15">
      <c r="A179" s="16"/>
      <c r="B179" s="43"/>
      <c r="C179" s="43"/>
      <c r="D179" s="16"/>
      <c r="E179" s="16"/>
      <c r="F179" s="16"/>
      <c r="G179" s="12"/>
      <c r="H179" s="12"/>
      <c r="I179" s="12"/>
      <c r="J179" s="12"/>
      <c r="K179" s="12"/>
      <c r="L179" s="12"/>
      <c r="M179" s="12"/>
      <c r="N179" s="22"/>
    </row>
    <row r="180" spans="1:14" ht="15.75" customHeight="1" x14ac:dyDescent="0.15">
      <c r="A180" s="16"/>
      <c r="B180" s="43"/>
      <c r="C180" s="43"/>
      <c r="D180" s="16"/>
      <c r="E180" s="16"/>
      <c r="F180" s="16"/>
      <c r="G180" s="12"/>
      <c r="H180" s="12"/>
      <c r="I180" s="12"/>
      <c r="J180" s="12"/>
      <c r="K180" s="12"/>
      <c r="L180" s="12"/>
      <c r="M180" s="12"/>
      <c r="N180" s="22"/>
    </row>
    <row r="181" spans="1:14" ht="15.75" customHeight="1" x14ac:dyDescent="0.15">
      <c r="A181" s="16"/>
      <c r="B181" s="43"/>
      <c r="C181" s="43"/>
      <c r="D181" s="16"/>
      <c r="E181" s="16"/>
      <c r="F181" s="16"/>
      <c r="G181" s="12"/>
      <c r="H181" s="12"/>
      <c r="I181" s="12"/>
      <c r="J181" s="12"/>
      <c r="K181" s="12"/>
      <c r="L181" s="12"/>
      <c r="M181" s="12"/>
      <c r="N181" s="22"/>
    </row>
    <row r="182" spans="1:14" ht="15.75" customHeight="1" x14ac:dyDescent="0.15">
      <c r="A182" s="16"/>
      <c r="B182" s="43"/>
      <c r="C182" s="43"/>
      <c r="D182" s="16"/>
      <c r="E182" s="16"/>
      <c r="F182" s="16"/>
      <c r="G182" s="12"/>
      <c r="H182" s="12"/>
      <c r="I182" s="12"/>
      <c r="J182" s="12"/>
      <c r="K182" s="12"/>
      <c r="L182" s="12"/>
      <c r="M182" s="12"/>
      <c r="N182" s="22"/>
    </row>
    <row r="183" spans="1:14" ht="15.75" customHeight="1" x14ac:dyDescent="0.15">
      <c r="A183" s="16"/>
      <c r="B183" s="43"/>
      <c r="C183" s="43"/>
      <c r="D183" s="16"/>
      <c r="E183" s="16"/>
      <c r="F183" s="16"/>
      <c r="G183" s="12"/>
      <c r="H183" s="12"/>
      <c r="I183" s="12"/>
      <c r="J183" s="12"/>
      <c r="K183" s="12"/>
      <c r="L183" s="12"/>
      <c r="M183" s="12"/>
      <c r="N183" s="22"/>
    </row>
    <row r="184" spans="1:14" ht="15.75" customHeight="1" x14ac:dyDescent="0.15">
      <c r="A184" s="16"/>
      <c r="B184" s="43"/>
      <c r="C184" s="43"/>
      <c r="D184" s="16"/>
      <c r="E184" s="16"/>
      <c r="F184" s="16"/>
      <c r="G184" s="12"/>
      <c r="H184" s="12"/>
      <c r="I184" s="12"/>
      <c r="J184" s="12"/>
      <c r="K184" s="12"/>
      <c r="L184" s="12"/>
      <c r="M184" s="12"/>
      <c r="N184" s="22"/>
    </row>
    <row r="185" spans="1:14" ht="15.75" customHeight="1" x14ac:dyDescent="0.15">
      <c r="A185" s="16"/>
      <c r="B185" s="43"/>
      <c r="C185" s="43"/>
      <c r="D185" s="16"/>
      <c r="E185" s="16"/>
      <c r="F185" s="16"/>
      <c r="G185" s="12"/>
      <c r="H185" s="12"/>
      <c r="I185" s="12"/>
      <c r="J185" s="12"/>
      <c r="K185" s="12"/>
      <c r="L185" s="12"/>
      <c r="M185" s="12"/>
      <c r="N185" s="22"/>
    </row>
    <row r="186" spans="1:14" ht="15.75" customHeight="1" x14ac:dyDescent="0.15">
      <c r="A186" s="16"/>
      <c r="B186" s="43"/>
      <c r="C186" s="43"/>
      <c r="D186" s="16"/>
      <c r="E186" s="16"/>
      <c r="F186" s="16"/>
      <c r="G186" s="12"/>
      <c r="H186" s="12"/>
      <c r="I186" s="12"/>
      <c r="J186" s="12"/>
      <c r="K186" s="12"/>
      <c r="L186" s="12"/>
      <c r="M186" s="12"/>
      <c r="N186" s="22"/>
    </row>
    <row r="187" spans="1:14" ht="15.75" customHeight="1" x14ac:dyDescent="0.15">
      <c r="A187" s="16"/>
      <c r="B187" s="43"/>
      <c r="C187" s="43"/>
      <c r="D187" s="16"/>
      <c r="E187" s="16"/>
      <c r="F187" s="16"/>
      <c r="G187" s="12"/>
      <c r="H187" s="12"/>
      <c r="I187" s="12"/>
      <c r="J187" s="12"/>
      <c r="K187" s="12"/>
      <c r="L187" s="12"/>
      <c r="M187" s="12"/>
      <c r="N187" s="22"/>
    </row>
    <row r="188" spans="1:14" ht="15.75" customHeight="1" x14ac:dyDescent="0.15">
      <c r="A188" s="16"/>
      <c r="B188" s="43"/>
      <c r="C188" s="43"/>
      <c r="D188" s="16"/>
      <c r="E188" s="16"/>
      <c r="F188" s="16"/>
      <c r="G188" s="12"/>
      <c r="H188" s="12"/>
      <c r="I188" s="12"/>
      <c r="J188" s="12"/>
      <c r="K188" s="12"/>
      <c r="L188" s="12"/>
      <c r="M188" s="12"/>
      <c r="N188" s="22"/>
    </row>
    <row r="189" spans="1:14" ht="15.75" customHeight="1" x14ac:dyDescent="0.15">
      <c r="A189" s="16"/>
      <c r="B189" s="43"/>
      <c r="C189" s="43"/>
      <c r="D189" s="16"/>
      <c r="E189" s="16"/>
      <c r="F189" s="16"/>
      <c r="G189" s="12"/>
      <c r="H189" s="12"/>
      <c r="I189" s="12"/>
      <c r="J189" s="12"/>
      <c r="K189" s="12"/>
      <c r="L189" s="12"/>
      <c r="M189" s="12"/>
      <c r="N189" s="22"/>
    </row>
    <row r="190" spans="1:14" ht="15.75" customHeight="1" x14ac:dyDescent="0.15">
      <c r="A190" s="16"/>
      <c r="B190" s="43"/>
      <c r="C190" s="43"/>
      <c r="D190" s="16"/>
      <c r="E190" s="16"/>
      <c r="F190" s="16"/>
      <c r="G190" s="12"/>
      <c r="H190" s="12"/>
      <c r="I190" s="12"/>
      <c r="J190" s="12"/>
      <c r="K190" s="12"/>
      <c r="L190" s="12"/>
      <c r="M190" s="12"/>
      <c r="N190" s="22"/>
    </row>
    <row r="191" spans="1:14" ht="15.75" customHeight="1" x14ac:dyDescent="0.15">
      <c r="A191" s="16"/>
      <c r="B191" s="43"/>
      <c r="C191" s="43"/>
      <c r="D191" s="16"/>
      <c r="E191" s="16"/>
      <c r="F191" s="16"/>
      <c r="G191" s="12"/>
      <c r="H191" s="12"/>
      <c r="I191" s="12"/>
      <c r="J191" s="12"/>
      <c r="K191" s="12"/>
      <c r="L191" s="12"/>
      <c r="M191" s="12"/>
      <c r="N191" s="22"/>
    </row>
    <row r="192" spans="1:14" ht="15.75" customHeight="1" x14ac:dyDescent="0.15">
      <c r="A192" s="16"/>
      <c r="B192" s="43"/>
      <c r="C192" s="43"/>
      <c r="D192" s="16"/>
      <c r="E192" s="16"/>
      <c r="F192" s="16"/>
      <c r="G192" s="12"/>
      <c r="H192" s="12"/>
      <c r="I192" s="12"/>
      <c r="J192" s="12"/>
      <c r="K192" s="12"/>
      <c r="L192" s="12"/>
      <c r="M192" s="12"/>
      <c r="N192" s="22"/>
    </row>
    <row r="193" spans="1:14" ht="15.75" customHeight="1" x14ac:dyDescent="0.15">
      <c r="A193" s="16"/>
      <c r="B193" s="43"/>
      <c r="C193" s="43"/>
      <c r="D193" s="16"/>
      <c r="E193" s="16"/>
      <c r="F193" s="16"/>
      <c r="G193" s="12"/>
      <c r="H193" s="12"/>
      <c r="I193" s="12"/>
      <c r="J193" s="12"/>
      <c r="K193" s="12"/>
      <c r="L193" s="12"/>
      <c r="M193" s="12"/>
      <c r="N193" s="22"/>
    </row>
    <row r="194" spans="1:14" ht="15.75" customHeight="1" x14ac:dyDescent="0.15">
      <c r="A194" s="16"/>
      <c r="B194" s="43"/>
      <c r="C194" s="43"/>
      <c r="D194" s="16"/>
      <c r="E194" s="16"/>
      <c r="F194" s="16"/>
      <c r="G194" s="12"/>
      <c r="H194" s="12"/>
      <c r="I194" s="12"/>
      <c r="J194" s="12"/>
      <c r="K194" s="12"/>
      <c r="L194" s="12"/>
      <c r="M194" s="12"/>
      <c r="N194" s="22"/>
    </row>
    <row r="195" spans="1:14" ht="15.75" customHeight="1" x14ac:dyDescent="0.15">
      <c r="A195" s="16"/>
      <c r="B195" s="43"/>
      <c r="C195" s="43"/>
      <c r="D195" s="16"/>
      <c r="E195" s="16"/>
      <c r="F195" s="16"/>
      <c r="G195" s="12"/>
      <c r="H195" s="12"/>
      <c r="I195" s="12"/>
      <c r="J195" s="12"/>
      <c r="K195" s="12"/>
      <c r="L195" s="12"/>
      <c r="M195" s="12"/>
      <c r="N195" s="22"/>
    </row>
    <row r="196" spans="1:14" ht="15.75" customHeight="1" x14ac:dyDescent="0.15">
      <c r="A196" s="16"/>
      <c r="B196" s="43"/>
      <c r="C196" s="43"/>
      <c r="D196" s="16"/>
      <c r="E196" s="16"/>
      <c r="F196" s="16"/>
      <c r="G196" s="12"/>
      <c r="H196" s="12"/>
      <c r="I196" s="12"/>
      <c r="J196" s="12"/>
      <c r="K196" s="12"/>
      <c r="L196" s="12"/>
      <c r="M196" s="12"/>
      <c r="N196" s="22"/>
    </row>
    <row r="197" spans="1:14" ht="15.75" customHeight="1" x14ac:dyDescent="0.15">
      <c r="A197" s="16"/>
      <c r="B197" s="43"/>
      <c r="C197" s="43"/>
      <c r="D197" s="16"/>
      <c r="E197" s="16"/>
      <c r="F197" s="16"/>
      <c r="G197" s="12"/>
      <c r="H197" s="12"/>
      <c r="I197" s="12"/>
      <c r="J197" s="12"/>
      <c r="K197" s="12"/>
      <c r="L197" s="12"/>
      <c r="M197" s="12"/>
      <c r="N197" s="22"/>
    </row>
    <row r="198" spans="1:14" ht="15.75" customHeight="1" x14ac:dyDescent="0.15">
      <c r="A198" s="16"/>
      <c r="B198" s="43"/>
      <c r="C198" s="43"/>
      <c r="D198" s="16"/>
      <c r="E198" s="16"/>
      <c r="F198" s="16"/>
      <c r="G198" s="12"/>
      <c r="H198" s="12"/>
      <c r="I198" s="12"/>
      <c r="J198" s="12"/>
      <c r="K198" s="12"/>
      <c r="L198" s="12"/>
      <c r="M198" s="12"/>
      <c r="N198" s="22"/>
    </row>
    <row r="199" spans="1:14" ht="15.75" customHeight="1" x14ac:dyDescent="0.15">
      <c r="A199" s="16"/>
      <c r="B199" s="43"/>
      <c r="C199" s="43"/>
      <c r="D199" s="16"/>
      <c r="E199" s="16"/>
      <c r="F199" s="16"/>
      <c r="G199" s="12"/>
      <c r="H199" s="12"/>
      <c r="I199" s="12"/>
      <c r="J199" s="12"/>
      <c r="K199" s="12"/>
      <c r="L199" s="12"/>
      <c r="M199" s="12"/>
      <c r="N199" s="22"/>
    </row>
    <row r="200" spans="1:14" ht="15.75" customHeight="1" x14ac:dyDescent="0.15">
      <c r="A200" s="16"/>
      <c r="B200" s="43"/>
      <c r="C200" s="43"/>
      <c r="D200" s="16"/>
      <c r="E200" s="16"/>
      <c r="F200" s="16"/>
      <c r="G200" s="12"/>
      <c r="H200" s="12"/>
      <c r="I200" s="12"/>
      <c r="J200" s="12"/>
      <c r="K200" s="12"/>
      <c r="L200" s="12"/>
      <c r="M200" s="12"/>
      <c r="N200" s="22"/>
    </row>
    <row r="201" spans="1:14" ht="15.75" customHeight="1" x14ac:dyDescent="0.15">
      <c r="A201" s="16"/>
      <c r="B201" s="43"/>
      <c r="C201" s="43"/>
      <c r="D201" s="16"/>
      <c r="E201" s="16"/>
      <c r="F201" s="16"/>
      <c r="G201" s="12"/>
      <c r="H201" s="12"/>
      <c r="I201" s="12"/>
      <c r="J201" s="12"/>
      <c r="K201" s="12"/>
      <c r="L201" s="12"/>
      <c r="M201" s="12"/>
      <c r="N201" s="22"/>
    </row>
    <row r="202" spans="1:14" ht="15.75" customHeight="1" x14ac:dyDescent="0.15">
      <c r="A202" s="16"/>
      <c r="B202" s="43"/>
      <c r="C202" s="43"/>
      <c r="D202" s="16"/>
      <c r="E202" s="16"/>
      <c r="F202" s="16"/>
      <c r="G202" s="12"/>
      <c r="H202" s="12"/>
      <c r="I202" s="12"/>
      <c r="J202" s="12"/>
      <c r="K202" s="12"/>
      <c r="L202" s="12"/>
      <c r="M202" s="12"/>
      <c r="N202" s="22"/>
    </row>
    <row r="203" spans="1:14" ht="15.75" customHeight="1" x14ac:dyDescent="0.15">
      <c r="A203" s="16"/>
      <c r="B203" s="43"/>
      <c r="C203" s="43"/>
      <c r="D203" s="16"/>
      <c r="E203" s="16"/>
      <c r="F203" s="16"/>
      <c r="G203" s="12"/>
      <c r="H203" s="12"/>
      <c r="I203" s="12"/>
      <c r="J203" s="12"/>
      <c r="K203" s="12"/>
      <c r="L203" s="12"/>
      <c r="M203" s="12"/>
      <c r="N203" s="22"/>
    </row>
    <row r="204" spans="1:14" ht="15.75" customHeight="1" x14ac:dyDescent="0.15">
      <c r="A204" s="16"/>
      <c r="B204" s="43"/>
      <c r="C204" s="43"/>
      <c r="D204" s="16"/>
      <c r="E204" s="16"/>
      <c r="F204" s="16"/>
      <c r="G204" s="12"/>
      <c r="H204" s="12"/>
      <c r="I204" s="12"/>
      <c r="J204" s="12"/>
      <c r="K204" s="12"/>
      <c r="L204" s="12"/>
      <c r="M204" s="12"/>
      <c r="N204" s="22"/>
    </row>
    <row r="205" spans="1:14" ht="15.75" customHeight="1" x14ac:dyDescent="0.15">
      <c r="A205" s="16"/>
      <c r="B205" s="43"/>
      <c r="C205" s="43"/>
      <c r="D205" s="16"/>
      <c r="E205" s="16"/>
      <c r="F205" s="16"/>
      <c r="G205" s="12"/>
      <c r="H205" s="12"/>
      <c r="I205" s="12"/>
      <c r="J205" s="12"/>
      <c r="K205" s="12"/>
      <c r="L205" s="12"/>
      <c r="M205" s="12"/>
      <c r="N205" s="22"/>
    </row>
    <row r="206" spans="1:14" ht="15.75" customHeight="1" x14ac:dyDescent="0.15">
      <c r="A206" s="16"/>
      <c r="B206" s="43"/>
      <c r="C206" s="43"/>
      <c r="D206" s="16"/>
      <c r="E206" s="16"/>
      <c r="F206" s="16"/>
      <c r="G206" s="12"/>
      <c r="H206" s="12"/>
      <c r="I206" s="12"/>
      <c r="J206" s="12"/>
      <c r="K206" s="12"/>
      <c r="L206" s="12"/>
      <c r="M206" s="12"/>
      <c r="N206" s="22"/>
    </row>
    <row r="207" spans="1:14" ht="15.75" customHeight="1" x14ac:dyDescent="0.15">
      <c r="A207" s="16"/>
      <c r="B207" s="43"/>
      <c r="C207" s="43"/>
      <c r="D207" s="16"/>
      <c r="E207" s="16"/>
      <c r="F207" s="16"/>
      <c r="G207" s="12"/>
      <c r="H207" s="12"/>
      <c r="I207" s="12"/>
      <c r="J207" s="12"/>
      <c r="K207" s="12"/>
      <c r="L207" s="12"/>
      <c r="M207" s="12"/>
      <c r="N207" s="22"/>
    </row>
    <row r="208" spans="1:14" ht="15.75" customHeight="1" x14ac:dyDescent="0.15">
      <c r="A208" s="16"/>
      <c r="B208" s="43"/>
      <c r="C208" s="43"/>
      <c r="D208" s="16"/>
      <c r="E208" s="16"/>
      <c r="F208" s="16"/>
      <c r="G208" s="12"/>
      <c r="H208" s="12"/>
      <c r="I208" s="12"/>
      <c r="J208" s="12"/>
      <c r="K208" s="12"/>
      <c r="L208" s="12"/>
      <c r="M208" s="12"/>
      <c r="N208" s="22"/>
    </row>
    <row r="209" spans="1:14" ht="15.75" customHeight="1" x14ac:dyDescent="0.15">
      <c r="A209" s="16"/>
      <c r="B209" s="43"/>
      <c r="C209" s="43"/>
      <c r="D209" s="16"/>
      <c r="E209" s="16"/>
      <c r="F209" s="16"/>
      <c r="G209" s="12"/>
      <c r="H209" s="12"/>
      <c r="I209" s="12"/>
      <c r="J209" s="12"/>
      <c r="K209" s="12"/>
      <c r="L209" s="12"/>
      <c r="M209" s="12"/>
      <c r="N209" s="22"/>
    </row>
    <row r="210" spans="1:14" ht="15.75" customHeight="1" x14ac:dyDescent="0.15">
      <c r="A210" s="16"/>
      <c r="B210" s="43"/>
      <c r="C210" s="43"/>
      <c r="D210" s="16"/>
      <c r="E210" s="16"/>
      <c r="F210" s="16"/>
      <c r="G210" s="12"/>
      <c r="H210" s="12"/>
      <c r="I210" s="12"/>
      <c r="J210" s="12"/>
      <c r="K210" s="12"/>
      <c r="L210" s="12"/>
      <c r="M210" s="12"/>
      <c r="N210" s="22"/>
    </row>
    <row r="211" spans="1:14" ht="15.75" customHeight="1" x14ac:dyDescent="0.15">
      <c r="A211" s="16"/>
      <c r="B211" s="43"/>
      <c r="C211" s="43"/>
      <c r="D211" s="16"/>
      <c r="E211" s="16"/>
      <c r="F211" s="16"/>
      <c r="G211" s="12"/>
      <c r="H211" s="12"/>
      <c r="I211" s="12"/>
      <c r="J211" s="12"/>
      <c r="K211" s="12"/>
      <c r="L211" s="12"/>
      <c r="M211" s="12"/>
      <c r="N211" s="22"/>
    </row>
    <row r="212" spans="1:14" ht="15.75" customHeight="1" x14ac:dyDescent="0.15">
      <c r="A212" s="16"/>
      <c r="B212" s="43"/>
      <c r="C212" s="43"/>
      <c r="D212" s="16"/>
      <c r="E212" s="16"/>
      <c r="F212" s="16"/>
      <c r="G212" s="12"/>
      <c r="H212" s="12"/>
      <c r="I212" s="12"/>
      <c r="J212" s="12"/>
      <c r="K212" s="12"/>
      <c r="L212" s="12"/>
      <c r="M212" s="12"/>
      <c r="N212" s="22"/>
    </row>
    <row r="213" spans="1:14" ht="15.75" customHeight="1" x14ac:dyDescent="0.15">
      <c r="A213" s="16"/>
      <c r="B213" s="43"/>
      <c r="C213" s="43"/>
      <c r="D213" s="16"/>
      <c r="E213" s="16"/>
      <c r="F213" s="16"/>
      <c r="G213" s="12"/>
      <c r="H213" s="12"/>
      <c r="I213" s="12"/>
      <c r="J213" s="12"/>
      <c r="K213" s="12"/>
      <c r="L213" s="12"/>
      <c r="M213" s="12"/>
      <c r="N213" s="22"/>
    </row>
    <row r="214" spans="1:14" ht="15.75" customHeight="1" x14ac:dyDescent="0.15">
      <c r="A214" s="16"/>
      <c r="B214" s="43"/>
      <c r="C214" s="43"/>
      <c r="D214" s="16"/>
      <c r="E214" s="16"/>
      <c r="F214" s="16"/>
      <c r="G214" s="12"/>
      <c r="H214" s="12"/>
      <c r="I214" s="12"/>
      <c r="J214" s="12"/>
      <c r="K214" s="12"/>
      <c r="L214" s="12"/>
      <c r="M214" s="12"/>
      <c r="N214" s="22"/>
    </row>
    <row r="215" spans="1:14" ht="15.75" customHeight="1" x14ac:dyDescent="0.15">
      <c r="A215" s="16"/>
      <c r="B215" s="43"/>
      <c r="C215" s="43"/>
      <c r="D215" s="16"/>
      <c r="E215" s="16"/>
      <c r="F215" s="16"/>
      <c r="G215" s="12"/>
      <c r="H215" s="12"/>
      <c r="I215" s="12"/>
      <c r="J215" s="12"/>
      <c r="K215" s="12"/>
      <c r="L215" s="12"/>
      <c r="M215" s="12"/>
      <c r="N215" s="22"/>
    </row>
    <row r="216" spans="1:14" ht="15.75" customHeight="1" x14ac:dyDescent="0.15">
      <c r="A216" s="16"/>
      <c r="B216" s="43"/>
      <c r="C216" s="43"/>
      <c r="D216" s="16"/>
      <c r="E216" s="16"/>
      <c r="F216" s="16"/>
      <c r="G216" s="12"/>
      <c r="H216" s="12"/>
      <c r="I216" s="12"/>
      <c r="J216" s="12"/>
      <c r="K216" s="12"/>
      <c r="L216" s="12"/>
      <c r="M216" s="12"/>
      <c r="N216" s="22"/>
    </row>
    <row r="217" spans="1:14" ht="15.75" customHeight="1" x14ac:dyDescent="0.15">
      <c r="A217" s="16"/>
      <c r="B217" s="43"/>
      <c r="C217" s="43"/>
      <c r="D217" s="16"/>
      <c r="E217" s="16"/>
      <c r="F217" s="16"/>
      <c r="G217" s="12"/>
      <c r="H217" s="12"/>
      <c r="I217" s="12"/>
      <c r="J217" s="12"/>
      <c r="K217" s="12"/>
      <c r="L217" s="12"/>
      <c r="M217" s="12"/>
      <c r="N217" s="22"/>
    </row>
    <row r="218" spans="1:14" ht="15.75" customHeight="1" x14ac:dyDescent="0.15">
      <c r="A218" s="16"/>
      <c r="B218" s="43"/>
      <c r="C218" s="43"/>
      <c r="D218" s="16"/>
      <c r="E218" s="16"/>
      <c r="F218" s="16"/>
      <c r="G218" s="12"/>
      <c r="H218" s="12"/>
      <c r="I218" s="12"/>
      <c r="J218" s="12"/>
      <c r="K218" s="12"/>
      <c r="L218" s="12"/>
      <c r="M218" s="12"/>
      <c r="N218" s="22"/>
    </row>
    <row r="219" spans="1:14" ht="15.75" customHeight="1" x14ac:dyDescent="0.15">
      <c r="A219" s="16"/>
      <c r="B219" s="43"/>
      <c r="C219" s="43"/>
      <c r="D219" s="16"/>
      <c r="E219" s="16"/>
      <c r="F219" s="16"/>
      <c r="G219" s="12"/>
      <c r="H219" s="12"/>
      <c r="I219" s="12"/>
      <c r="J219" s="12"/>
      <c r="K219" s="12"/>
      <c r="L219" s="12"/>
      <c r="M219" s="12"/>
      <c r="N219" s="22"/>
    </row>
    <row r="220" spans="1:14" ht="15.75" customHeight="1" x14ac:dyDescent="0.15">
      <c r="A220" s="16"/>
      <c r="B220" s="43"/>
      <c r="C220" s="43"/>
      <c r="D220" s="16"/>
      <c r="E220" s="16"/>
      <c r="F220" s="16"/>
      <c r="G220" s="12"/>
      <c r="H220" s="12"/>
      <c r="I220" s="12"/>
      <c r="J220" s="12"/>
      <c r="K220" s="12"/>
      <c r="L220" s="12"/>
      <c r="M220" s="12"/>
      <c r="N220" s="22"/>
    </row>
    <row r="221" spans="1:14" ht="15.75" customHeight="1" x14ac:dyDescent="0.15">
      <c r="A221" s="16"/>
      <c r="B221" s="43"/>
      <c r="C221" s="43"/>
      <c r="D221" s="16"/>
      <c r="E221" s="16"/>
      <c r="F221" s="16"/>
      <c r="G221" s="12"/>
      <c r="H221" s="12"/>
      <c r="I221" s="12"/>
      <c r="J221" s="12"/>
      <c r="K221" s="12"/>
      <c r="L221" s="12"/>
      <c r="M221" s="12"/>
      <c r="N221" s="22"/>
    </row>
    <row r="222" spans="1:14" ht="15.75" customHeight="1" x14ac:dyDescent="0.15">
      <c r="A222" s="16"/>
      <c r="B222" s="43"/>
      <c r="C222" s="43"/>
      <c r="D222" s="16"/>
      <c r="E222" s="16"/>
      <c r="F222" s="16"/>
      <c r="G222" s="12"/>
      <c r="H222" s="12"/>
      <c r="I222" s="12"/>
      <c r="J222" s="12"/>
      <c r="K222" s="12"/>
      <c r="L222" s="12"/>
      <c r="M222" s="12"/>
      <c r="N222" s="22"/>
    </row>
    <row r="223" spans="1:14" ht="15.75" customHeight="1" x14ac:dyDescent="0.15">
      <c r="A223" s="16"/>
      <c r="B223" s="43"/>
      <c r="C223" s="43"/>
      <c r="D223" s="16"/>
      <c r="E223" s="16"/>
      <c r="F223" s="16"/>
      <c r="G223" s="12"/>
      <c r="H223" s="12"/>
      <c r="I223" s="12"/>
      <c r="J223" s="12"/>
      <c r="K223" s="12"/>
      <c r="L223" s="12"/>
      <c r="M223" s="12"/>
      <c r="N223" s="22"/>
    </row>
    <row r="224" spans="1:14" ht="15.75" customHeight="1" x14ac:dyDescent="0.15">
      <c r="A224" s="16"/>
      <c r="B224" s="43"/>
      <c r="C224" s="43"/>
      <c r="D224" s="16"/>
      <c r="E224" s="16"/>
      <c r="F224" s="16"/>
      <c r="G224" s="12"/>
      <c r="H224" s="12"/>
      <c r="I224" s="12"/>
      <c r="J224" s="12"/>
      <c r="K224" s="12"/>
      <c r="L224" s="12"/>
      <c r="M224" s="12"/>
      <c r="N224" s="22"/>
    </row>
    <row r="225" spans="1:14" ht="15.75" customHeight="1" x14ac:dyDescent="0.15">
      <c r="A225" s="16"/>
      <c r="B225" s="43"/>
      <c r="C225" s="43"/>
      <c r="D225" s="16"/>
      <c r="E225" s="16"/>
      <c r="F225" s="16"/>
      <c r="G225" s="12"/>
      <c r="H225" s="12"/>
      <c r="I225" s="12"/>
      <c r="J225" s="12"/>
      <c r="K225" s="12"/>
      <c r="L225" s="12"/>
      <c r="M225" s="12"/>
      <c r="N225" s="22"/>
    </row>
    <row r="226" spans="1:14" ht="15.75" customHeight="1" x14ac:dyDescent="0.15">
      <c r="A226" s="16"/>
      <c r="B226" s="43"/>
      <c r="C226" s="43"/>
      <c r="D226" s="16"/>
      <c r="E226" s="16"/>
      <c r="F226" s="16"/>
      <c r="G226" s="12"/>
      <c r="H226" s="12"/>
      <c r="I226" s="12"/>
      <c r="J226" s="12"/>
      <c r="K226" s="12"/>
      <c r="L226" s="12"/>
      <c r="M226" s="12"/>
      <c r="N226" s="22"/>
    </row>
    <row r="227" spans="1:14" ht="15.75" customHeight="1" x14ac:dyDescent="0.15">
      <c r="A227" s="16"/>
      <c r="B227" s="43"/>
      <c r="C227" s="43"/>
      <c r="D227" s="16"/>
      <c r="E227" s="16"/>
      <c r="F227" s="16"/>
      <c r="G227" s="12"/>
      <c r="H227" s="12"/>
      <c r="I227" s="12"/>
      <c r="J227" s="12"/>
      <c r="K227" s="12"/>
      <c r="L227" s="12"/>
      <c r="M227" s="12"/>
      <c r="N227" s="22"/>
    </row>
    <row r="228" spans="1:14" ht="15.75" customHeight="1" x14ac:dyDescent="0.15">
      <c r="A228" s="16"/>
      <c r="B228" s="43"/>
      <c r="C228" s="43"/>
      <c r="D228" s="16"/>
      <c r="E228" s="16"/>
      <c r="F228" s="16"/>
      <c r="G228" s="12"/>
      <c r="H228" s="12"/>
      <c r="I228" s="12"/>
      <c r="J228" s="12"/>
      <c r="K228" s="12"/>
      <c r="L228" s="12"/>
      <c r="M228" s="12"/>
      <c r="N228" s="22"/>
    </row>
    <row r="229" spans="1:14" ht="15.75" customHeight="1" x14ac:dyDescent="0.15">
      <c r="A229" s="16"/>
      <c r="B229" s="43"/>
      <c r="C229" s="43"/>
      <c r="D229" s="16"/>
      <c r="E229" s="16"/>
      <c r="F229" s="16"/>
      <c r="G229" s="12"/>
      <c r="H229" s="12"/>
      <c r="I229" s="12"/>
      <c r="J229" s="12"/>
      <c r="K229" s="12"/>
      <c r="L229" s="12"/>
      <c r="M229" s="12"/>
      <c r="N229" s="22"/>
    </row>
    <row r="230" spans="1:14" ht="15.75" customHeight="1" x14ac:dyDescent="0.15">
      <c r="A230" s="16"/>
      <c r="B230" s="43"/>
      <c r="C230" s="43"/>
      <c r="D230" s="16"/>
      <c r="E230" s="16"/>
      <c r="F230" s="16"/>
      <c r="G230" s="12"/>
      <c r="H230" s="12"/>
      <c r="I230" s="12"/>
      <c r="J230" s="12"/>
      <c r="K230" s="12"/>
      <c r="L230" s="12"/>
      <c r="M230" s="12"/>
      <c r="N230" s="22"/>
    </row>
    <row r="231" spans="1:14" ht="15.75" customHeight="1" x14ac:dyDescent="0.15">
      <c r="A231" s="16"/>
      <c r="B231" s="43"/>
      <c r="C231" s="43"/>
      <c r="D231" s="16"/>
      <c r="E231" s="16"/>
      <c r="F231" s="16"/>
      <c r="G231" s="12"/>
      <c r="H231" s="12"/>
      <c r="I231" s="12"/>
      <c r="J231" s="12"/>
      <c r="K231" s="12"/>
      <c r="L231" s="12"/>
      <c r="M231" s="12"/>
      <c r="N231" s="22"/>
    </row>
    <row r="232" spans="1:14" ht="15.75" customHeight="1" x14ac:dyDescent="0.15">
      <c r="A232" s="16"/>
      <c r="B232" s="43"/>
      <c r="C232" s="43"/>
      <c r="D232" s="16"/>
      <c r="E232" s="16"/>
      <c r="F232" s="16"/>
      <c r="G232" s="12"/>
      <c r="H232" s="12"/>
      <c r="I232" s="12"/>
      <c r="J232" s="12"/>
      <c r="K232" s="12"/>
      <c r="L232" s="12"/>
      <c r="M232" s="12"/>
      <c r="N232" s="22"/>
    </row>
    <row r="233" spans="1:14" ht="15.75" customHeight="1" x14ac:dyDescent="0.15">
      <c r="A233" s="16"/>
      <c r="B233" s="43"/>
      <c r="C233" s="43"/>
      <c r="D233" s="16"/>
      <c r="E233" s="16"/>
      <c r="F233" s="16"/>
      <c r="G233" s="12"/>
      <c r="H233" s="12"/>
      <c r="I233" s="12"/>
      <c r="J233" s="12"/>
      <c r="K233" s="12"/>
      <c r="L233" s="12"/>
      <c r="M233" s="12"/>
      <c r="N233" s="22"/>
    </row>
    <row r="234" spans="1:14" ht="15.75" customHeight="1" x14ac:dyDescent="0.15">
      <c r="A234" s="16"/>
      <c r="B234" s="43"/>
      <c r="C234" s="43"/>
      <c r="D234" s="16"/>
      <c r="E234" s="16"/>
      <c r="F234" s="16"/>
      <c r="G234" s="12"/>
      <c r="H234" s="12"/>
      <c r="I234" s="12"/>
      <c r="J234" s="12"/>
      <c r="K234" s="12"/>
      <c r="L234" s="12"/>
      <c r="M234" s="12"/>
      <c r="N234" s="22"/>
    </row>
    <row r="235" spans="1:14" ht="15.75" customHeight="1" x14ac:dyDescent="0.15">
      <c r="A235" s="16"/>
      <c r="B235" s="43"/>
      <c r="C235" s="43"/>
      <c r="D235" s="16"/>
      <c r="E235" s="16"/>
      <c r="F235" s="16"/>
      <c r="G235" s="12"/>
      <c r="H235" s="12"/>
      <c r="I235" s="12"/>
      <c r="J235" s="12"/>
      <c r="K235" s="12"/>
      <c r="L235" s="12"/>
      <c r="M235" s="12"/>
      <c r="N235" s="22"/>
    </row>
    <row r="236" spans="1:14" ht="15.75" customHeight="1" x14ac:dyDescent="0.15">
      <c r="A236" s="16"/>
      <c r="B236" s="43"/>
      <c r="C236" s="43"/>
      <c r="D236" s="16"/>
      <c r="E236" s="16"/>
      <c r="F236" s="16"/>
      <c r="G236" s="12"/>
      <c r="H236" s="12"/>
      <c r="I236" s="12"/>
      <c r="J236" s="12"/>
      <c r="K236" s="12"/>
      <c r="L236" s="12"/>
      <c r="M236" s="12"/>
      <c r="N236" s="22"/>
    </row>
    <row r="237" spans="1:14" ht="15.75" customHeight="1" x14ac:dyDescent="0.15">
      <c r="A237" s="16"/>
      <c r="B237" s="43"/>
      <c r="C237" s="43"/>
      <c r="D237" s="16"/>
      <c r="E237" s="16"/>
      <c r="F237" s="16"/>
      <c r="G237" s="12"/>
      <c r="H237" s="12"/>
      <c r="I237" s="12"/>
      <c r="J237" s="12"/>
      <c r="K237" s="12"/>
      <c r="L237" s="12"/>
      <c r="M237" s="12"/>
      <c r="N237" s="22"/>
    </row>
    <row r="238" spans="1:14" ht="15.75" customHeight="1" x14ac:dyDescent="0.15">
      <c r="A238" s="16"/>
      <c r="B238" s="43"/>
      <c r="C238" s="43"/>
      <c r="D238" s="16"/>
      <c r="E238" s="16"/>
      <c r="F238" s="16"/>
      <c r="G238" s="12"/>
      <c r="H238" s="12"/>
      <c r="I238" s="12"/>
      <c r="J238" s="12"/>
      <c r="K238" s="12"/>
      <c r="L238" s="12"/>
      <c r="M238" s="12"/>
      <c r="N238" s="22"/>
    </row>
    <row r="239" spans="1:14" ht="15.75" customHeight="1" x14ac:dyDescent="0.15">
      <c r="A239" s="16"/>
      <c r="B239" s="43"/>
      <c r="C239" s="43"/>
      <c r="D239" s="16"/>
      <c r="E239" s="16"/>
      <c r="F239" s="16"/>
      <c r="G239" s="12"/>
      <c r="H239" s="12"/>
      <c r="I239" s="12"/>
      <c r="J239" s="12"/>
      <c r="K239" s="12"/>
      <c r="L239" s="12"/>
      <c r="M239" s="12"/>
      <c r="N239" s="22"/>
    </row>
    <row r="240" spans="1:14" ht="15.75" customHeight="1" x14ac:dyDescent="0.15">
      <c r="A240" s="16"/>
      <c r="B240" s="43"/>
      <c r="C240" s="43"/>
      <c r="D240" s="16"/>
      <c r="E240" s="16"/>
      <c r="F240" s="16"/>
      <c r="G240" s="12"/>
      <c r="H240" s="12"/>
      <c r="I240" s="12"/>
      <c r="J240" s="12"/>
      <c r="K240" s="12"/>
      <c r="L240" s="12"/>
      <c r="M240" s="12"/>
      <c r="N240" s="22"/>
    </row>
    <row r="241" spans="1:14" ht="15.75" customHeight="1" x14ac:dyDescent="0.15">
      <c r="A241" s="16"/>
      <c r="B241" s="43"/>
      <c r="C241" s="43"/>
      <c r="D241" s="16"/>
      <c r="E241" s="16"/>
      <c r="F241" s="16"/>
      <c r="G241" s="12"/>
      <c r="H241" s="12"/>
      <c r="I241" s="12"/>
      <c r="J241" s="12"/>
      <c r="K241" s="12"/>
      <c r="L241" s="12"/>
      <c r="M241" s="12"/>
      <c r="N241" s="22"/>
    </row>
    <row r="242" spans="1:14" ht="15.75" customHeight="1" x14ac:dyDescent="0.15">
      <c r="A242" s="16"/>
      <c r="B242" s="43"/>
      <c r="C242" s="43"/>
      <c r="D242" s="16"/>
      <c r="E242" s="16"/>
      <c r="F242" s="16"/>
      <c r="G242" s="12"/>
      <c r="H242" s="12"/>
      <c r="I242" s="12"/>
      <c r="J242" s="12"/>
      <c r="K242" s="12"/>
      <c r="L242" s="12"/>
      <c r="M242" s="12"/>
      <c r="N242" s="22"/>
    </row>
    <row r="243" spans="1:14" ht="15.75" customHeight="1" x14ac:dyDescent="0.15">
      <c r="A243" s="16"/>
      <c r="B243" s="43"/>
      <c r="C243" s="43"/>
      <c r="D243" s="16"/>
      <c r="E243" s="16"/>
      <c r="F243" s="16"/>
      <c r="G243" s="12"/>
      <c r="H243" s="12"/>
      <c r="I243" s="12"/>
      <c r="J243" s="12"/>
      <c r="K243" s="12"/>
      <c r="L243" s="12"/>
      <c r="M243" s="12"/>
      <c r="N243" s="22"/>
    </row>
    <row r="244" spans="1:14" ht="15.75" customHeight="1" x14ac:dyDescent="0.15">
      <c r="A244" s="16"/>
      <c r="B244" s="43"/>
      <c r="C244" s="43"/>
      <c r="D244" s="16"/>
      <c r="E244" s="16"/>
      <c r="F244" s="16"/>
      <c r="G244" s="12"/>
      <c r="H244" s="12"/>
      <c r="I244" s="12"/>
      <c r="J244" s="12"/>
      <c r="K244" s="12"/>
      <c r="L244" s="12"/>
      <c r="M244" s="12"/>
      <c r="N244" s="22"/>
    </row>
    <row r="245" spans="1:14" ht="15.75" customHeight="1" x14ac:dyDescent="0.15">
      <c r="A245" s="16"/>
      <c r="B245" s="43"/>
      <c r="C245" s="43"/>
      <c r="D245" s="16"/>
      <c r="E245" s="16"/>
      <c r="F245" s="16"/>
      <c r="G245" s="12"/>
      <c r="H245" s="12"/>
      <c r="I245" s="12"/>
      <c r="J245" s="12"/>
      <c r="K245" s="12"/>
      <c r="L245" s="12"/>
      <c r="M245" s="12"/>
      <c r="N245" s="22"/>
    </row>
    <row r="246" spans="1:14" ht="15.75" customHeight="1" x14ac:dyDescent="0.15">
      <c r="A246" s="16"/>
      <c r="B246" s="43"/>
      <c r="C246" s="43"/>
      <c r="D246" s="16"/>
      <c r="E246" s="16"/>
      <c r="F246" s="16"/>
      <c r="G246" s="12"/>
      <c r="H246" s="12"/>
      <c r="I246" s="12"/>
      <c r="J246" s="12"/>
      <c r="K246" s="12"/>
      <c r="L246" s="12"/>
      <c r="M246" s="12"/>
      <c r="N246" s="22"/>
    </row>
    <row r="247" spans="1:14" ht="15.75" customHeight="1" x14ac:dyDescent="0.15">
      <c r="A247" s="16"/>
      <c r="B247" s="43"/>
      <c r="C247" s="43"/>
      <c r="D247" s="16"/>
      <c r="E247" s="16"/>
      <c r="F247" s="16"/>
      <c r="G247" s="12"/>
      <c r="H247" s="12"/>
      <c r="I247" s="12"/>
      <c r="J247" s="12"/>
      <c r="K247" s="12"/>
      <c r="L247" s="12"/>
      <c r="M247" s="12"/>
      <c r="N247" s="22"/>
    </row>
    <row r="248" spans="1:14" ht="15.75" customHeight="1" x14ac:dyDescent="0.15">
      <c r="A248" s="16"/>
      <c r="B248" s="43"/>
      <c r="C248" s="43"/>
      <c r="D248" s="16"/>
      <c r="E248" s="16"/>
      <c r="F248" s="16"/>
      <c r="G248" s="12"/>
      <c r="H248" s="12"/>
      <c r="I248" s="12"/>
      <c r="J248" s="12"/>
      <c r="K248" s="12"/>
      <c r="L248" s="12"/>
      <c r="M248" s="12"/>
      <c r="N248" s="22"/>
    </row>
    <row r="249" spans="1:14" ht="15.75" customHeight="1" x14ac:dyDescent="0.15">
      <c r="A249" s="16"/>
      <c r="B249" s="43"/>
      <c r="C249" s="43"/>
      <c r="D249" s="16"/>
      <c r="E249" s="16"/>
      <c r="F249" s="16"/>
      <c r="G249" s="12"/>
      <c r="H249" s="12"/>
      <c r="I249" s="12"/>
      <c r="J249" s="12"/>
      <c r="K249" s="12"/>
      <c r="L249" s="12"/>
      <c r="M249" s="12"/>
      <c r="N249" s="22"/>
    </row>
    <row r="250" spans="1:14" ht="15.75" customHeight="1" x14ac:dyDescent="0.15">
      <c r="A250" s="16"/>
      <c r="B250" s="43"/>
      <c r="C250" s="43"/>
      <c r="D250" s="16"/>
      <c r="E250" s="16"/>
      <c r="F250" s="16"/>
      <c r="G250" s="12"/>
      <c r="H250" s="12"/>
      <c r="I250" s="12"/>
      <c r="J250" s="12"/>
      <c r="K250" s="12"/>
      <c r="L250" s="12"/>
      <c r="M250" s="12"/>
      <c r="N250" s="22"/>
    </row>
    <row r="251" spans="1:14" ht="15.75" customHeight="1" x14ac:dyDescent="0.15">
      <c r="A251" s="16"/>
      <c r="B251" s="43"/>
      <c r="C251" s="43"/>
      <c r="D251" s="16"/>
      <c r="E251" s="16"/>
      <c r="F251" s="16"/>
      <c r="G251" s="12"/>
      <c r="H251" s="12"/>
      <c r="I251" s="12"/>
      <c r="J251" s="12"/>
      <c r="K251" s="12"/>
      <c r="L251" s="12"/>
      <c r="M251" s="12"/>
      <c r="N251" s="22"/>
    </row>
    <row r="252" spans="1:14" ht="15.75" customHeight="1" x14ac:dyDescent="0.15">
      <c r="A252" s="16"/>
      <c r="B252" s="43"/>
      <c r="C252" s="43"/>
      <c r="D252" s="16"/>
      <c r="E252" s="16"/>
      <c r="F252" s="16"/>
      <c r="G252" s="12"/>
      <c r="H252" s="12"/>
      <c r="I252" s="12"/>
      <c r="J252" s="12"/>
      <c r="K252" s="12"/>
      <c r="L252" s="12"/>
      <c r="M252" s="12"/>
      <c r="N252" s="22"/>
    </row>
    <row r="253" spans="1:14" ht="15.75" customHeight="1" x14ac:dyDescent="0.15">
      <c r="A253" s="16"/>
      <c r="B253" s="43"/>
      <c r="C253" s="43"/>
      <c r="D253" s="16"/>
      <c r="E253" s="16"/>
      <c r="F253" s="16"/>
      <c r="G253" s="12"/>
      <c r="H253" s="12"/>
      <c r="I253" s="12"/>
      <c r="J253" s="12"/>
      <c r="K253" s="12"/>
      <c r="L253" s="12"/>
      <c r="M253" s="12"/>
      <c r="N253" s="22"/>
    </row>
    <row r="254" spans="1:14" ht="15.75" customHeight="1" x14ac:dyDescent="0.15">
      <c r="A254" s="16"/>
      <c r="B254" s="43"/>
      <c r="C254" s="43"/>
      <c r="D254" s="16"/>
      <c r="E254" s="16"/>
      <c r="F254" s="16"/>
      <c r="G254" s="12"/>
      <c r="H254" s="12"/>
      <c r="I254" s="12"/>
      <c r="J254" s="12"/>
      <c r="K254" s="12"/>
      <c r="L254" s="12"/>
      <c r="M254" s="12"/>
      <c r="N254" s="22"/>
    </row>
    <row r="255" spans="1:14" ht="15.75" customHeight="1" x14ac:dyDescent="0.15"/>
    <row r="256" spans="1:14"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hyperlinks>
    <hyperlink ref="A2" r:id="rId1" xr:uid="{00000000-0004-0000-0800-00000000000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00"/>
  <sheetViews>
    <sheetView workbookViewId="0"/>
  </sheetViews>
  <sheetFormatPr baseColWidth="10" defaultColWidth="14.5" defaultRowHeight="15" customHeight="1" x14ac:dyDescent="0.15"/>
  <cols>
    <col min="1" max="1" width="16.6640625" customWidth="1"/>
    <col min="2" max="3" width="16.1640625" customWidth="1"/>
    <col min="4" max="4" width="13.5" customWidth="1"/>
    <col min="5" max="6" width="14.5" customWidth="1"/>
    <col min="7" max="7" width="9.1640625" customWidth="1"/>
    <col min="8" max="8" width="35.5" customWidth="1"/>
    <col min="9" max="9" width="17.1640625" customWidth="1"/>
    <col min="10" max="10" width="4.83203125" customWidth="1"/>
    <col min="11" max="11" width="31.5" customWidth="1"/>
    <col min="12" max="12" width="17.1640625" customWidth="1"/>
    <col min="13" max="13" width="7" customWidth="1"/>
    <col min="14" max="14" width="27.1640625" customWidth="1"/>
    <col min="15" max="15" width="14.5" customWidth="1"/>
    <col min="16" max="16" width="10.5" customWidth="1"/>
    <col min="17" max="17" width="77.1640625" customWidth="1"/>
  </cols>
  <sheetData>
    <row r="1" spans="1:26" ht="15.75" customHeight="1" x14ac:dyDescent="0.2">
      <c r="A1" s="38" t="s">
        <v>410</v>
      </c>
      <c r="B1" s="39"/>
      <c r="C1" s="39"/>
      <c r="D1" s="3"/>
      <c r="E1" s="3"/>
      <c r="F1" s="3"/>
      <c r="G1" s="40"/>
      <c r="H1" s="38" t="s">
        <v>411</v>
      </c>
      <c r="I1" s="40"/>
      <c r="J1" s="40"/>
      <c r="K1" s="73"/>
      <c r="L1" s="40"/>
      <c r="M1" s="40"/>
      <c r="N1" s="2"/>
      <c r="O1" s="2"/>
      <c r="P1" s="40"/>
      <c r="Q1" s="2"/>
      <c r="R1" s="41"/>
      <c r="S1" s="41"/>
      <c r="T1" s="41"/>
      <c r="U1" s="41"/>
      <c r="V1" s="41"/>
      <c r="W1" s="41"/>
      <c r="X1" s="41"/>
      <c r="Y1" s="41"/>
      <c r="Z1" s="41"/>
    </row>
    <row r="2" spans="1:26" ht="30" customHeight="1" x14ac:dyDescent="0.2">
      <c r="A2" s="42" t="s">
        <v>412</v>
      </c>
      <c r="B2" s="43"/>
      <c r="C2" s="43"/>
      <c r="D2" s="16"/>
      <c r="E2" s="16"/>
      <c r="F2" s="16"/>
      <c r="G2" s="12"/>
      <c r="H2" s="44" t="s">
        <v>73</v>
      </c>
      <c r="I2" s="45"/>
      <c r="J2" s="12"/>
      <c r="K2" s="44" t="s">
        <v>413</v>
      </c>
      <c r="L2" s="45"/>
      <c r="M2" s="12"/>
      <c r="N2" s="46" t="s">
        <v>414</v>
      </c>
      <c r="O2" s="46"/>
      <c r="P2" s="12"/>
      <c r="Q2" s="44" t="s">
        <v>76</v>
      </c>
      <c r="R2" s="41"/>
      <c r="S2" s="41"/>
      <c r="T2" s="41"/>
      <c r="U2" s="41"/>
      <c r="V2" s="41"/>
      <c r="W2" s="41"/>
      <c r="X2" s="41"/>
      <c r="Y2" s="41"/>
      <c r="Z2" s="41"/>
    </row>
    <row r="3" spans="1:26" ht="30" customHeight="1" x14ac:dyDescent="0.2">
      <c r="A3" s="7" t="s">
        <v>18</v>
      </c>
      <c r="B3" s="7" t="s">
        <v>77</v>
      </c>
      <c r="C3" s="7" t="s">
        <v>78</v>
      </c>
      <c r="D3" s="47" t="s">
        <v>79</v>
      </c>
      <c r="E3" s="47" t="s">
        <v>80</v>
      </c>
      <c r="F3" s="48" t="s">
        <v>81</v>
      </c>
      <c r="G3" s="12"/>
      <c r="H3" s="49" t="s">
        <v>82</v>
      </c>
      <c r="I3" s="50" t="s">
        <v>83</v>
      </c>
      <c r="J3" s="36"/>
      <c r="K3" s="49" t="s">
        <v>351</v>
      </c>
      <c r="L3" s="50" t="s">
        <v>85</v>
      </c>
      <c r="M3" s="12"/>
      <c r="N3" s="16" t="s">
        <v>415</v>
      </c>
      <c r="O3" s="15">
        <f>2*L41</f>
        <v>0.95520000000000005</v>
      </c>
      <c r="P3" s="12"/>
      <c r="Q3" s="105" t="s">
        <v>416</v>
      </c>
      <c r="R3" s="41"/>
      <c r="S3" s="41"/>
      <c r="T3" s="41"/>
      <c r="U3" s="41"/>
      <c r="V3" s="41"/>
      <c r="W3" s="41"/>
      <c r="X3" s="41"/>
      <c r="Y3" s="41"/>
      <c r="Z3" s="41"/>
    </row>
    <row r="4" spans="1:26" ht="30" customHeight="1" x14ac:dyDescent="0.2">
      <c r="A4" s="16">
        <v>1</v>
      </c>
      <c r="B4" s="43" t="s">
        <v>417</v>
      </c>
      <c r="C4" s="43" t="s">
        <v>418</v>
      </c>
      <c r="D4" s="15">
        <f>1500*I6</f>
        <v>9.9</v>
      </c>
      <c r="E4" s="15">
        <v>0</v>
      </c>
      <c r="F4" s="15">
        <f t="shared" ref="F4:F54" si="0">IFERROR(D4+E4,"error")</f>
        <v>9.9</v>
      </c>
      <c r="G4" s="12"/>
      <c r="H4" s="52" t="s">
        <v>91</v>
      </c>
      <c r="I4" s="53">
        <v>150</v>
      </c>
      <c r="J4" s="12"/>
      <c r="K4" s="52" t="s">
        <v>92</v>
      </c>
      <c r="L4" s="53">
        <v>1</v>
      </c>
      <c r="M4" s="12"/>
      <c r="N4" s="16" t="s">
        <v>419</v>
      </c>
      <c r="O4" s="15">
        <f>(2*L21)+(2*L46)</f>
        <v>0.87560000000000004</v>
      </c>
      <c r="P4" s="12"/>
      <c r="Q4" s="127" t="s">
        <v>420</v>
      </c>
      <c r="R4" s="41"/>
      <c r="S4" s="41"/>
      <c r="T4" s="41"/>
      <c r="U4" s="41"/>
      <c r="V4" s="41"/>
      <c r="W4" s="41"/>
      <c r="X4" s="41"/>
      <c r="Y4" s="41"/>
      <c r="Z4" s="41"/>
    </row>
    <row r="5" spans="1:26" ht="30" customHeight="1" x14ac:dyDescent="0.2">
      <c r="A5" s="16">
        <v>2</v>
      </c>
      <c r="B5" s="43" t="s">
        <v>421</v>
      </c>
      <c r="C5" s="43" t="s">
        <v>422</v>
      </c>
      <c r="D5" s="15">
        <f>3*I11</f>
        <v>0.11940000000000001</v>
      </c>
      <c r="E5" s="15">
        <v>0</v>
      </c>
      <c r="F5" s="15">
        <f t="shared" si="0"/>
        <v>0.11940000000000001</v>
      </c>
      <c r="G5" s="12"/>
      <c r="H5" s="52" t="s">
        <v>97</v>
      </c>
      <c r="I5" s="54">
        <v>0.99</v>
      </c>
      <c r="J5" s="12"/>
      <c r="K5" s="55" t="s">
        <v>358</v>
      </c>
      <c r="L5" s="56">
        <v>12</v>
      </c>
      <c r="M5" s="12"/>
      <c r="N5" s="16" t="s">
        <v>423</v>
      </c>
      <c r="O5" s="15">
        <f>(1*I26)+(2*L6)</f>
        <v>2.1492</v>
      </c>
      <c r="P5" s="12"/>
      <c r="Q5" s="68"/>
      <c r="R5" s="41"/>
      <c r="S5" s="41"/>
      <c r="T5" s="41"/>
      <c r="U5" s="41"/>
      <c r="V5" s="41"/>
      <c r="W5" s="41"/>
      <c r="X5" s="41"/>
      <c r="Y5" s="41"/>
      <c r="Z5" s="41"/>
    </row>
    <row r="6" spans="1:26" ht="30" customHeight="1" x14ac:dyDescent="0.2">
      <c r="A6" s="16">
        <v>3</v>
      </c>
      <c r="B6" s="43" t="s">
        <v>424</v>
      </c>
      <c r="C6" s="43" t="s">
        <v>425</v>
      </c>
      <c r="D6" s="15">
        <v>0</v>
      </c>
      <c r="E6" s="15">
        <v>0</v>
      </c>
      <c r="F6" s="15">
        <f t="shared" si="0"/>
        <v>0</v>
      </c>
      <c r="G6" s="12"/>
      <c r="H6" s="58" t="s">
        <v>104</v>
      </c>
      <c r="I6" s="59">
        <f>IF(I4="N/A","N/A",I5/I4)</f>
        <v>6.6E-3</v>
      </c>
      <c r="J6" s="12"/>
      <c r="K6" s="58" t="s">
        <v>104</v>
      </c>
      <c r="L6" s="60">
        <f>L5/L4*$I$11</f>
        <v>0.47760000000000002</v>
      </c>
      <c r="M6" s="12"/>
      <c r="N6" s="16" t="s">
        <v>426</v>
      </c>
      <c r="O6" s="34">
        <f>AVERAGE(O3:O5)</f>
        <v>1.3266666666666667</v>
      </c>
      <c r="P6" s="12"/>
      <c r="Q6" s="128" t="s">
        <v>361</v>
      </c>
      <c r="R6" s="41"/>
      <c r="S6" s="41"/>
      <c r="T6" s="41"/>
      <c r="U6" s="41"/>
      <c r="V6" s="41"/>
      <c r="W6" s="41"/>
      <c r="X6" s="41"/>
      <c r="Y6" s="41"/>
      <c r="Z6" s="41"/>
    </row>
    <row r="7" spans="1:26" ht="30" customHeight="1" x14ac:dyDescent="0.2">
      <c r="A7" s="16">
        <v>4</v>
      </c>
      <c r="B7" s="43" t="s">
        <v>427</v>
      </c>
      <c r="C7" s="43" t="s">
        <v>428</v>
      </c>
      <c r="D7" s="15">
        <f>3*L6</f>
        <v>1.4328000000000001</v>
      </c>
      <c r="E7" s="15">
        <v>0</v>
      </c>
      <c r="F7" s="15">
        <f t="shared" si="0"/>
        <v>1.4328000000000001</v>
      </c>
      <c r="G7" s="12"/>
      <c r="H7" s="61"/>
      <c r="I7" s="62"/>
      <c r="J7" s="12"/>
      <c r="K7" s="52"/>
      <c r="L7" s="56"/>
      <c r="M7" s="12"/>
      <c r="N7" s="16"/>
      <c r="O7" s="15"/>
      <c r="P7" s="12"/>
      <c r="Q7" s="68" t="s">
        <v>429</v>
      </c>
      <c r="R7" s="41"/>
      <c r="S7" s="41"/>
      <c r="T7" s="41"/>
      <c r="U7" s="41"/>
      <c r="V7" s="41"/>
      <c r="W7" s="41"/>
      <c r="X7" s="41"/>
      <c r="Y7" s="41"/>
      <c r="Z7" s="41"/>
    </row>
    <row r="8" spans="1:26" ht="30" customHeight="1" x14ac:dyDescent="0.2">
      <c r="A8" s="16">
        <v>5</v>
      </c>
      <c r="B8" s="43" t="s">
        <v>430</v>
      </c>
      <c r="C8" s="43" t="s">
        <v>431</v>
      </c>
      <c r="D8" s="15">
        <f>1*L51</f>
        <v>1.5920000000000001</v>
      </c>
      <c r="E8" s="15">
        <v>0</v>
      </c>
      <c r="F8" s="15">
        <f t="shared" si="0"/>
        <v>1.5920000000000001</v>
      </c>
      <c r="G8" s="12"/>
      <c r="H8" s="49" t="s">
        <v>110</v>
      </c>
      <c r="I8" s="50" t="s">
        <v>432</v>
      </c>
      <c r="J8" s="36"/>
      <c r="K8" s="49" t="s">
        <v>367</v>
      </c>
      <c r="L8" s="50" t="s">
        <v>433</v>
      </c>
      <c r="M8" s="12"/>
      <c r="N8" s="16"/>
      <c r="O8" s="15"/>
      <c r="P8" s="12"/>
      <c r="Q8" s="68" t="s">
        <v>434</v>
      </c>
      <c r="R8" s="41"/>
      <c r="S8" s="41"/>
      <c r="T8" s="41"/>
      <c r="U8" s="41"/>
      <c r="V8" s="41"/>
      <c r="W8" s="41"/>
      <c r="X8" s="41"/>
      <c r="Y8" s="41"/>
      <c r="Z8" s="41"/>
    </row>
    <row r="9" spans="1:26" ht="30" customHeight="1" x14ac:dyDescent="0.2">
      <c r="A9" s="16">
        <v>6</v>
      </c>
      <c r="B9" s="43" t="s">
        <v>378</v>
      </c>
      <c r="C9" s="43" t="s">
        <v>435</v>
      </c>
      <c r="D9" s="15">
        <f>2600*I6</f>
        <v>17.16</v>
      </c>
      <c r="E9" s="15">
        <f>5*I11</f>
        <v>0.19900000000000001</v>
      </c>
      <c r="F9" s="15">
        <f t="shared" si="0"/>
        <v>17.359000000000002</v>
      </c>
      <c r="G9" s="12"/>
      <c r="H9" s="52" t="s">
        <v>117</v>
      </c>
      <c r="I9" s="53">
        <v>50</v>
      </c>
      <c r="J9" s="12"/>
      <c r="K9" s="52" t="s">
        <v>92</v>
      </c>
      <c r="L9" s="53">
        <v>1</v>
      </c>
      <c r="M9" s="12"/>
      <c r="N9" s="16"/>
      <c r="O9" s="15"/>
      <c r="P9" s="12"/>
      <c r="Q9" s="68" t="s">
        <v>436</v>
      </c>
      <c r="R9" s="41"/>
      <c r="S9" s="41"/>
      <c r="T9" s="41"/>
      <c r="U9" s="41"/>
      <c r="V9" s="41"/>
      <c r="W9" s="41"/>
      <c r="X9" s="41"/>
      <c r="Y9" s="41"/>
      <c r="Z9" s="41"/>
    </row>
    <row r="10" spans="1:26" ht="30" customHeight="1" x14ac:dyDescent="0.2">
      <c r="A10" s="16">
        <v>7</v>
      </c>
      <c r="B10" s="43" t="s">
        <v>437</v>
      </c>
      <c r="C10" s="43" t="s">
        <v>438</v>
      </c>
      <c r="D10" s="15">
        <f>3*I16</f>
        <v>1.194</v>
      </c>
      <c r="E10" s="15">
        <v>0</v>
      </c>
      <c r="F10" s="15">
        <f t="shared" si="0"/>
        <v>1.194</v>
      </c>
      <c r="G10" s="12"/>
      <c r="H10" s="52" t="s">
        <v>97</v>
      </c>
      <c r="I10" s="54">
        <v>1.99</v>
      </c>
      <c r="J10" s="12"/>
      <c r="K10" s="55" t="s">
        <v>358</v>
      </c>
      <c r="L10" s="56">
        <v>1</v>
      </c>
      <c r="M10" s="12"/>
      <c r="N10" s="16"/>
      <c r="O10" s="15"/>
      <c r="P10" s="12"/>
      <c r="Q10" s="86" t="s">
        <v>439</v>
      </c>
      <c r="R10" s="41"/>
      <c r="S10" s="41"/>
      <c r="T10" s="41"/>
      <c r="U10" s="41"/>
      <c r="V10" s="41"/>
      <c r="W10" s="41"/>
      <c r="X10" s="41"/>
      <c r="Y10" s="41"/>
      <c r="Z10" s="41"/>
    </row>
    <row r="11" spans="1:26" ht="30" customHeight="1" x14ac:dyDescent="0.2">
      <c r="A11" s="16">
        <v>8</v>
      </c>
      <c r="B11" s="43" t="s">
        <v>440</v>
      </c>
      <c r="C11" s="43" t="s">
        <v>441</v>
      </c>
      <c r="D11" s="15">
        <v>0</v>
      </c>
      <c r="E11" s="15">
        <f>1*I11</f>
        <v>3.9800000000000002E-2</v>
      </c>
      <c r="F11" s="15">
        <f t="shared" si="0"/>
        <v>3.9800000000000002E-2</v>
      </c>
      <c r="G11" s="12"/>
      <c r="H11" s="58" t="s">
        <v>104</v>
      </c>
      <c r="I11" s="60">
        <f>IF(I9="N/A","N/A",I10/I9)</f>
        <v>3.9800000000000002E-2</v>
      </c>
      <c r="J11" s="12"/>
      <c r="K11" s="58" t="s">
        <v>104</v>
      </c>
      <c r="L11" s="60">
        <f>L10/L9*$I$11</f>
        <v>3.9800000000000002E-2</v>
      </c>
      <c r="M11" s="12"/>
      <c r="N11" s="16"/>
      <c r="O11" s="15"/>
      <c r="P11" s="12"/>
      <c r="Q11" s="86" t="s">
        <v>442</v>
      </c>
      <c r="R11" s="41"/>
      <c r="S11" s="41"/>
      <c r="T11" s="41"/>
      <c r="U11" s="41"/>
      <c r="V11" s="41"/>
      <c r="W11" s="41"/>
      <c r="X11" s="41"/>
      <c r="Y11" s="41"/>
      <c r="Z11" s="41"/>
    </row>
    <row r="12" spans="1:26" ht="30" customHeight="1" x14ac:dyDescent="0.2">
      <c r="A12" s="16">
        <v>9</v>
      </c>
      <c r="B12" s="43" t="s">
        <v>443</v>
      </c>
      <c r="C12" s="43" t="s">
        <v>444</v>
      </c>
      <c r="D12" s="15">
        <f>3*L21</f>
        <v>0.95520000000000005</v>
      </c>
      <c r="E12" s="15">
        <v>0</v>
      </c>
      <c r="F12" s="15">
        <f t="shared" si="0"/>
        <v>0.95520000000000005</v>
      </c>
      <c r="G12" s="12"/>
      <c r="H12" s="52"/>
      <c r="I12" s="56"/>
      <c r="J12" s="12"/>
      <c r="K12" s="52"/>
      <c r="L12" s="64"/>
      <c r="M12" s="12"/>
      <c r="N12" s="16"/>
      <c r="O12" s="15"/>
      <c r="P12" s="12"/>
      <c r="Q12" s="86"/>
      <c r="R12" s="41"/>
      <c r="S12" s="41"/>
      <c r="T12" s="41"/>
      <c r="U12" s="41"/>
      <c r="V12" s="41"/>
      <c r="W12" s="41"/>
      <c r="X12" s="41"/>
      <c r="Y12" s="41"/>
      <c r="Z12" s="41"/>
    </row>
    <row r="13" spans="1:26" ht="30" customHeight="1" x14ac:dyDescent="0.2">
      <c r="A13" s="16">
        <v>10</v>
      </c>
      <c r="B13" s="43" t="s">
        <v>445</v>
      </c>
      <c r="C13" s="43" t="s">
        <v>446</v>
      </c>
      <c r="D13" s="15">
        <v>0</v>
      </c>
      <c r="E13" s="15">
        <f>O6</f>
        <v>1.3266666666666667</v>
      </c>
      <c r="F13" s="15">
        <f t="shared" si="0"/>
        <v>1.3266666666666667</v>
      </c>
      <c r="G13" s="12"/>
      <c r="H13" s="49" t="s">
        <v>236</v>
      </c>
      <c r="I13" s="50" t="s">
        <v>447</v>
      </c>
      <c r="J13" s="36"/>
      <c r="K13" s="49" t="s">
        <v>376</v>
      </c>
      <c r="L13" s="50" t="s">
        <v>448</v>
      </c>
      <c r="M13" s="12"/>
      <c r="N13" s="28"/>
      <c r="O13" s="34"/>
      <c r="P13" s="12"/>
      <c r="Q13" s="16"/>
      <c r="R13" s="41"/>
      <c r="S13" s="41"/>
      <c r="T13" s="41"/>
      <c r="U13" s="41"/>
      <c r="V13" s="41"/>
      <c r="W13" s="41"/>
      <c r="X13" s="41"/>
      <c r="Y13" s="41"/>
      <c r="Z13" s="41"/>
    </row>
    <row r="14" spans="1:26" ht="30" customHeight="1" x14ac:dyDescent="0.2">
      <c r="A14" s="16">
        <v>11</v>
      </c>
      <c r="B14" s="43" t="s">
        <v>435</v>
      </c>
      <c r="C14" s="43" t="s">
        <v>425</v>
      </c>
      <c r="D14" s="15">
        <f>5*I11</f>
        <v>0.19900000000000001</v>
      </c>
      <c r="E14" s="15">
        <v>0</v>
      </c>
      <c r="F14" s="15">
        <f t="shared" si="0"/>
        <v>0.19900000000000001</v>
      </c>
      <c r="G14" s="12"/>
      <c r="H14" s="52" t="s">
        <v>117</v>
      </c>
      <c r="I14" s="53">
        <v>1</v>
      </c>
      <c r="J14" s="12"/>
      <c r="K14" s="52" t="s">
        <v>92</v>
      </c>
      <c r="L14" s="53">
        <v>1</v>
      </c>
      <c r="M14" s="12"/>
      <c r="N14" s="16"/>
      <c r="O14" s="16"/>
      <c r="P14" s="12"/>
      <c r="Q14" s="16"/>
      <c r="R14" s="41"/>
      <c r="S14" s="41"/>
      <c r="T14" s="41"/>
      <c r="U14" s="41"/>
      <c r="V14" s="41"/>
      <c r="W14" s="41"/>
      <c r="X14" s="41"/>
      <c r="Y14" s="41"/>
      <c r="Z14" s="41"/>
    </row>
    <row r="15" spans="1:26" ht="30" customHeight="1" x14ac:dyDescent="0.2">
      <c r="A15" s="16">
        <v>12</v>
      </c>
      <c r="B15" s="43" t="s">
        <v>449</v>
      </c>
      <c r="C15" s="43" t="s">
        <v>424</v>
      </c>
      <c r="D15" s="15">
        <v>0</v>
      </c>
      <c r="E15" s="15">
        <v>0</v>
      </c>
      <c r="F15" s="15">
        <f t="shared" si="0"/>
        <v>0</v>
      </c>
      <c r="G15" s="12"/>
      <c r="H15" s="55" t="s">
        <v>450</v>
      </c>
      <c r="I15" s="56">
        <v>10</v>
      </c>
      <c r="J15" s="12"/>
      <c r="K15" s="55" t="s">
        <v>358</v>
      </c>
      <c r="L15" s="56">
        <v>8</v>
      </c>
      <c r="M15" s="12"/>
      <c r="N15" s="16"/>
      <c r="O15" s="16"/>
      <c r="P15" s="12"/>
      <c r="Q15" s="16"/>
      <c r="R15" s="41"/>
      <c r="S15" s="41"/>
      <c r="T15" s="41"/>
      <c r="U15" s="41"/>
      <c r="V15" s="41"/>
      <c r="W15" s="41"/>
      <c r="X15" s="41"/>
      <c r="Y15" s="41"/>
      <c r="Z15" s="41"/>
    </row>
    <row r="16" spans="1:26" ht="30" customHeight="1" x14ac:dyDescent="0.2">
      <c r="A16" s="16">
        <v>13</v>
      </c>
      <c r="B16" s="43" t="s">
        <v>440</v>
      </c>
      <c r="C16" s="43" t="s">
        <v>418</v>
      </c>
      <c r="D16" s="15">
        <v>0</v>
      </c>
      <c r="E16" s="15">
        <v>0</v>
      </c>
      <c r="F16" s="15">
        <f t="shared" si="0"/>
        <v>0</v>
      </c>
      <c r="G16" s="12"/>
      <c r="H16" s="58" t="s">
        <v>104</v>
      </c>
      <c r="I16" s="60">
        <f>IF(I14="N/A","N/A",I15/I14*$I$11)</f>
        <v>0.39800000000000002</v>
      </c>
      <c r="J16" s="12"/>
      <c r="K16" s="58" t="s">
        <v>104</v>
      </c>
      <c r="L16" s="60">
        <f>L15/L14*$I$11</f>
        <v>0.31840000000000002</v>
      </c>
      <c r="M16" s="12"/>
      <c r="N16" s="16"/>
      <c r="O16" s="16"/>
      <c r="P16" s="12"/>
      <c r="Q16" s="16"/>
      <c r="R16" s="41"/>
      <c r="S16" s="41"/>
      <c r="T16" s="41"/>
      <c r="U16" s="41"/>
      <c r="V16" s="41"/>
      <c r="W16" s="41"/>
      <c r="X16" s="41"/>
      <c r="Y16" s="41"/>
      <c r="Z16" s="41"/>
    </row>
    <row r="17" spans="1:26" ht="30" customHeight="1" x14ac:dyDescent="0.2">
      <c r="A17" s="16">
        <v>14</v>
      </c>
      <c r="B17" s="43" t="s">
        <v>451</v>
      </c>
      <c r="C17" s="43" t="s">
        <v>441</v>
      </c>
      <c r="D17" s="15">
        <v>0</v>
      </c>
      <c r="E17" s="15">
        <f>1*I11</f>
        <v>3.9800000000000002E-2</v>
      </c>
      <c r="F17" s="15">
        <f t="shared" si="0"/>
        <v>3.9800000000000002E-2</v>
      </c>
      <c r="G17" s="12"/>
      <c r="H17" s="52"/>
      <c r="I17" s="64"/>
      <c r="J17" s="12"/>
      <c r="K17" s="12"/>
      <c r="L17" s="54"/>
      <c r="M17" s="12"/>
      <c r="N17" s="16"/>
      <c r="O17" s="16"/>
      <c r="P17" s="12"/>
      <c r="Q17" s="16"/>
      <c r="R17" s="41"/>
      <c r="S17" s="41"/>
      <c r="T17" s="41"/>
      <c r="U17" s="41"/>
      <c r="V17" s="41"/>
      <c r="W17" s="41"/>
      <c r="X17" s="41"/>
      <c r="Y17" s="41"/>
      <c r="Z17" s="41"/>
    </row>
    <row r="18" spans="1:26" ht="30" customHeight="1" x14ac:dyDescent="0.2">
      <c r="A18" s="16">
        <v>15</v>
      </c>
      <c r="B18" s="43" t="s">
        <v>452</v>
      </c>
      <c r="C18" s="43" t="s">
        <v>453</v>
      </c>
      <c r="D18" s="15">
        <f>4500*I6</f>
        <v>29.7</v>
      </c>
      <c r="E18" s="15">
        <v>0</v>
      </c>
      <c r="F18" s="15">
        <f t="shared" si="0"/>
        <v>29.7</v>
      </c>
      <c r="G18" s="12"/>
      <c r="H18" s="49" t="s">
        <v>236</v>
      </c>
      <c r="I18" s="50" t="s">
        <v>454</v>
      </c>
      <c r="J18" s="36"/>
      <c r="K18" s="49" t="s">
        <v>386</v>
      </c>
      <c r="L18" s="67" t="s">
        <v>455</v>
      </c>
      <c r="M18" s="12"/>
      <c r="N18" s="16"/>
      <c r="O18" s="16"/>
      <c r="P18" s="12"/>
      <c r="Q18" s="16"/>
      <c r="R18" s="41"/>
      <c r="S18" s="41"/>
      <c r="T18" s="41"/>
      <c r="U18" s="41"/>
      <c r="V18" s="41"/>
      <c r="W18" s="41"/>
      <c r="X18" s="41"/>
      <c r="Y18" s="41"/>
      <c r="Z18" s="41"/>
    </row>
    <row r="19" spans="1:26" ht="30" customHeight="1" x14ac:dyDescent="0.2">
      <c r="A19" s="16">
        <v>16</v>
      </c>
      <c r="B19" s="43" t="s">
        <v>456</v>
      </c>
      <c r="C19" s="43" t="s">
        <v>457</v>
      </c>
      <c r="D19" s="15">
        <f>3*L11</f>
        <v>0.11940000000000001</v>
      </c>
      <c r="E19" s="15">
        <f>1*L61</f>
        <v>7.9600000000000009</v>
      </c>
      <c r="F19" s="15">
        <f t="shared" si="0"/>
        <v>8.0794000000000015</v>
      </c>
      <c r="G19" s="12"/>
      <c r="H19" s="52" t="s">
        <v>117</v>
      </c>
      <c r="I19" s="53">
        <v>1</v>
      </c>
      <c r="J19" s="12"/>
      <c r="K19" s="52" t="s">
        <v>92</v>
      </c>
      <c r="L19" s="53">
        <v>1</v>
      </c>
      <c r="M19" s="12"/>
      <c r="N19" s="16"/>
      <c r="O19" s="16"/>
      <c r="P19" s="12"/>
      <c r="Q19" s="16"/>
      <c r="R19" s="41"/>
      <c r="S19" s="41"/>
      <c r="T19" s="41"/>
      <c r="U19" s="41"/>
      <c r="V19" s="41"/>
      <c r="W19" s="41"/>
      <c r="X19" s="41"/>
      <c r="Y19" s="41"/>
      <c r="Z19" s="41"/>
    </row>
    <row r="20" spans="1:26" ht="30" customHeight="1" x14ac:dyDescent="0.2">
      <c r="A20" s="16">
        <v>17</v>
      </c>
      <c r="B20" s="43" t="s">
        <v>458</v>
      </c>
      <c r="C20" s="43" t="s">
        <v>425</v>
      </c>
      <c r="D20" s="15">
        <f>3*I21</f>
        <v>2.3879999999999999</v>
      </c>
      <c r="E20" s="15">
        <v>0</v>
      </c>
      <c r="F20" s="15">
        <f t="shared" si="0"/>
        <v>2.3879999999999999</v>
      </c>
      <c r="G20" s="12"/>
      <c r="H20" s="55" t="s">
        <v>450</v>
      </c>
      <c r="I20" s="56">
        <v>20</v>
      </c>
      <c r="J20" s="12"/>
      <c r="K20" s="55" t="s">
        <v>358</v>
      </c>
      <c r="L20" s="56">
        <v>8</v>
      </c>
      <c r="M20" s="12"/>
      <c r="N20" s="16"/>
      <c r="O20" s="16"/>
      <c r="P20" s="12"/>
      <c r="Q20" s="16"/>
      <c r="R20" s="41"/>
      <c r="S20" s="41"/>
      <c r="T20" s="41"/>
      <c r="U20" s="41"/>
      <c r="V20" s="41"/>
      <c r="W20" s="41"/>
      <c r="X20" s="41"/>
      <c r="Y20" s="41"/>
      <c r="Z20" s="41"/>
    </row>
    <row r="21" spans="1:26" ht="30" customHeight="1" x14ac:dyDescent="0.2">
      <c r="A21" s="16">
        <v>18</v>
      </c>
      <c r="B21" s="43" t="s">
        <v>444</v>
      </c>
      <c r="C21" s="43" t="s">
        <v>459</v>
      </c>
      <c r="D21" s="15">
        <v>0</v>
      </c>
      <c r="E21" s="15">
        <v>0</v>
      </c>
      <c r="F21" s="15">
        <f t="shared" si="0"/>
        <v>0</v>
      </c>
      <c r="G21" s="12"/>
      <c r="H21" s="58" t="s">
        <v>104</v>
      </c>
      <c r="I21" s="60">
        <f>IF(I19="N/A","N/A",I20/I19*$I$11)</f>
        <v>0.79600000000000004</v>
      </c>
      <c r="J21" s="12"/>
      <c r="K21" s="58" t="s">
        <v>104</v>
      </c>
      <c r="L21" s="60">
        <f>L20/L19*$I$11</f>
        <v>0.31840000000000002</v>
      </c>
      <c r="M21" s="68"/>
      <c r="N21" s="16"/>
      <c r="O21" s="16"/>
      <c r="P21" s="68"/>
      <c r="Q21" s="16"/>
      <c r="R21" s="41"/>
      <c r="S21" s="41"/>
      <c r="T21" s="41"/>
      <c r="U21" s="41"/>
      <c r="V21" s="41"/>
      <c r="W21" s="41"/>
      <c r="X21" s="41"/>
      <c r="Y21" s="41"/>
      <c r="Z21" s="41"/>
    </row>
    <row r="22" spans="1:26" ht="30" customHeight="1" x14ac:dyDescent="0.2">
      <c r="A22" s="16">
        <v>19</v>
      </c>
      <c r="B22" s="43" t="s">
        <v>460</v>
      </c>
      <c r="C22" s="43" t="s">
        <v>461</v>
      </c>
      <c r="D22" s="15">
        <f>3*L16</f>
        <v>0.95520000000000005</v>
      </c>
      <c r="E22" s="15">
        <f>(5*I16)+(3*I21)</f>
        <v>4.3780000000000001</v>
      </c>
      <c r="F22" s="15">
        <f t="shared" si="0"/>
        <v>5.3331999999999997</v>
      </c>
      <c r="G22" s="12"/>
      <c r="H22" s="12"/>
      <c r="I22" s="54"/>
      <c r="J22" s="12"/>
      <c r="K22" s="64"/>
      <c r="L22" s="69"/>
      <c r="M22" s="68"/>
      <c r="N22" s="16"/>
      <c r="O22" s="16"/>
      <c r="P22" s="68"/>
      <c r="Q22" s="16"/>
      <c r="R22" s="41"/>
      <c r="S22" s="41"/>
      <c r="T22" s="41"/>
      <c r="U22" s="41"/>
      <c r="V22" s="41"/>
      <c r="W22" s="41"/>
      <c r="X22" s="41"/>
      <c r="Y22" s="41"/>
      <c r="Z22" s="41"/>
    </row>
    <row r="23" spans="1:26" ht="30" customHeight="1" x14ac:dyDescent="0.2">
      <c r="A23" s="16">
        <v>20</v>
      </c>
      <c r="B23" s="43" t="s">
        <v>462</v>
      </c>
      <c r="C23" s="43" t="s">
        <v>418</v>
      </c>
      <c r="D23" s="15">
        <v>0</v>
      </c>
      <c r="E23" s="15">
        <v>0</v>
      </c>
      <c r="F23" s="15">
        <f t="shared" si="0"/>
        <v>0</v>
      </c>
      <c r="G23" s="12"/>
      <c r="H23" s="49" t="s">
        <v>236</v>
      </c>
      <c r="I23" s="50" t="s">
        <v>463</v>
      </c>
      <c r="J23" s="36"/>
      <c r="K23" s="49" t="s">
        <v>393</v>
      </c>
      <c r="L23" s="50" t="s">
        <v>464</v>
      </c>
      <c r="M23" s="68"/>
      <c r="N23" s="16"/>
      <c r="O23" s="16"/>
      <c r="P23" s="68"/>
      <c r="Q23" s="16"/>
      <c r="R23" s="41"/>
      <c r="S23" s="41"/>
      <c r="T23" s="41"/>
      <c r="U23" s="41"/>
      <c r="V23" s="41"/>
      <c r="W23" s="41"/>
      <c r="X23" s="41"/>
      <c r="Y23" s="41"/>
      <c r="Z23" s="41"/>
    </row>
    <row r="24" spans="1:26" ht="30" customHeight="1" x14ac:dyDescent="0.2">
      <c r="A24" s="16">
        <v>21</v>
      </c>
      <c r="B24" s="43" t="s">
        <v>435</v>
      </c>
      <c r="C24" s="43" t="s">
        <v>465</v>
      </c>
      <c r="D24" s="15">
        <f>5*I11</f>
        <v>0.19900000000000001</v>
      </c>
      <c r="E24" s="15">
        <v>0</v>
      </c>
      <c r="F24" s="15">
        <f t="shared" si="0"/>
        <v>0.19900000000000001</v>
      </c>
      <c r="G24" s="12"/>
      <c r="H24" s="52" t="s">
        <v>117</v>
      </c>
      <c r="I24" s="53">
        <v>1</v>
      </c>
      <c r="J24" s="12"/>
      <c r="K24" s="52" t="s">
        <v>92</v>
      </c>
      <c r="L24" s="53">
        <v>1</v>
      </c>
      <c r="M24" s="68"/>
      <c r="N24" s="16"/>
      <c r="O24" s="16"/>
      <c r="P24" s="68"/>
      <c r="Q24" s="16"/>
      <c r="R24" s="41"/>
      <c r="S24" s="41"/>
      <c r="T24" s="41"/>
      <c r="U24" s="41"/>
      <c r="V24" s="41"/>
      <c r="W24" s="41"/>
      <c r="X24" s="41"/>
      <c r="Y24" s="41"/>
      <c r="Z24" s="41"/>
    </row>
    <row r="25" spans="1:26" ht="30" customHeight="1" x14ac:dyDescent="0.2">
      <c r="A25" s="16">
        <v>22</v>
      </c>
      <c r="B25" s="43" t="s">
        <v>440</v>
      </c>
      <c r="C25" s="43" t="s">
        <v>466</v>
      </c>
      <c r="D25" s="15">
        <v>0</v>
      </c>
      <c r="E25" s="15">
        <f>5*L26</f>
        <v>0.59699999999999998</v>
      </c>
      <c r="F25" s="15">
        <f t="shared" si="0"/>
        <v>0.59699999999999998</v>
      </c>
      <c r="G25" s="12"/>
      <c r="H25" s="55" t="s">
        <v>450</v>
      </c>
      <c r="I25" s="56">
        <v>30</v>
      </c>
      <c r="J25" s="12"/>
      <c r="K25" s="55" t="s">
        <v>358</v>
      </c>
      <c r="L25" s="56">
        <v>3</v>
      </c>
      <c r="M25" s="68"/>
      <c r="N25" s="16"/>
      <c r="O25" s="16"/>
      <c r="P25" s="68"/>
      <c r="Q25" s="16"/>
      <c r="R25" s="41"/>
      <c r="S25" s="41"/>
      <c r="T25" s="41"/>
      <c r="U25" s="41"/>
      <c r="V25" s="41"/>
      <c r="W25" s="41"/>
      <c r="X25" s="41"/>
      <c r="Y25" s="41"/>
      <c r="Z25" s="41"/>
    </row>
    <row r="26" spans="1:26" ht="30" customHeight="1" x14ac:dyDescent="0.2">
      <c r="A26" s="16">
        <v>23</v>
      </c>
      <c r="B26" s="43" t="s">
        <v>467</v>
      </c>
      <c r="C26" s="43" t="s">
        <v>468</v>
      </c>
      <c r="D26" s="15">
        <f>7900*I6</f>
        <v>52.14</v>
      </c>
      <c r="E26" s="15">
        <v>0</v>
      </c>
      <c r="F26" s="15">
        <f t="shared" si="0"/>
        <v>52.14</v>
      </c>
      <c r="G26" s="12"/>
      <c r="H26" s="58" t="s">
        <v>104</v>
      </c>
      <c r="I26" s="60">
        <f>IF(I24="N/A","N/A",I25/I24*$I$11)</f>
        <v>1.194</v>
      </c>
      <c r="J26" s="12"/>
      <c r="K26" s="58" t="s">
        <v>104</v>
      </c>
      <c r="L26" s="60">
        <f>L25/L24*$I$11</f>
        <v>0.11940000000000001</v>
      </c>
      <c r="M26" s="12"/>
      <c r="N26" s="16"/>
      <c r="O26" s="16"/>
      <c r="P26" s="12"/>
      <c r="Q26" s="16"/>
      <c r="R26" s="41"/>
      <c r="S26" s="41"/>
      <c r="T26" s="41"/>
      <c r="U26" s="41"/>
      <c r="V26" s="41"/>
      <c r="W26" s="41"/>
      <c r="X26" s="41"/>
      <c r="Y26" s="41"/>
      <c r="Z26" s="41"/>
    </row>
    <row r="27" spans="1:26" ht="30" customHeight="1" x14ac:dyDescent="0.2">
      <c r="A27" s="16">
        <v>24</v>
      </c>
      <c r="B27" s="43" t="s">
        <v>469</v>
      </c>
      <c r="C27" s="43" t="s">
        <v>428</v>
      </c>
      <c r="D27" s="15">
        <f>3*L31</f>
        <v>1.4328000000000001</v>
      </c>
      <c r="E27" s="15">
        <v>0</v>
      </c>
      <c r="F27" s="15">
        <f t="shared" si="0"/>
        <v>1.4328000000000001</v>
      </c>
      <c r="G27" s="12"/>
      <c r="H27" s="64"/>
      <c r="I27" s="69"/>
      <c r="J27" s="12"/>
      <c r="K27" s="12"/>
      <c r="L27" s="12"/>
      <c r="M27" s="12"/>
      <c r="N27" s="16"/>
      <c r="O27" s="16"/>
      <c r="P27" s="12"/>
      <c r="Q27" s="16"/>
      <c r="R27" s="41"/>
      <c r="S27" s="41"/>
      <c r="T27" s="41"/>
      <c r="U27" s="41"/>
      <c r="V27" s="41"/>
      <c r="W27" s="41"/>
      <c r="X27" s="41"/>
      <c r="Y27" s="41"/>
      <c r="Z27" s="41"/>
    </row>
    <row r="28" spans="1:26" ht="30" customHeight="1" x14ac:dyDescent="0.2">
      <c r="A28" s="16">
        <v>25</v>
      </c>
      <c r="B28" s="43" t="s">
        <v>470</v>
      </c>
      <c r="C28" s="43" t="s">
        <v>453</v>
      </c>
      <c r="D28" s="15">
        <f>3*I26</f>
        <v>3.5819999999999999</v>
      </c>
      <c r="E28" s="15">
        <v>0</v>
      </c>
      <c r="F28" s="15">
        <f t="shared" si="0"/>
        <v>3.5819999999999999</v>
      </c>
      <c r="G28" s="12"/>
      <c r="H28" s="64"/>
      <c r="I28" s="69"/>
      <c r="J28" s="12"/>
      <c r="K28" s="49" t="s">
        <v>399</v>
      </c>
      <c r="L28" s="50" t="s">
        <v>471</v>
      </c>
      <c r="M28" s="12"/>
      <c r="N28" s="16"/>
      <c r="O28" s="16"/>
      <c r="P28" s="12"/>
      <c r="Q28" s="16"/>
      <c r="R28" s="41"/>
      <c r="S28" s="41"/>
      <c r="T28" s="41"/>
      <c r="U28" s="41"/>
      <c r="V28" s="41"/>
      <c r="W28" s="41"/>
      <c r="X28" s="41"/>
      <c r="Y28" s="41"/>
      <c r="Z28" s="41"/>
    </row>
    <row r="29" spans="1:26" ht="30" customHeight="1" x14ac:dyDescent="0.2">
      <c r="A29" s="16">
        <v>26</v>
      </c>
      <c r="B29" s="43" t="s">
        <v>472</v>
      </c>
      <c r="C29" s="43" t="s">
        <v>473</v>
      </c>
      <c r="D29" s="15">
        <f>1*L56</f>
        <v>3.9800000000000004</v>
      </c>
      <c r="E29" s="15">
        <f>5*L36</f>
        <v>2.3879999999999999</v>
      </c>
      <c r="F29" s="15">
        <f t="shared" si="0"/>
        <v>6.3680000000000003</v>
      </c>
      <c r="G29" s="12"/>
      <c r="H29" s="64"/>
      <c r="I29" s="69"/>
      <c r="J29" s="12"/>
      <c r="K29" s="52" t="s">
        <v>92</v>
      </c>
      <c r="L29" s="53">
        <v>1</v>
      </c>
      <c r="M29" s="12"/>
      <c r="N29" s="16"/>
      <c r="O29" s="16"/>
      <c r="P29" s="12"/>
      <c r="Q29" s="16"/>
      <c r="R29" s="41"/>
      <c r="S29" s="41"/>
      <c r="T29" s="41"/>
      <c r="U29" s="41"/>
      <c r="V29" s="41"/>
      <c r="W29" s="41"/>
      <c r="X29" s="41"/>
      <c r="Y29" s="41"/>
      <c r="Z29" s="41"/>
    </row>
    <row r="30" spans="1:26" ht="30" customHeight="1" x14ac:dyDescent="0.2">
      <c r="A30" s="16">
        <v>27</v>
      </c>
      <c r="B30" s="43" t="s">
        <v>474</v>
      </c>
      <c r="C30" s="43" t="s">
        <v>475</v>
      </c>
      <c r="D30" s="15">
        <v>0</v>
      </c>
      <c r="E30" s="15">
        <f>15*I11</f>
        <v>0.59699999999999998</v>
      </c>
      <c r="F30" s="15">
        <f t="shared" si="0"/>
        <v>0.59699999999999998</v>
      </c>
      <c r="G30" s="12"/>
      <c r="H30" s="64"/>
      <c r="I30" s="69"/>
      <c r="J30" s="12"/>
      <c r="K30" s="55" t="s">
        <v>358</v>
      </c>
      <c r="L30" s="56">
        <v>12</v>
      </c>
      <c r="M30" s="12"/>
      <c r="N30" s="16"/>
      <c r="O30" s="16"/>
      <c r="P30" s="12"/>
      <c r="Q30" s="16"/>
      <c r="R30" s="41"/>
      <c r="S30" s="41"/>
      <c r="T30" s="41"/>
      <c r="U30" s="41"/>
      <c r="V30" s="41"/>
      <c r="W30" s="41"/>
      <c r="X30" s="41"/>
      <c r="Y30" s="41"/>
      <c r="Z30" s="41"/>
    </row>
    <row r="31" spans="1:26" ht="30" customHeight="1" x14ac:dyDescent="0.2">
      <c r="A31" s="16">
        <v>28</v>
      </c>
      <c r="B31" s="43" t="s">
        <v>444</v>
      </c>
      <c r="C31" s="43" t="s">
        <v>476</v>
      </c>
      <c r="D31" s="15">
        <v>0</v>
      </c>
      <c r="E31" s="15">
        <f>5*L41</f>
        <v>2.3879999999999999</v>
      </c>
      <c r="F31" s="15">
        <f t="shared" si="0"/>
        <v>2.3879999999999999</v>
      </c>
      <c r="G31" s="12"/>
      <c r="H31" s="64"/>
      <c r="I31" s="69"/>
      <c r="J31" s="12"/>
      <c r="K31" s="58" t="s">
        <v>104</v>
      </c>
      <c r="L31" s="60">
        <f>L30/L29*$I$11</f>
        <v>0.47760000000000002</v>
      </c>
      <c r="M31" s="12"/>
      <c r="N31" s="16"/>
      <c r="O31" s="16"/>
      <c r="P31" s="12"/>
      <c r="Q31" s="16"/>
      <c r="R31" s="41"/>
      <c r="S31" s="41"/>
      <c r="T31" s="41"/>
      <c r="U31" s="41"/>
      <c r="V31" s="41"/>
      <c r="W31" s="41"/>
      <c r="X31" s="41"/>
      <c r="Y31" s="41"/>
      <c r="Z31" s="41"/>
    </row>
    <row r="32" spans="1:26" ht="30" customHeight="1" x14ac:dyDescent="0.2">
      <c r="A32" s="16">
        <v>29</v>
      </c>
      <c r="B32" s="43" t="s">
        <v>477</v>
      </c>
      <c r="C32" s="43" t="s">
        <v>478</v>
      </c>
      <c r="D32" s="15">
        <v>0</v>
      </c>
      <c r="E32" s="15">
        <v>0</v>
      </c>
      <c r="F32" s="15">
        <f t="shared" si="0"/>
        <v>0</v>
      </c>
      <c r="G32" s="12"/>
      <c r="H32" s="64"/>
      <c r="I32" s="69"/>
      <c r="J32" s="12"/>
      <c r="K32" s="12"/>
      <c r="L32" s="12"/>
      <c r="M32" s="12"/>
      <c r="N32" s="16"/>
      <c r="O32" s="16"/>
      <c r="P32" s="12"/>
      <c r="Q32" s="16"/>
      <c r="R32" s="41"/>
      <c r="S32" s="41"/>
      <c r="T32" s="41"/>
      <c r="U32" s="41"/>
      <c r="V32" s="41"/>
      <c r="W32" s="41"/>
      <c r="X32" s="41"/>
      <c r="Y32" s="41"/>
      <c r="Z32" s="41"/>
    </row>
    <row r="33" spans="1:26" ht="30" customHeight="1" x14ac:dyDescent="0.2">
      <c r="A33" s="16">
        <v>30</v>
      </c>
      <c r="B33" s="43" t="s">
        <v>479</v>
      </c>
      <c r="C33" s="43" t="s">
        <v>480</v>
      </c>
      <c r="D33" s="15">
        <f>3*L41</f>
        <v>1.4328000000000001</v>
      </c>
      <c r="E33" s="15">
        <f>20*I11</f>
        <v>0.79600000000000004</v>
      </c>
      <c r="F33" s="15">
        <f t="shared" si="0"/>
        <v>2.2288000000000001</v>
      </c>
      <c r="G33" s="12"/>
      <c r="H33" s="64"/>
      <c r="I33" s="69"/>
      <c r="J33" s="12"/>
      <c r="K33" s="49" t="s">
        <v>403</v>
      </c>
      <c r="L33" s="50" t="s">
        <v>377</v>
      </c>
      <c r="M33" s="12"/>
      <c r="N33" s="16"/>
      <c r="O33" s="16"/>
      <c r="P33" s="12"/>
      <c r="Q33" s="16"/>
      <c r="R33" s="41"/>
      <c r="S33" s="41"/>
      <c r="T33" s="41"/>
      <c r="U33" s="41"/>
      <c r="V33" s="41"/>
      <c r="W33" s="41"/>
      <c r="X33" s="41"/>
      <c r="Y33" s="41"/>
      <c r="Z33" s="41"/>
    </row>
    <row r="34" spans="1:26" ht="30" customHeight="1" x14ac:dyDescent="0.2">
      <c r="A34" s="16">
        <v>31</v>
      </c>
      <c r="B34" s="43" t="s">
        <v>481</v>
      </c>
      <c r="C34" s="43" t="s">
        <v>482</v>
      </c>
      <c r="D34" s="15">
        <f>3*L46</f>
        <v>0.35820000000000002</v>
      </c>
      <c r="E34" s="15">
        <v>0</v>
      </c>
      <c r="F34" s="15">
        <f t="shared" si="0"/>
        <v>0.35820000000000002</v>
      </c>
      <c r="G34" s="12"/>
      <c r="H34" s="64"/>
      <c r="I34" s="69"/>
      <c r="J34" s="12"/>
      <c r="K34" s="52" t="s">
        <v>92</v>
      </c>
      <c r="L34" s="53">
        <v>1</v>
      </c>
      <c r="M34" s="12"/>
      <c r="N34" s="16"/>
      <c r="O34" s="16"/>
      <c r="P34" s="12"/>
      <c r="Q34" s="16"/>
      <c r="R34" s="41"/>
      <c r="S34" s="41"/>
      <c r="T34" s="41"/>
      <c r="U34" s="41"/>
      <c r="V34" s="41"/>
      <c r="W34" s="41"/>
      <c r="X34" s="41"/>
      <c r="Y34" s="41"/>
      <c r="Z34" s="41"/>
    </row>
    <row r="35" spans="1:26" ht="30" customHeight="1" x14ac:dyDescent="0.2">
      <c r="A35" s="16">
        <v>32</v>
      </c>
      <c r="B35" s="43" t="s">
        <v>483</v>
      </c>
      <c r="C35" s="43" t="s">
        <v>484</v>
      </c>
      <c r="D35" s="15">
        <f>3*L36</f>
        <v>1.4328000000000001</v>
      </c>
      <c r="E35" s="15">
        <f>(8*I16)+(2*I21)+(2*I26)</f>
        <v>7.1639999999999997</v>
      </c>
      <c r="F35" s="15">
        <f t="shared" si="0"/>
        <v>8.5968</v>
      </c>
      <c r="G35" s="12"/>
      <c r="H35" s="64"/>
      <c r="I35" s="69"/>
      <c r="J35" s="12"/>
      <c r="K35" s="55" t="s">
        <v>358</v>
      </c>
      <c r="L35" s="56">
        <v>12</v>
      </c>
      <c r="M35" s="12"/>
      <c r="N35" s="16"/>
      <c r="O35" s="16"/>
      <c r="P35" s="12"/>
      <c r="Q35" s="16"/>
      <c r="R35" s="41"/>
      <c r="S35" s="41"/>
      <c r="T35" s="41"/>
      <c r="U35" s="41"/>
      <c r="V35" s="41"/>
      <c r="W35" s="41"/>
      <c r="X35" s="41"/>
      <c r="Y35" s="41"/>
      <c r="Z35" s="41"/>
    </row>
    <row r="36" spans="1:26" ht="30" customHeight="1" x14ac:dyDescent="0.2">
      <c r="A36" s="16">
        <v>33</v>
      </c>
      <c r="B36" s="43" t="s">
        <v>485</v>
      </c>
      <c r="C36" s="43" t="s">
        <v>477</v>
      </c>
      <c r="D36" s="15">
        <f>2*L26</f>
        <v>0.23880000000000001</v>
      </c>
      <c r="E36" s="15">
        <v>0</v>
      </c>
      <c r="F36" s="15">
        <f t="shared" si="0"/>
        <v>0.23880000000000001</v>
      </c>
      <c r="G36" s="12"/>
      <c r="H36" s="12"/>
      <c r="I36" s="12"/>
      <c r="J36" s="12"/>
      <c r="K36" s="58" t="s">
        <v>104</v>
      </c>
      <c r="L36" s="60">
        <f>IFERROR(L35/L34*$I$11,"")</f>
        <v>0.47760000000000002</v>
      </c>
      <c r="M36" s="12"/>
      <c r="N36" s="16"/>
      <c r="O36" s="16"/>
      <c r="P36" s="12"/>
      <c r="Q36" s="16"/>
      <c r="R36" s="41"/>
      <c r="S36" s="41"/>
      <c r="T36" s="41"/>
      <c r="U36" s="41"/>
      <c r="V36" s="41"/>
      <c r="W36" s="41"/>
      <c r="X36" s="41"/>
      <c r="Y36" s="41"/>
      <c r="Z36" s="41"/>
    </row>
    <row r="37" spans="1:26" ht="30" customHeight="1" x14ac:dyDescent="0.2">
      <c r="A37" s="16">
        <v>34</v>
      </c>
      <c r="B37" s="43" t="s">
        <v>480</v>
      </c>
      <c r="C37" s="43" t="s">
        <v>465</v>
      </c>
      <c r="D37" s="15">
        <f>20*I11</f>
        <v>0.79600000000000004</v>
      </c>
      <c r="E37" s="15">
        <v>0</v>
      </c>
      <c r="F37" s="15">
        <f t="shared" si="0"/>
        <v>0.79600000000000004</v>
      </c>
      <c r="G37" s="12"/>
      <c r="H37" s="12"/>
      <c r="I37" s="12"/>
      <c r="J37" s="12"/>
      <c r="K37" s="12"/>
      <c r="L37" s="12"/>
      <c r="M37" s="12"/>
      <c r="N37" s="16"/>
      <c r="O37" s="16"/>
      <c r="P37" s="12"/>
      <c r="Q37" s="16"/>
      <c r="R37" s="41"/>
      <c r="S37" s="41"/>
      <c r="T37" s="41"/>
      <c r="U37" s="41"/>
      <c r="V37" s="41"/>
      <c r="W37" s="41"/>
      <c r="X37" s="41"/>
      <c r="Y37" s="41"/>
      <c r="Z37" s="41"/>
    </row>
    <row r="38" spans="1:26" ht="30" customHeight="1" x14ac:dyDescent="0.2">
      <c r="A38" s="16">
        <v>35</v>
      </c>
      <c r="B38" s="43" t="s">
        <v>486</v>
      </c>
      <c r="C38" s="43" t="s">
        <v>487</v>
      </c>
      <c r="D38" s="15">
        <v>0</v>
      </c>
      <c r="E38" s="15">
        <f>75*I11</f>
        <v>2.9850000000000003</v>
      </c>
      <c r="F38" s="15">
        <f t="shared" si="0"/>
        <v>2.9850000000000003</v>
      </c>
      <c r="G38" s="12"/>
      <c r="H38" s="12"/>
      <c r="I38" s="12"/>
      <c r="J38" s="12"/>
      <c r="K38" s="49" t="s">
        <v>405</v>
      </c>
      <c r="L38" s="50" t="s">
        <v>488</v>
      </c>
      <c r="M38" s="12"/>
      <c r="N38" s="16"/>
      <c r="O38" s="16"/>
      <c r="P38" s="12"/>
      <c r="Q38" s="16"/>
      <c r="R38" s="41"/>
      <c r="S38" s="41"/>
      <c r="T38" s="41"/>
      <c r="U38" s="41"/>
      <c r="V38" s="41"/>
      <c r="W38" s="41"/>
      <c r="X38" s="41"/>
      <c r="Y38" s="41"/>
      <c r="Z38" s="41"/>
    </row>
    <row r="39" spans="1:26" ht="30" customHeight="1" x14ac:dyDescent="0.2">
      <c r="A39" s="16">
        <v>36</v>
      </c>
      <c r="B39" s="43"/>
      <c r="C39" s="43"/>
      <c r="D39" s="15">
        <v>0</v>
      </c>
      <c r="E39" s="15">
        <v>0</v>
      </c>
      <c r="F39" s="15">
        <f t="shared" si="0"/>
        <v>0</v>
      </c>
      <c r="G39" s="12"/>
      <c r="H39" s="12"/>
      <c r="I39" s="12"/>
      <c r="J39" s="12"/>
      <c r="K39" s="52" t="s">
        <v>92</v>
      </c>
      <c r="L39" s="53">
        <v>1</v>
      </c>
      <c r="M39" s="12"/>
      <c r="N39" s="16"/>
      <c r="O39" s="16"/>
      <c r="P39" s="12"/>
      <c r="Q39" s="16"/>
      <c r="R39" s="41"/>
      <c r="S39" s="41"/>
      <c r="T39" s="41"/>
      <c r="U39" s="41"/>
      <c r="V39" s="41"/>
      <c r="W39" s="41"/>
      <c r="X39" s="41"/>
      <c r="Y39" s="41"/>
      <c r="Z39" s="41"/>
    </row>
    <row r="40" spans="1:26" ht="30" customHeight="1" x14ac:dyDescent="0.2">
      <c r="A40" s="16">
        <v>37</v>
      </c>
      <c r="B40" s="43"/>
      <c r="C40" s="43"/>
      <c r="D40" s="15"/>
      <c r="E40" s="15"/>
      <c r="F40" s="15">
        <f t="shared" si="0"/>
        <v>0</v>
      </c>
      <c r="G40" s="12"/>
      <c r="H40" s="12"/>
      <c r="I40" s="12"/>
      <c r="J40" s="12"/>
      <c r="K40" s="55" t="s">
        <v>358</v>
      </c>
      <c r="L40" s="56">
        <v>12</v>
      </c>
      <c r="M40" s="12"/>
      <c r="N40" s="16"/>
      <c r="O40" s="16"/>
      <c r="P40" s="12"/>
      <c r="Q40" s="16"/>
      <c r="R40" s="41"/>
      <c r="S40" s="41"/>
      <c r="T40" s="41"/>
      <c r="U40" s="41"/>
      <c r="V40" s="41"/>
      <c r="W40" s="41"/>
      <c r="X40" s="41"/>
      <c r="Y40" s="41"/>
      <c r="Z40" s="41"/>
    </row>
    <row r="41" spans="1:26" ht="30" customHeight="1" x14ac:dyDescent="0.2">
      <c r="A41" s="16">
        <v>38</v>
      </c>
      <c r="B41" s="43"/>
      <c r="C41" s="43"/>
      <c r="D41" s="15"/>
      <c r="E41" s="15"/>
      <c r="F41" s="15">
        <f t="shared" si="0"/>
        <v>0</v>
      </c>
      <c r="G41" s="12"/>
      <c r="H41" s="12"/>
      <c r="I41" s="12"/>
      <c r="J41" s="12"/>
      <c r="K41" s="58" t="s">
        <v>104</v>
      </c>
      <c r="L41" s="60">
        <f>IFERROR(L40/L39*$I$11,"")</f>
        <v>0.47760000000000002</v>
      </c>
      <c r="M41" s="12"/>
      <c r="N41" s="16"/>
      <c r="O41" s="16"/>
      <c r="P41" s="12"/>
      <c r="Q41" s="16"/>
      <c r="R41" s="41"/>
      <c r="S41" s="41"/>
      <c r="T41" s="41"/>
      <c r="U41" s="41"/>
      <c r="V41" s="41"/>
      <c r="W41" s="41"/>
      <c r="X41" s="41"/>
      <c r="Y41" s="41"/>
      <c r="Z41" s="41"/>
    </row>
    <row r="42" spans="1:26" ht="30" customHeight="1" x14ac:dyDescent="0.2">
      <c r="A42" s="16">
        <v>39</v>
      </c>
      <c r="B42" s="43"/>
      <c r="C42" s="43"/>
      <c r="D42" s="15"/>
      <c r="E42" s="15"/>
      <c r="F42" s="15">
        <f t="shared" si="0"/>
        <v>0</v>
      </c>
      <c r="G42" s="12"/>
      <c r="H42" s="12"/>
      <c r="I42" s="12"/>
      <c r="J42" s="12"/>
      <c r="K42" s="12"/>
      <c r="L42" s="12"/>
      <c r="M42" s="12"/>
      <c r="N42" s="16"/>
      <c r="O42" s="16"/>
      <c r="P42" s="12"/>
      <c r="Q42" s="16"/>
      <c r="R42" s="41"/>
      <c r="S42" s="41"/>
      <c r="T42" s="41"/>
      <c r="U42" s="41"/>
      <c r="V42" s="41"/>
      <c r="W42" s="41"/>
      <c r="X42" s="41"/>
      <c r="Y42" s="41"/>
      <c r="Z42" s="41"/>
    </row>
    <row r="43" spans="1:26" ht="30" customHeight="1" x14ac:dyDescent="0.2">
      <c r="A43" s="16">
        <v>40</v>
      </c>
      <c r="B43" s="43"/>
      <c r="C43" s="43"/>
      <c r="D43" s="15"/>
      <c r="E43" s="15"/>
      <c r="F43" s="15">
        <f t="shared" si="0"/>
        <v>0</v>
      </c>
      <c r="G43" s="12"/>
      <c r="H43" s="12"/>
      <c r="I43" s="12"/>
      <c r="J43" s="12"/>
      <c r="K43" s="49" t="s">
        <v>407</v>
      </c>
      <c r="L43" s="50" t="s">
        <v>489</v>
      </c>
      <c r="M43" s="12"/>
      <c r="N43" s="16"/>
      <c r="O43" s="16"/>
      <c r="P43" s="12"/>
      <c r="Q43" s="16"/>
      <c r="R43" s="41"/>
      <c r="S43" s="41"/>
      <c r="T43" s="41"/>
      <c r="U43" s="41"/>
      <c r="V43" s="41"/>
      <c r="W43" s="41"/>
      <c r="X43" s="41"/>
      <c r="Y43" s="41"/>
      <c r="Z43" s="41"/>
    </row>
    <row r="44" spans="1:26" ht="30" customHeight="1" x14ac:dyDescent="0.2">
      <c r="A44" s="16">
        <v>41</v>
      </c>
      <c r="B44" s="43"/>
      <c r="C44" s="43"/>
      <c r="D44" s="15"/>
      <c r="E44" s="15"/>
      <c r="F44" s="15">
        <f t="shared" si="0"/>
        <v>0</v>
      </c>
      <c r="G44" s="12"/>
      <c r="H44" s="12"/>
      <c r="I44" s="12"/>
      <c r="J44" s="12"/>
      <c r="K44" s="52" t="s">
        <v>92</v>
      </c>
      <c r="L44" s="53">
        <v>1</v>
      </c>
      <c r="M44" s="12"/>
      <c r="N44" s="16"/>
      <c r="O44" s="16"/>
      <c r="P44" s="12"/>
      <c r="Q44" s="16"/>
      <c r="R44" s="41"/>
      <c r="S44" s="41"/>
      <c r="T44" s="41"/>
      <c r="U44" s="41"/>
      <c r="V44" s="41"/>
      <c r="W44" s="41"/>
      <c r="X44" s="41"/>
      <c r="Y44" s="41"/>
      <c r="Z44" s="41"/>
    </row>
    <row r="45" spans="1:26" ht="30" customHeight="1" x14ac:dyDescent="0.2">
      <c r="A45" s="16">
        <v>42</v>
      </c>
      <c r="B45" s="43"/>
      <c r="C45" s="43"/>
      <c r="D45" s="15"/>
      <c r="E45" s="15"/>
      <c r="F45" s="15">
        <f t="shared" si="0"/>
        <v>0</v>
      </c>
      <c r="G45" s="12"/>
      <c r="H45" s="12"/>
      <c r="I45" s="12"/>
      <c r="J45" s="12"/>
      <c r="K45" s="55" t="s">
        <v>98</v>
      </c>
      <c r="L45" s="56">
        <v>3</v>
      </c>
      <c r="M45" s="12"/>
      <c r="N45" s="16"/>
      <c r="O45" s="16"/>
      <c r="P45" s="12"/>
      <c r="Q45" s="16"/>
      <c r="R45" s="41"/>
      <c r="S45" s="41"/>
      <c r="T45" s="41"/>
      <c r="U45" s="41"/>
      <c r="V45" s="41"/>
      <c r="W45" s="41"/>
      <c r="X45" s="41"/>
      <c r="Y45" s="41"/>
      <c r="Z45" s="41"/>
    </row>
    <row r="46" spans="1:26" ht="30" customHeight="1" x14ac:dyDescent="0.2">
      <c r="A46" s="16">
        <v>43</v>
      </c>
      <c r="B46" s="43"/>
      <c r="C46" s="43"/>
      <c r="D46" s="15"/>
      <c r="E46" s="15"/>
      <c r="F46" s="15">
        <f t="shared" si="0"/>
        <v>0</v>
      </c>
      <c r="G46" s="12"/>
      <c r="H46" s="12"/>
      <c r="I46" s="12"/>
      <c r="J46" s="12"/>
      <c r="K46" s="58" t="s">
        <v>104</v>
      </c>
      <c r="L46" s="60">
        <f>IFERROR(L45/L44*$I$11,"")</f>
        <v>0.11940000000000001</v>
      </c>
      <c r="M46" s="12"/>
      <c r="N46" s="16"/>
      <c r="O46" s="16"/>
      <c r="P46" s="12"/>
      <c r="Q46" s="16"/>
      <c r="R46" s="41"/>
      <c r="S46" s="41"/>
      <c r="T46" s="41"/>
      <c r="U46" s="41"/>
      <c r="V46" s="41"/>
      <c r="W46" s="41"/>
      <c r="X46" s="41"/>
      <c r="Y46" s="41"/>
      <c r="Z46" s="41"/>
    </row>
    <row r="47" spans="1:26" ht="30" customHeight="1" x14ac:dyDescent="0.2">
      <c r="A47" s="16">
        <v>44</v>
      </c>
      <c r="B47" s="43"/>
      <c r="C47" s="43"/>
      <c r="D47" s="15"/>
      <c r="E47" s="15"/>
      <c r="F47" s="15">
        <f t="shared" si="0"/>
        <v>0</v>
      </c>
      <c r="G47" s="12"/>
      <c r="H47" s="12"/>
      <c r="I47" s="12"/>
      <c r="J47" s="12"/>
      <c r="K47" s="12"/>
      <c r="L47" s="12"/>
      <c r="M47" s="12"/>
      <c r="N47" s="16"/>
      <c r="O47" s="16"/>
      <c r="P47" s="12"/>
      <c r="Q47" s="16"/>
      <c r="R47" s="41"/>
      <c r="S47" s="41"/>
      <c r="T47" s="41"/>
      <c r="U47" s="41"/>
      <c r="V47" s="41"/>
      <c r="W47" s="41"/>
      <c r="X47" s="41"/>
      <c r="Y47" s="41"/>
      <c r="Z47" s="41"/>
    </row>
    <row r="48" spans="1:26" ht="30" customHeight="1" x14ac:dyDescent="0.2">
      <c r="A48" s="16">
        <v>45</v>
      </c>
      <c r="B48" s="43"/>
      <c r="C48" s="43"/>
      <c r="D48" s="15"/>
      <c r="E48" s="15"/>
      <c r="F48" s="15">
        <f t="shared" si="0"/>
        <v>0</v>
      </c>
      <c r="G48" s="12"/>
      <c r="H48" s="12"/>
      <c r="I48" s="12"/>
      <c r="J48" s="12"/>
      <c r="K48" s="49" t="s">
        <v>490</v>
      </c>
      <c r="L48" s="50" t="s">
        <v>430</v>
      </c>
      <c r="M48" s="12"/>
      <c r="N48" s="16"/>
      <c r="O48" s="16"/>
      <c r="P48" s="12"/>
      <c r="Q48" s="16"/>
      <c r="R48" s="41"/>
      <c r="S48" s="41"/>
      <c r="T48" s="41"/>
      <c r="U48" s="41"/>
      <c r="V48" s="41"/>
      <c r="W48" s="41"/>
      <c r="X48" s="41"/>
      <c r="Y48" s="41"/>
      <c r="Z48" s="41"/>
    </row>
    <row r="49" spans="1:26" ht="30" customHeight="1" x14ac:dyDescent="0.2">
      <c r="A49" s="16">
        <v>46</v>
      </c>
      <c r="B49" s="43"/>
      <c r="C49" s="43"/>
      <c r="D49" s="15"/>
      <c r="E49" s="15"/>
      <c r="F49" s="15">
        <f t="shared" si="0"/>
        <v>0</v>
      </c>
      <c r="G49" s="12"/>
      <c r="H49" s="12"/>
      <c r="I49" s="12"/>
      <c r="J49" s="12"/>
      <c r="K49" s="52" t="s">
        <v>92</v>
      </c>
      <c r="L49" s="53">
        <v>1</v>
      </c>
      <c r="M49" s="12"/>
      <c r="N49" s="16"/>
      <c r="O49" s="16"/>
      <c r="P49" s="12"/>
      <c r="Q49" s="16"/>
      <c r="R49" s="41"/>
      <c r="S49" s="41"/>
      <c r="T49" s="41"/>
      <c r="U49" s="41"/>
      <c r="V49" s="41"/>
      <c r="W49" s="41"/>
      <c r="X49" s="41"/>
      <c r="Y49" s="41"/>
      <c r="Z49" s="41"/>
    </row>
    <row r="50" spans="1:26" ht="30" customHeight="1" x14ac:dyDescent="0.2">
      <c r="A50" s="16">
        <v>47</v>
      </c>
      <c r="B50" s="43"/>
      <c r="C50" s="43"/>
      <c r="D50" s="15"/>
      <c r="E50" s="15"/>
      <c r="F50" s="15">
        <f t="shared" si="0"/>
        <v>0</v>
      </c>
      <c r="G50" s="12"/>
      <c r="H50" s="12"/>
      <c r="I50" s="12"/>
      <c r="J50" s="12"/>
      <c r="K50" s="55" t="s">
        <v>358</v>
      </c>
      <c r="L50" s="56">
        <v>40</v>
      </c>
      <c r="M50" s="12"/>
      <c r="N50" s="16"/>
      <c r="O50" s="16"/>
      <c r="P50" s="12"/>
      <c r="Q50" s="16"/>
      <c r="R50" s="41"/>
      <c r="S50" s="41"/>
      <c r="T50" s="41"/>
      <c r="U50" s="41"/>
      <c r="V50" s="41"/>
      <c r="W50" s="41"/>
      <c r="X50" s="41"/>
      <c r="Y50" s="41"/>
      <c r="Z50" s="41"/>
    </row>
    <row r="51" spans="1:26" ht="30" customHeight="1" x14ac:dyDescent="0.2">
      <c r="A51" s="16">
        <v>48</v>
      </c>
      <c r="B51" s="43"/>
      <c r="C51" s="43"/>
      <c r="D51" s="15"/>
      <c r="E51" s="15"/>
      <c r="F51" s="15">
        <f t="shared" si="0"/>
        <v>0</v>
      </c>
      <c r="G51" s="12"/>
      <c r="H51" s="12"/>
      <c r="I51" s="12"/>
      <c r="J51" s="12"/>
      <c r="K51" s="58" t="s">
        <v>104</v>
      </c>
      <c r="L51" s="60">
        <f>IFERROR(L50/L49*$I$11,"")</f>
        <v>1.5920000000000001</v>
      </c>
      <c r="M51" s="12"/>
      <c r="N51" s="16"/>
      <c r="O51" s="16"/>
      <c r="P51" s="12"/>
      <c r="Q51" s="16"/>
      <c r="R51" s="41"/>
      <c r="S51" s="41"/>
      <c r="T51" s="41"/>
      <c r="U51" s="41"/>
      <c r="V51" s="41"/>
      <c r="W51" s="41"/>
      <c r="X51" s="41"/>
      <c r="Y51" s="41"/>
      <c r="Z51" s="41"/>
    </row>
    <row r="52" spans="1:26" ht="30" customHeight="1" x14ac:dyDescent="0.2">
      <c r="A52" s="16">
        <v>49</v>
      </c>
      <c r="B52" s="43"/>
      <c r="C52" s="43"/>
      <c r="D52" s="15"/>
      <c r="E52" s="15"/>
      <c r="F52" s="15">
        <f t="shared" si="0"/>
        <v>0</v>
      </c>
      <c r="G52" s="12"/>
      <c r="H52" s="12"/>
      <c r="I52" s="12"/>
      <c r="J52" s="12"/>
      <c r="K52" s="12"/>
      <c r="L52" s="12"/>
      <c r="M52" s="12"/>
      <c r="N52" s="16"/>
      <c r="O52" s="16"/>
      <c r="P52" s="12"/>
      <c r="Q52" s="16"/>
      <c r="R52" s="41"/>
      <c r="S52" s="41"/>
      <c r="T52" s="41"/>
      <c r="U52" s="41"/>
      <c r="V52" s="41"/>
      <c r="W52" s="41"/>
      <c r="X52" s="41"/>
      <c r="Y52" s="41"/>
      <c r="Z52" s="41"/>
    </row>
    <row r="53" spans="1:26" ht="30" customHeight="1" x14ac:dyDescent="0.2">
      <c r="A53" s="16">
        <v>50</v>
      </c>
      <c r="B53" s="43"/>
      <c r="C53" s="43"/>
      <c r="D53" s="15"/>
      <c r="E53" s="15"/>
      <c r="F53" s="15">
        <f t="shared" si="0"/>
        <v>0</v>
      </c>
      <c r="G53" s="12"/>
      <c r="H53" s="12"/>
      <c r="I53" s="12"/>
      <c r="J53" s="12"/>
      <c r="K53" s="49" t="s">
        <v>491</v>
      </c>
      <c r="L53" s="50" t="s">
        <v>472</v>
      </c>
      <c r="M53" s="12"/>
      <c r="N53" s="16"/>
      <c r="O53" s="16"/>
      <c r="P53" s="12"/>
      <c r="Q53" s="16"/>
      <c r="R53" s="41"/>
      <c r="S53" s="41"/>
      <c r="T53" s="41"/>
      <c r="U53" s="41"/>
      <c r="V53" s="41"/>
      <c r="W53" s="41"/>
      <c r="X53" s="41"/>
      <c r="Y53" s="41"/>
      <c r="Z53" s="41"/>
    </row>
    <row r="54" spans="1:26" ht="30" customHeight="1" x14ac:dyDescent="0.2">
      <c r="A54" s="16">
        <v>51</v>
      </c>
      <c r="B54" s="43"/>
      <c r="C54" s="43"/>
      <c r="D54" s="15"/>
      <c r="E54" s="15"/>
      <c r="F54" s="15">
        <f t="shared" si="0"/>
        <v>0</v>
      </c>
      <c r="G54" s="12"/>
      <c r="H54" s="12"/>
      <c r="I54" s="12"/>
      <c r="J54" s="12"/>
      <c r="K54" s="52" t="s">
        <v>92</v>
      </c>
      <c r="L54" s="53">
        <v>1</v>
      </c>
      <c r="M54" s="12"/>
      <c r="N54" s="16"/>
      <c r="O54" s="16"/>
      <c r="P54" s="12"/>
      <c r="Q54" s="16"/>
      <c r="R54" s="41"/>
      <c r="S54" s="41"/>
      <c r="T54" s="41"/>
      <c r="U54" s="41"/>
      <c r="V54" s="41"/>
      <c r="W54" s="41"/>
      <c r="X54" s="41"/>
      <c r="Y54" s="41"/>
      <c r="Z54" s="41"/>
    </row>
    <row r="55" spans="1:26" ht="30" customHeight="1" x14ac:dyDescent="0.2">
      <c r="A55" s="28" t="s">
        <v>81</v>
      </c>
      <c r="B55" s="16"/>
      <c r="C55" s="16"/>
      <c r="D55" s="72">
        <f t="shared" ref="D55:E55" si="1">SUM(D4:D38)</f>
        <v>131.30739999999997</v>
      </c>
      <c r="E55" s="72">
        <f t="shared" si="1"/>
        <v>30.858266666666665</v>
      </c>
      <c r="F55" s="72">
        <f>SUM(F18:F53)</f>
        <v>128.00800000000001</v>
      </c>
      <c r="G55" s="12"/>
      <c r="H55" s="12"/>
      <c r="I55" s="12"/>
      <c r="J55" s="12"/>
      <c r="K55" s="55" t="s">
        <v>358</v>
      </c>
      <c r="L55" s="56">
        <v>100</v>
      </c>
      <c r="M55" s="12"/>
      <c r="N55" s="16"/>
      <c r="O55" s="16"/>
      <c r="P55" s="12"/>
      <c r="Q55" s="16"/>
      <c r="R55" s="41"/>
      <c r="S55" s="41"/>
      <c r="T55" s="41"/>
      <c r="U55" s="41"/>
      <c r="V55" s="41"/>
      <c r="W55" s="41"/>
      <c r="X55" s="41"/>
      <c r="Y55" s="41"/>
      <c r="Z55" s="41"/>
    </row>
    <row r="56" spans="1:26" ht="30" customHeight="1" x14ac:dyDescent="0.2">
      <c r="A56" s="16"/>
      <c r="B56" s="43"/>
      <c r="C56" s="43"/>
      <c r="D56" s="16"/>
      <c r="E56" s="16"/>
      <c r="F56" s="16"/>
      <c r="G56" s="12"/>
      <c r="H56" s="12"/>
      <c r="I56" s="12"/>
      <c r="J56" s="12"/>
      <c r="K56" s="58" t="s">
        <v>104</v>
      </c>
      <c r="L56" s="60">
        <f>IFERROR(L55/L54*$I$11,"")</f>
        <v>3.9800000000000004</v>
      </c>
      <c r="M56" s="12"/>
      <c r="N56" s="16"/>
      <c r="O56" s="16"/>
      <c r="P56" s="12"/>
      <c r="Q56" s="16"/>
      <c r="R56" s="41"/>
      <c r="S56" s="41"/>
      <c r="T56" s="41"/>
      <c r="U56" s="41"/>
      <c r="V56" s="41"/>
      <c r="W56" s="41"/>
      <c r="X56" s="41"/>
      <c r="Y56" s="41"/>
      <c r="Z56" s="41"/>
    </row>
    <row r="57" spans="1:26" ht="15.75" customHeight="1" x14ac:dyDescent="0.2">
      <c r="A57" s="16"/>
      <c r="B57" s="43"/>
      <c r="C57" s="43"/>
      <c r="D57" s="16"/>
      <c r="E57" s="16"/>
      <c r="F57" s="16"/>
      <c r="G57" s="12"/>
      <c r="H57" s="12"/>
      <c r="I57" s="12"/>
      <c r="J57" s="12"/>
      <c r="K57" s="12"/>
      <c r="L57" s="12"/>
      <c r="M57" s="12"/>
      <c r="N57" s="16"/>
      <c r="O57" s="16"/>
      <c r="P57" s="12"/>
      <c r="Q57" s="16"/>
      <c r="R57" s="41"/>
      <c r="S57" s="41"/>
      <c r="T57" s="41"/>
      <c r="U57" s="41"/>
      <c r="V57" s="41"/>
      <c r="W57" s="41"/>
      <c r="X57" s="41"/>
      <c r="Y57" s="41"/>
      <c r="Z57" s="41"/>
    </row>
    <row r="58" spans="1:26" ht="15.75" customHeight="1" x14ac:dyDescent="0.2">
      <c r="A58" s="16"/>
      <c r="B58" s="43"/>
      <c r="C58" s="43"/>
      <c r="D58" s="16"/>
      <c r="E58" s="16"/>
      <c r="F58" s="16"/>
      <c r="G58" s="12"/>
      <c r="H58" s="12"/>
      <c r="I58" s="12"/>
      <c r="J58" s="12"/>
      <c r="K58" s="49" t="s">
        <v>490</v>
      </c>
      <c r="L58" s="50" t="s">
        <v>457</v>
      </c>
      <c r="M58" s="12"/>
      <c r="N58" s="16"/>
      <c r="O58" s="16"/>
      <c r="P58" s="12"/>
      <c r="Q58" s="16"/>
      <c r="R58" s="41"/>
      <c r="S58" s="41"/>
      <c r="T58" s="41"/>
      <c r="U58" s="41"/>
      <c r="V58" s="41"/>
      <c r="W58" s="41"/>
      <c r="X58" s="41"/>
      <c r="Y58" s="41"/>
      <c r="Z58" s="41"/>
    </row>
    <row r="59" spans="1:26" ht="15.75" customHeight="1" x14ac:dyDescent="0.2">
      <c r="A59" s="16"/>
      <c r="B59" s="43"/>
      <c r="C59" s="43"/>
      <c r="D59" s="16"/>
      <c r="E59" s="16"/>
      <c r="F59" s="16"/>
      <c r="G59" s="12"/>
      <c r="H59" s="12"/>
      <c r="I59" s="12"/>
      <c r="J59" s="12"/>
      <c r="K59" s="52" t="s">
        <v>92</v>
      </c>
      <c r="L59" s="53">
        <v>1</v>
      </c>
      <c r="M59" s="12"/>
      <c r="N59" s="16"/>
      <c r="O59" s="16"/>
      <c r="P59" s="12"/>
      <c r="Q59" s="16"/>
      <c r="R59" s="41"/>
      <c r="S59" s="41"/>
      <c r="T59" s="41"/>
      <c r="U59" s="41"/>
      <c r="V59" s="41"/>
      <c r="W59" s="41"/>
      <c r="X59" s="41"/>
      <c r="Y59" s="41"/>
      <c r="Z59" s="41"/>
    </row>
    <row r="60" spans="1:26" ht="15.75" customHeight="1" x14ac:dyDescent="0.2">
      <c r="A60" s="16"/>
      <c r="B60" s="43"/>
      <c r="C60" s="43"/>
      <c r="D60" s="16"/>
      <c r="E60" s="16"/>
      <c r="F60" s="16"/>
      <c r="G60" s="12"/>
      <c r="H60" s="12"/>
      <c r="I60" s="12"/>
      <c r="J60" s="12"/>
      <c r="K60" s="55" t="s">
        <v>358</v>
      </c>
      <c r="L60" s="56">
        <v>200</v>
      </c>
      <c r="M60" s="12"/>
      <c r="N60" s="16"/>
      <c r="O60" s="16"/>
      <c r="P60" s="12"/>
      <c r="Q60" s="16"/>
      <c r="R60" s="41"/>
      <c r="S60" s="41"/>
      <c r="T60" s="41"/>
      <c r="U60" s="41"/>
      <c r="V60" s="41"/>
      <c r="W60" s="41"/>
      <c r="X60" s="41"/>
      <c r="Y60" s="41"/>
      <c r="Z60" s="41"/>
    </row>
    <row r="61" spans="1:26" ht="15.75" customHeight="1" x14ac:dyDescent="0.2">
      <c r="A61" s="16"/>
      <c r="B61" s="43"/>
      <c r="C61" s="43"/>
      <c r="D61" s="16"/>
      <c r="E61" s="16"/>
      <c r="F61" s="16"/>
      <c r="G61" s="12"/>
      <c r="H61" s="12"/>
      <c r="I61" s="12"/>
      <c r="J61" s="12"/>
      <c r="K61" s="58" t="s">
        <v>104</v>
      </c>
      <c r="L61" s="60">
        <f>IFERROR(L60/L59*$I$11,"")</f>
        <v>7.9600000000000009</v>
      </c>
      <c r="M61" s="12"/>
      <c r="N61" s="16"/>
      <c r="O61" s="16"/>
      <c r="P61" s="12"/>
      <c r="Q61" s="16"/>
      <c r="R61" s="41"/>
      <c r="S61" s="41"/>
      <c r="T61" s="41"/>
      <c r="U61" s="41"/>
      <c r="V61" s="41"/>
      <c r="W61" s="41"/>
      <c r="X61" s="41"/>
      <c r="Y61" s="41"/>
      <c r="Z61" s="41"/>
    </row>
    <row r="62" spans="1:26" ht="15.75" customHeight="1" x14ac:dyDescent="0.2">
      <c r="A62" s="16"/>
      <c r="B62" s="43"/>
      <c r="C62" s="43"/>
      <c r="D62" s="16"/>
      <c r="E62" s="16"/>
      <c r="F62" s="16"/>
      <c r="G62" s="12"/>
      <c r="H62" s="12"/>
      <c r="I62" s="12"/>
      <c r="J62" s="12"/>
      <c r="K62" s="12"/>
      <c r="L62" s="12"/>
      <c r="M62" s="12"/>
      <c r="N62" s="16"/>
      <c r="O62" s="16"/>
      <c r="P62" s="12"/>
      <c r="Q62" s="16"/>
      <c r="R62" s="41"/>
      <c r="S62" s="41"/>
      <c r="T62" s="41"/>
      <c r="U62" s="41"/>
      <c r="V62" s="41"/>
      <c r="W62" s="41"/>
      <c r="X62" s="41"/>
      <c r="Y62" s="41"/>
      <c r="Z62" s="41"/>
    </row>
    <row r="63" spans="1:26" ht="15.75" customHeight="1" x14ac:dyDescent="0.2">
      <c r="A63" s="16"/>
      <c r="B63" s="43"/>
      <c r="C63" s="43"/>
      <c r="D63" s="16"/>
      <c r="E63" s="16"/>
      <c r="F63" s="16"/>
      <c r="G63" s="12"/>
      <c r="H63" s="12"/>
      <c r="I63" s="12"/>
      <c r="J63" s="12"/>
      <c r="K63" s="58" t="s">
        <v>409</v>
      </c>
      <c r="L63" s="100">
        <f>AVERAGE(L6,L11,L16,L21,L26,L31,L36,L41,L46,L51,L56,L61)</f>
        <v>1.3631500000000001</v>
      </c>
      <c r="M63" s="12"/>
      <c r="N63" s="16"/>
      <c r="O63" s="16"/>
      <c r="P63" s="12"/>
      <c r="Q63" s="16"/>
      <c r="R63" s="41"/>
      <c r="S63" s="41"/>
      <c r="T63" s="41"/>
      <c r="U63" s="41"/>
      <c r="V63" s="41"/>
      <c r="W63" s="41"/>
      <c r="X63" s="41"/>
      <c r="Y63" s="41"/>
      <c r="Z63" s="41"/>
    </row>
    <row r="64" spans="1:26" ht="15.75" customHeight="1" x14ac:dyDescent="0.2">
      <c r="A64" s="16"/>
      <c r="B64" s="43"/>
      <c r="C64" s="43"/>
      <c r="D64" s="16"/>
      <c r="E64" s="16"/>
      <c r="F64" s="16"/>
      <c r="G64" s="12"/>
      <c r="H64" s="12"/>
      <c r="I64" s="12"/>
      <c r="J64" s="12"/>
      <c r="K64" s="52"/>
      <c r="L64" s="53"/>
      <c r="M64" s="12"/>
      <c r="N64" s="16"/>
      <c r="O64" s="16"/>
      <c r="P64" s="12"/>
      <c r="Q64" s="16"/>
      <c r="R64" s="41"/>
      <c r="S64" s="41"/>
      <c r="T64" s="41"/>
      <c r="U64" s="41"/>
      <c r="V64" s="41"/>
      <c r="W64" s="41"/>
      <c r="X64" s="41"/>
      <c r="Y64" s="41"/>
      <c r="Z64" s="41"/>
    </row>
    <row r="65" spans="1:26" ht="15.75" customHeight="1" x14ac:dyDescent="0.2">
      <c r="A65" s="16"/>
      <c r="B65" s="43"/>
      <c r="C65" s="43"/>
      <c r="D65" s="16"/>
      <c r="E65" s="16"/>
      <c r="F65" s="16"/>
      <c r="G65" s="12"/>
      <c r="H65" s="12"/>
      <c r="I65" s="12"/>
      <c r="J65" s="12"/>
      <c r="K65" s="55"/>
      <c r="L65" s="56"/>
      <c r="M65" s="12"/>
      <c r="N65" s="16"/>
      <c r="O65" s="16"/>
      <c r="P65" s="12"/>
      <c r="Q65" s="16"/>
      <c r="R65" s="41"/>
      <c r="S65" s="41"/>
      <c r="T65" s="41"/>
      <c r="U65" s="41"/>
      <c r="V65" s="41"/>
      <c r="W65" s="41"/>
      <c r="X65" s="41"/>
      <c r="Y65" s="41"/>
      <c r="Z65" s="41"/>
    </row>
    <row r="66" spans="1:26" ht="15.75" customHeight="1" x14ac:dyDescent="0.2">
      <c r="A66" s="16"/>
      <c r="B66" s="43"/>
      <c r="C66" s="43"/>
      <c r="D66" s="16"/>
      <c r="E66" s="16"/>
      <c r="F66" s="16"/>
      <c r="G66" s="12"/>
      <c r="H66" s="12"/>
      <c r="I66" s="12"/>
      <c r="J66" s="12"/>
      <c r="K66" s="49"/>
      <c r="L66" s="100"/>
      <c r="M66" s="12"/>
      <c r="N66" s="16"/>
      <c r="O66" s="16"/>
      <c r="P66" s="12"/>
      <c r="Q66" s="16"/>
      <c r="R66" s="41"/>
      <c r="S66" s="41"/>
      <c r="T66" s="41"/>
      <c r="U66" s="41"/>
      <c r="V66" s="41"/>
      <c r="W66" s="41"/>
      <c r="X66" s="41"/>
      <c r="Y66" s="41"/>
      <c r="Z66" s="41"/>
    </row>
    <row r="67" spans="1:26" ht="15.75" customHeight="1" x14ac:dyDescent="0.2">
      <c r="A67" s="16"/>
      <c r="B67" s="43"/>
      <c r="C67" s="43"/>
      <c r="D67" s="16"/>
      <c r="E67" s="16"/>
      <c r="F67" s="16"/>
      <c r="G67" s="12"/>
      <c r="H67" s="12"/>
      <c r="I67" s="12"/>
      <c r="J67" s="12"/>
      <c r="K67" s="12"/>
      <c r="L67" s="12"/>
      <c r="M67" s="12"/>
      <c r="N67" s="16"/>
      <c r="O67" s="16"/>
      <c r="P67" s="12"/>
      <c r="Q67" s="16"/>
      <c r="R67" s="41"/>
      <c r="S67" s="41"/>
      <c r="T67" s="41"/>
      <c r="U67" s="41"/>
      <c r="V67" s="41"/>
      <c r="W67" s="41"/>
      <c r="X67" s="41"/>
      <c r="Y67" s="41"/>
      <c r="Z67" s="41"/>
    </row>
    <row r="68" spans="1:26" ht="15.75" customHeight="1" x14ac:dyDescent="0.2">
      <c r="A68" s="16"/>
      <c r="B68" s="43"/>
      <c r="C68" s="43"/>
      <c r="D68" s="16"/>
      <c r="E68" s="16"/>
      <c r="F68" s="16"/>
      <c r="G68" s="12"/>
      <c r="H68" s="12"/>
      <c r="I68" s="12"/>
      <c r="J68" s="12"/>
      <c r="K68" s="49"/>
      <c r="L68" s="50"/>
      <c r="M68" s="12"/>
      <c r="N68" s="16"/>
      <c r="O68" s="16"/>
      <c r="P68" s="12"/>
      <c r="Q68" s="16"/>
      <c r="R68" s="41"/>
      <c r="S68" s="41"/>
      <c r="T68" s="41"/>
      <c r="U68" s="41"/>
      <c r="V68" s="41"/>
      <c r="W68" s="41"/>
      <c r="X68" s="41"/>
      <c r="Y68" s="41"/>
      <c r="Z68" s="41"/>
    </row>
    <row r="69" spans="1:26" ht="15.75" customHeight="1" x14ac:dyDescent="0.2">
      <c r="A69" s="16"/>
      <c r="B69" s="43"/>
      <c r="C69" s="43"/>
      <c r="D69" s="16"/>
      <c r="E69" s="16"/>
      <c r="F69" s="16"/>
      <c r="G69" s="12"/>
      <c r="H69" s="12"/>
      <c r="I69" s="12"/>
      <c r="J69" s="12"/>
      <c r="K69" s="52"/>
      <c r="L69" s="53"/>
      <c r="M69" s="12"/>
      <c r="N69" s="16"/>
      <c r="O69" s="16"/>
      <c r="P69" s="12"/>
      <c r="Q69" s="16"/>
      <c r="R69" s="41"/>
      <c r="S69" s="41"/>
      <c r="T69" s="41"/>
      <c r="U69" s="41"/>
      <c r="V69" s="41"/>
      <c r="W69" s="41"/>
      <c r="X69" s="41"/>
      <c r="Y69" s="41"/>
      <c r="Z69" s="41"/>
    </row>
    <row r="70" spans="1:26" ht="15.75" customHeight="1" x14ac:dyDescent="0.2">
      <c r="A70" s="16"/>
      <c r="B70" s="43"/>
      <c r="C70" s="43"/>
      <c r="D70" s="16"/>
      <c r="E70" s="16"/>
      <c r="F70" s="16"/>
      <c r="G70" s="12"/>
      <c r="H70" s="12"/>
      <c r="I70" s="12"/>
      <c r="J70" s="12"/>
      <c r="K70" s="55"/>
      <c r="L70" s="56"/>
      <c r="M70" s="12"/>
      <c r="N70" s="16"/>
      <c r="O70" s="16"/>
      <c r="P70" s="12"/>
      <c r="Q70" s="16"/>
      <c r="R70" s="41"/>
      <c r="S70" s="41"/>
      <c r="T70" s="41"/>
      <c r="U70" s="41"/>
      <c r="V70" s="41"/>
      <c r="W70" s="41"/>
      <c r="X70" s="41"/>
      <c r="Y70" s="41"/>
      <c r="Z70" s="41"/>
    </row>
    <row r="71" spans="1:26" ht="15.75" customHeight="1" x14ac:dyDescent="0.2">
      <c r="A71" s="16"/>
      <c r="B71" s="43"/>
      <c r="C71" s="43"/>
      <c r="D71" s="16"/>
      <c r="E71" s="16"/>
      <c r="F71" s="16"/>
      <c r="G71" s="12"/>
      <c r="H71" s="12"/>
      <c r="I71" s="12"/>
      <c r="J71" s="12"/>
      <c r="K71" s="49"/>
      <c r="L71" s="100"/>
      <c r="M71" s="12"/>
      <c r="N71" s="16"/>
      <c r="O71" s="16"/>
      <c r="P71" s="12"/>
      <c r="Q71" s="16"/>
      <c r="R71" s="41"/>
      <c r="S71" s="41"/>
      <c r="T71" s="41"/>
      <c r="U71" s="41"/>
      <c r="V71" s="41"/>
      <c r="W71" s="41"/>
      <c r="X71" s="41"/>
      <c r="Y71" s="41"/>
      <c r="Z71" s="41"/>
    </row>
    <row r="72" spans="1:26" ht="15.75" customHeight="1" x14ac:dyDescent="0.2">
      <c r="A72" s="16"/>
      <c r="B72" s="43"/>
      <c r="C72" s="43"/>
      <c r="D72" s="16"/>
      <c r="E72" s="16"/>
      <c r="F72" s="16"/>
      <c r="G72" s="12"/>
      <c r="H72" s="12"/>
      <c r="I72" s="12"/>
      <c r="J72" s="12"/>
      <c r="K72" s="12"/>
      <c r="L72" s="12"/>
      <c r="M72" s="12"/>
      <c r="N72" s="16"/>
      <c r="O72" s="16"/>
      <c r="P72" s="12"/>
      <c r="Q72" s="16"/>
      <c r="R72" s="41"/>
      <c r="S72" s="41"/>
      <c r="T72" s="41"/>
      <c r="U72" s="41"/>
      <c r="V72" s="41"/>
      <c r="W72" s="41"/>
      <c r="X72" s="41"/>
      <c r="Y72" s="41"/>
      <c r="Z72" s="41"/>
    </row>
    <row r="73" spans="1:26" ht="15.75" customHeight="1" x14ac:dyDescent="0.2">
      <c r="A73" s="16"/>
      <c r="B73" s="43"/>
      <c r="C73" s="43"/>
      <c r="D73" s="16"/>
      <c r="E73" s="16"/>
      <c r="F73" s="16"/>
      <c r="G73" s="12"/>
      <c r="H73" s="12"/>
      <c r="I73" s="12"/>
      <c r="J73" s="12"/>
      <c r="K73" s="49"/>
      <c r="L73" s="50"/>
      <c r="M73" s="12"/>
      <c r="N73" s="16"/>
      <c r="O73" s="16"/>
      <c r="P73" s="12"/>
      <c r="Q73" s="16"/>
      <c r="R73" s="41"/>
      <c r="S73" s="41"/>
      <c r="T73" s="41"/>
      <c r="U73" s="41"/>
      <c r="V73" s="41"/>
      <c r="W73" s="41"/>
      <c r="X73" s="41"/>
      <c r="Y73" s="41"/>
      <c r="Z73" s="41"/>
    </row>
    <row r="74" spans="1:26" ht="15.75" customHeight="1" x14ac:dyDescent="0.2">
      <c r="A74" s="16"/>
      <c r="B74" s="43"/>
      <c r="C74" s="43"/>
      <c r="D74" s="16"/>
      <c r="E74" s="16"/>
      <c r="F74" s="16"/>
      <c r="G74" s="12"/>
      <c r="H74" s="12"/>
      <c r="I74" s="12"/>
      <c r="J74" s="12"/>
      <c r="K74" s="52"/>
      <c r="L74" s="53"/>
      <c r="M74" s="12"/>
      <c r="N74" s="16"/>
      <c r="O74" s="16"/>
      <c r="P74" s="12"/>
      <c r="Q74" s="16"/>
      <c r="R74" s="41"/>
      <c r="S74" s="41"/>
      <c r="T74" s="41"/>
      <c r="U74" s="41"/>
      <c r="V74" s="41"/>
      <c r="W74" s="41"/>
      <c r="X74" s="41"/>
      <c r="Y74" s="41"/>
      <c r="Z74" s="41"/>
    </row>
    <row r="75" spans="1:26" ht="15.75" customHeight="1" x14ac:dyDescent="0.2">
      <c r="A75" s="16"/>
      <c r="B75" s="43"/>
      <c r="C75" s="43"/>
      <c r="D75" s="16"/>
      <c r="E75" s="16"/>
      <c r="F75" s="16"/>
      <c r="G75" s="12"/>
      <c r="H75" s="12"/>
      <c r="I75" s="12"/>
      <c r="J75" s="12"/>
      <c r="K75" s="55"/>
      <c r="L75" s="56"/>
      <c r="M75" s="12"/>
      <c r="N75" s="16"/>
      <c r="O75" s="16"/>
      <c r="P75" s="12"/>
      <c r="Q75" s="16"/>
      <c r="R75" s="41"/>
      <c r="S75" s="41"/>
      <c r="T75" s="41"/>
      <c r="U75" s="41"/>
      <c r="V75" s="41"/>
      <c r="W75" s="41"/>
      <c r="X75" s="41"/>
      <c r="Y75" s="41"/>
      <c r="Z75" s="41"/>
    </row>
    <row r="76" spans="1:26" ht="15.75" customHeight="1" x14ac:dyDescent="0.2">
      <c r="A76" s="16"/>
      <c r="B76" s="43"/>
      <c r="C76" s="43"/>
      <c r="D76" s="16"/>
      <c r="E76" s="16"/>
      <c r="F76" s="16"/>
      <c r="G76" s="12"/>
      <c r="H76" s="12"/>
      <c r="I76" s="12"/>
      <c r="J76" s="12"/>
      <c r="K76" s="49"/>
      <c r="L76" s="100"/>
      <c r="M76" s="12"/>
      <c r="N76" s="16"/>
      <c r="O76" s="16"/>
      <c r="P76" s="12"/>
      <c r="Q76" s="16"/>
      <c r="R76" s="41"/>
      <c r="S76" s="41"/>
      <c r="T76" s="41"/>
      <c r="U76" s="41"/>
      <c r="V76" s="41"/>
      <c r="W76" s="41"/>
      <c r="X76" s="41"/>
      <c r="Y76" s="41"/>
      <c r="Z76" s="41"/>
    </row>
    <row r="77" spans="1:26" ht="15.75" customHeight="1" x14ac:dyDescent="0.2">
      <c r="A77" s="16"/>
      <c r="B77" s="43"/>
      <c r="C77" s="43"/>
      <c r="D77" s="16"/>
      <c r="E77" s="16"/>
      <c r="F77" s="16"/>
      <c r="G77" s="12"/>
      <c r="H77" s="12"/>
      <c r="I77" s="12"/>
      <c r="J77" s="12"/>
      <c r="K77" s="12"/>
      <c r="L77" s="12"/>
      <c r="M77" s="12"/>
      <c r="N77" s="16"/>
      <c r="O77" s="16"/>
      <c r="P77" s="12"/>
      <c r="Q77" s="16"/>
      <c r="R77" s="41"/>
      <c r="S77" s="41"/>
      <c r="T77" s="41"/>
      <c r="U77" s="41"/>
      <c r="V77" s="41"/>
      <c r="W77" s="41"/>
      <c r="X77" s="41"/>
      <c r="Y77" s="41"/>
      <c r="Z77" s="41"/>
    </row>
    <row r="78" spans="1:26" ht="15.75" customHeight="1" x14ac:dyDescent="0.2">
      <c r="A78" s="16"/>
      <c r="B78" s="43"/>
      <c r="C78" s="43"/>
      <c r="D78" s="16"/>
      <c r="E78" s="16"/>
      <c r="F78" s="16"/>
      <c r="G78" s="12"/>
      <c r="H78" s="12"/>
      <c r="I78" s="12"/>
      <c r="J78" s="12"/>
      <c r="K78" s="49"/>
      <c r="L78" s="50"/>
      <c r="M78" s="12"/>
      <c r="N78" s="16"/>
      <c r="O78" s="16"/>
      <c r="P78" s="12"/>
      <c r="Q78" s="16"/>
      <c r="R78" s="41"/>
      <c r="S78" s="41"/>
      <c r="T78" s="41"/>
      <c r="U78" s="41"/>
      <c r="V78" s="41"/>
      <c r="W78" s="41"/>
      <c r="X78" s="41"/>
      <c r="Y78" s="41"/>
      <c r="Z78" s="41"/>
    </row>
    <row r="79" spans="1:26" ht="15.75" customHeight="1" x14ac:dyDescent="0.2">
      <c r="A79" s="16"/>
      <c r="B79" s="43"/>
      <c r="C79" s="43"/>
      <c r="D79" s="16"/>
      <c r="E79" s="16"/>
      <c r="F79" s="16"/>
      <c r="G79" s="12"/>
      <c r="H79" s="12"/>
      <c r="I79" s="12"/>
      <c r="J79" s="12"/>
      <c r="K79" s="52"/>
      <c r="L79" s="53"/>
      <c r="M79" s="12"/>
      <c r="N79" s="16"/>
      <c r="O79" s="16"/>
      <c r="P79" s="12"/>
      <c r="Q79" s="16"/>
      <c r="R79" s="41"/>
      <c r="S79" s="41"/>
      <c r="T79" s="41"/>
      <c r="U79" s="41"/>
      <c r="V79" s="41"/>
      <c r="W79" s="41"/>
      <c r="X79" s="41"/>
      <c r="Y79" s="41"/>
      <c r="Z79" s="41"/>
    </row>
    <row r="80" spans="1:26" ht="15.75" customHeight="1" x14ac:dyDescent="0.2">
      <c r="A80" s="16"/>
      <c r="B80" s="43"/>
      <c r="C80" s="43"/>
      <c r="D80" s="16"/>
      <c r="E80" s="16"/>
      <c r="F80" s="16"/>
      <c r="G80" s="12"/>
      <c r="H80" s="12"/>
      <c r="I80" s="12"/>
      <c r="J80" s="12"/>
      <c r="K80" s="55"/>
      <c r="L80" s="56"/>
      <c r="M80" s="12"/>
      <c r="N80" s="16"/>
      <c r="O80" s="16"/>
      <c r="P80" s="12"/>
      <c r="Q80" s="16"/>
      <c r="R80" s="41"/>
      <c r="S80" s="41"/>
      <c r="T80" s="41"/>
      <c r="U80" s="41"/>
      <c r="V80" s="41"/>
      <c r="W80" s="41"/>
      <c r="X80" s="41"/>
      <c r="Y80" s="41"/>
      <c r="Z80" s="41"/>
    </row>
    <row r="81" spans="1:26" ht="15.75" customHeight="1" x14ac:dyDescent="0.2">
      <c r="A81" s="16"/>
      <c r="B81" s="43"/>
      <c r="C81" s="43"/>
      <c r="D81" s="16"/>
      <c r="E81" s="16"/>
      <c r="F81" s="16"/>
      <c r="G81" s="12"/>
      <c r="H81" s="12"/>
      <c r="I81" s="12"/>
      <c r="J81" s="12"/>
      <c r="K81" s="49"/>
      <c r="L81" s="100"/>
      <c r="M81" s="12"/>
      <c r="N81" s="16"/>
      <c r="O81" s="16"/>
      <c r="P81" s="12"/>
      <c r="Q81" s="16"/>
      <c r="R81" s="41"/>
      <c r="S81" s="41"/>
      <c r="T81" s="41"/>
      <c r="U81" s="41"/>
      <c r="V81" s="41"/>
      <c r="W81" s="41"/>
      <c r="X81" s="41"/>
      <c r="Y81" s="41"/>
      <c r="Z81" s="41"/>
    </row>
    <row r="82" spans="1:26" ht="15.75" customHeight="1" x14ac:dyDescent="0.2">
      <c r="A82" s="16"/>
      <c r="B82" s="43"/>
      <c r="C82" s="43"/>
      <c r="D82" s="16"/>
      <c r="E82" s="16"/>
      <c r="F82" s="16"/>
      <c r="G82" s="12"/>
      <c r="H82" s="12"/>
      <c r="I82" s="12"/>
      <c r="J82" s="12"/>
      <c r="K82" s="12"/>
      <c r="L82" s="12"/>
      <c r="M82" s="12"/>
      <c r="N82" s="16"/>
      <c r="O82" s="16"/>
      <c r="P82" s="12"/>
      <c r="Q82" s="16"/>
      <c r="R82" s="41"/>
      <c r="S82" s="41"/>
      <c r="T82" s="41"/>
      <c r="U82" s="41"/>
      <c r="V82" s="41"/>
      <c r="W82" s="41"/>
      <c r="X82" s="41"/>
      <c r="Y82" s="41"/>
      <c r="Z82" s="41"/>
    </row>
    <row r="83" spans="1:26" ht="15.75" customHeight="1" x14ac:dyDescent="0.2">
      <c r="A83" s="16"/>
      <c r="B83" s="43"/>
      <c r="C83" s="43"/>
      <c r="D83" s="16"/>
      <c r="E83" s="16"/>
      <c r="F83" s="16"/>
      <c r="G83" s="12"/>
      <c r="H83" s="12"/>
      <c r="I83" s="12"/>
      <c r="J83" s="12"/>
      <c r="K83" s="12"/>
      <c r="L83" s="12"/>
      <c r="M83" s="12"/>
      <c r="N83" s="16"/>
      <c r="O83" s="16"/>
      <c r="P83" s="12"/>
      <c r="Q83" s="16"/>
      <c r="R83" s="41"/>
      <c r="S83" s="41"/>
      <c r="T83" s="41"/>
      <c r="U83" s="41"/>
      <c r="V83" s="41"/>
      <c r="W83" s="41"/>
      <c r="X83" s="41"/>
      <c r="Y83" s="41"/>
      <c r="Z83" s="41"/>
    </row>
    <row r="84" spans="1:26" ht="15.75" customHeight="1" x14ac:dyDescent="0.2">
      <c r="A84" s="16"/>
      <c r="B84" s="43"/>
      <c r="C84" s="43"/>
      <c r="D84" s="16"/>
      <c r="E84" s="16"/>
      <c r="F84" s="16"/>
      <c r="G84" s="12"/>
      <c r="H84" s="12"/>
      <c r="I84" s="12"/>
      <c r="J84" s="12"/>
      <c r="K84" s="12"/>
      <c r="L84" s="12"/>
      <c r="M84" s="12"/>
      <c r="N84" s="16"/>
      <c r="O84" s="16"/>
      <c r="P84" s="12"/>
      <c r="Q84" s="16"/>
      <c r="R84" s="41"/>
      <c r="S84" s="41"/>
      <c r="T84" s="41"/>
      <c r="U84" s="41"/>
      <c r="V84" s="41"/>
      <c r="W84" s="41"/>
      <c r="X84" s="41"/>
      <c r="Y84" s="41"/>
      <c r="Z84" s="41"/>
    </row>
    <row r="85" spans="1:26" ht="15.75" customHeight="1" x14ac:dyDescent="0.2">
      <c r="A85" s="16"/>
      <c r="B85" s="43"/>
      <c r="C85" s="43"/>
      <c r="D85" s="16"/>
      <c r="E85" s="16"/>
      <c r="F85" s="16"/>
      <c r="G85" s="12"/>
      <c r="H85" s="12"/>
      <c r="I85" s="12"/>
      <c r="J85" s="12"/>
      <c r="K85" s="12"/>
      <c r="L85" s="12"/>
      <c r="M85" s="12"/>
      <c r="N85" s="16"/>
      <c r="O85" s="16"/>
      <c r="P85" s="12"/>
      <c r="Q85" s="16"/>
      <c r="R85" s="41"/>
      <c r="S85" s="41"/>
      <c r="T85" s="41"/>
      <c r="U85" s="41"/>
      <c r="V85" s="41"/>
      <c r="W85" s="41"/>
      <c r="X85" s="41"/>
      <c r="Y85" s="41"/>
      <c r="Z85" s="41"/>
    </row>
    <row r="86" spans="1:26" ht="15.75" customHeight="1" x14ac:dyDescent="0.2">
      <c r="A86" s="16"/>
      <c r="B86" s="43"/>
      <c r="C86" s="43"/>
      <c r="D86" s="16"/>
      <c r="E86" s="16"/>
      <c r="F86" s="16"/>
      <c r="G86" s="12"/>
      <c r="H86" s="12"/>
      <c r="I86" s="12"/>
      <c r="J86" s="12"/>
      <c r="K86" s="12"/>
      <c r="L86" s="12"/>
      <c r="M86" s="12"/>
      <c r="N86" s="16"/>
      <c r="O86" s="16"/>
      <c r="P86" s="12"/>
      <c r="Q86" s="16"/>
      <c r="R86" s="41"/>
      <c r="S86" s="41"/>
      <c r="T86" s="41"/>
      <c r="U86" s="41"/>
      <c r="V86" s="41"/>
      <c r="W86" s="41"/>
      <c r="X86" s="41"/>
      <c r="Y86" s="41"/>
      <c r="Z86" s="41"/>
    </row>
    <row r="87" spans="1:26" ht="15.75" customHeight="1" x14ac:dyDescent="0.2">
      <c r="A87" s="16"/>
      <c r="B87" s="43"/>
      <c r="C87" s="43"/>
      <c r="D87" s="16"/>
      <c r="E87" s="16"/>
      <c r="F87" s="16"/>
      <c r="G87" s="12"/>
      <c r="H87" s="12"/>
      <c r="I87" s="12"/>
      <c r="J87" s="12"/>
      <c r="K87" s="12"/>
      <c r="L87" s="12"/>
      <c r="M87" s="12"/>
      <c r="N87" s="16"/>
      <c r="O87" s="16"/>
      <c r="P87" s="12"/>
      <c r="Q87" s="16"/>
      <c r="R87" s="41"/>
      <c r="S87" s="41"/>
      <c r="T87" s="41"/>
      <c r="U87" s="41"/>
      <c r="V87" s="41"/>
      <c r="W87" s="41"/>
      <c r="X87" s="41"/>
      <c r="Y87" s="41"/>
      <c r="Z87" s="41"/>
    </row>
    <row r="88" spans="1:26" ht="15.75" customHeight="1" x14ac:dyDescent="0.2">
      <c r="A88" s="16"/>
      <c r="B88" s="43"/>
      <c r="C88" s="43"/>
      <c r="D88" s="16"/>
      <c r="E88" s="16"/>
      <c r="F88" s="16"/>
      <c r="G88" s="12"/>
      <c r="H88" s="12"/>
      <c r="I88" s="12"/>
      <c r="J88" s="12"/>
      <c r="K88" s="12"/>
      <c r="L88" s="12"/>
      <c r="M88" s="12"/>
      <c r="N88" s="16"/>
      <c r="O88" s="16"/>
      <c r="P88" s="12"/>
      <c r="Q88" s="16"/>
      <c r="R88" s="41"/>
      <c r="S88" s="41"/>
      <c r="T88" s="41"/>
      <c r="U88" s="41"/>
      <c r="V88" s="41"/>
      <c r="W88" s="41"/>
      <c r="X88" s="41"/>
      <c r="Y88" s="41"/>
      <c r="Z88" s="41"/>
    </row>
    <row r="89" spans="1:26" ht="15.75" customHeight="1" x14ac:dyDescent="0.2">
      <c r="A89" s="16"/>
      <c r="B89" s="43"/>
      <c r="C89" s="43"/>
      <c r="D89" s="16"/>
      <c r="E89" s="16"/>
      <c r="F89" s="16"/>
      <c r="G89" s="12"/>
      <c r="H89" s="12"/>
      <c r="I89" s="12"/>
      <c r="J89" s="12"/>
      <c r="K89" s="12"/>
      <c r="L89" s="12"/>
      <c r="M89" s="12"/>
      <c r="N89" s="16"/>
      <c r="O89" s="16"/>
      <c r="P89" s="12"/>
      <c r="Q89" s="16"/>
      <c r="R89" s="41"/>
      <c r="S89" s="41"/>
      <c r="T89" s="41"/>
      <c r="U89" s="41"/>
      <c r="V89" s="41"/>
      <c r="W89" s="41"/>
      <c r="X89" s="41"/>
      <c r="Y89" s="41"/>
      <c r="Z89" s="41"/>
    </row>
    <row r="90" spans="1:26" ht="15.75" customHeight="1" x14ac:dyDescent="0.2">
      <c r="A90" s="16"/>
      <c r="B90" s="43"/>
      <c r="C90" s="43"/>
      <c r="D90" s="16"/>
      <c r="E90" s="16"/>
      <c r="F90" s="16"/>
      <c r="G90" s="12"/>
      <c r="H90" s="12"/>
      <c r="I90" s="12"/>
      <c r="J90" s="12"/>
      <c r="K90" s="12"/>
      <c r="L90" s="12"/>
      <c r="M90" s="12"/>
      <c r="N90" s="16"/>
      <c r="O90" s="16"/>
      <c r="P90" s="12"/>
      <c r="Q90" s="16"/>
      <c r="R90" s="41"/>
      <c r="S90" s="41"/>
      <c r="T90" s="41"/>
      <c r="U90" s="41"/>
      <c r="V90" s="41"/>
      <c r="W90" s="41"/>
      <c r="X90" s="41"/>
      <c r="Y90" s="41"/>
      <c r="Z90" s="41"/>
    </row>
    <row r="91" spans="1:26" ht="15.75" customHeight="1" x14ac:dyDescent="0.2">
      <c r="A91" s="16"/>
      <c r="B91" s="43"/>
      <c r="C91" s="43"/>
      <c r="D91" s="16"/>
      <c r="E91" s="16"/>
      <c r="F91" s="16"/>
      <c r="G91" s="12"/>
      <c r="H91" s="12"/>
      <c r="I91" s="12"/>
      <c r="J91" s="12"/>
      <c r="K91" s="12"/>
      <c r="L91" s="12"/>
      <c r="M91" s="12"/>
      <c r="N91" s="16"/>
      <c r="O91" s="16"/>
      <c r="P91" s="12"/>
      <c r="Q91" s="16"/>
      <c r="R91" s="41"/>
      <c r="S91" s="41"/>
      <c r="T91" s="41"/>
      <c r="U91" s="41"/>
      <c r="V91" s="41"/>
      <c r="W91" s="41"/>
      <c r="X91" s="41"/>
      <c r="Y91" s="41"/>
      <c r="Z91" s="41"/>
    </row>
    <row r="92" spans="1:26" ht="15.75" customHeight="1" x14ac:dyDescent="0.2">
      <c r="A92" s="16"/>
      <c r="B92" s="43"/>
      <c r="C92" s="43"/>
      <c r="D92" s="16"/>
      <c r="E92" s="16"/>
      <c r="F92" s="16"/>
      <c r="G92" s="12"/>
      <c r="H92" s="12"/>
      <c r="I92" s="12"/>
      <c r="J92" s="12"/>
      <c r="K92" s="12"/>
      <c r="L92" s="12"/>
      <c r="M92" s="12"/>
      <c r="N92" s="16"/>
      <c r="O92" s="16"/>
      <c r="P92" s="12"/>
      <c r="Q92" s="16"/>
      <c r="R92" s="41"/>
      <c r="S92" s="41"/>
      <c r="T92" s="41"/>
      <c r="U92" s="41"/>
      <c r="V92" s="41"/>
      <c r="W92" s="41"/>
      <c r="X92" s="41"/>
      <c r="Y92" s="41"/>
      <c r="Z92" s="41"/>
    </row>
    <row r="93" spans="1:26" ht="15.75" customHeight="1" x14ac:dyDescent="0.2">
      <c r="A93" s="16"/>
      <c r="B93" s="43"/>
      <c r="C93" s="43"/>
      <c r="D93" s="16"/>
      <c r="E93" s="16"/>
      <c r="F93" s="16"/>
      <c r="G93" s="12"/>
      <c r="H93" s="12"/>
      <c r="I93" s="12"/>
      <c r="J93" s="12"/>
      <c r="K93" s="12"/>
      <c r="L93" s="12"/>
      <c r="M93" s="12"/>
      <c r="N93" s="16"/>
      <c r="O93" s="16"/>
      <c r="P93" s="12"/>
      <c r="Q93" s="16"/>
      <c r="R93" s="41"/>
      <c r="S93" s="41"/>
      <c r="T93" s="41"/>
      <c r="U93" s="41"/>
      <c r="V93" s="41"/>
      <c r="W93" s="41"/>
      <c r="X93" s="41"/>
      <c r="Y93" s="41"/>
      <c r="Z93" s="41"/>
    </row>
    <row r="94" spans="1:26" ht="15.75" customHeight="1" x14ac:dyDescent="0.2">
      <c r="A94" s="16"/>
      <c r="B94" s="43"/>
      <c r="C94" s="43"/>
      <c r="D94" s="16"/>
      <c r="E94" s="16"/>
      <c r="F94" s="16"/>
      <c r="G94" s="12"/>
      <c r="H94" s="12"/>
      <c r="I94" s="12"/>
      <c r="J94" s="12"/>
      <c r="K94" s="12"/>
      <c r="L94" s="12"/>
      <c r="M94" s="12"/>
      <c r="N94" s="16"/>
      <c r="O94" s="16"/>
      <c r="P94" s="12"/>
      <c r="Q94" s="16"/>
      <c r="R94" s="41"/>
      <c r="S94" s="41"/>
      <c r="T94" s="41"/>
      <c r="U94" s="41"/>
      <c r="V94" s="41"/>
      <c r="W94" s="41"/>
      <c r="X94" s="41"/>
      <c r="Y94" s="41"/>
      <c r="Z94" s="41"/>
    </row>
    <row r="95" spans="1:26" ht="15.75" customHeight="1" x14ac:dyDescent="0.2">
      <c r="A95" s="16"/>
      <c r="B95" s="43"/>
      <c r="C95" s="43"/>
      <c r="D95" s="16"/>
      <c r="E95" s="16"/>
      <c r="F95" s="16"/>
      <c r="G95" s="12"/>
      <c r="H95" s="12"/>
      <c r="I95" s="12"/>
      <c r="J95" s="12"/>
      <c r="K95" s="12"/>
      <c r="L95" s="12"/>
      <c r="M95" s="12"/>
      <c r="N95" s="16"/>
      <c r="O95" s="16"/>
      <c r="P95" s="12"/>
      <c r="Q95" s="16"/>
      <c r="R95" s="41"/>
      <c r="S95" s="41"/>
      <c r="T95" s="41"/>
      <c r="U95" s="41"/>
      <c r="V95" s="41"/>
      <c r="W95" s="41"/>
      <c r="X95" s="41"/>
      <c r="Y95" s="41"/>
      <c r="Z95" s="41"/>
    </row>
    <row r="96" spans="1:26" ht="15.75" customHeight="1" x14ac:dyDescent="0.2">
      <c r="A96" s="16"/>
      <c r="B96" s="43"/>
      <c r="C96" s="43"/>
      <c r="D96" s="16"/>
      <c r="E96" s="16"/>
      <c r="F96" s="16"/>
      <c r="G96" s="12"/>
      <c r="H96" s="12"/>
      <c r="I96" s="12"/>
      <c r="J96" s="12"/>
      <c r="K96" s="12"/>
      <c r="L96" s="12"/>
      <c r="M96" s="12"/>
      <c r="N96" s="16"/>
      <c r="O96" s="16"/>
      <c r="P96" s="12"/>
      <c r="Q96" s="16"/>
      <c r="R96" s="41"/>
      <c r="S96" s="41"/>
      <c r="T96" s="41"/>
      <c r="U96" s="41"/>
      <c r="V96" s="41"/>
      <c r="W96" s="41"/>
      <c r="X96" s="41"/>
      <c r="Y96" s="41"/>
      <c r="Z96" s="41"/>
    </row>
    <row r="97" spans="1:26" ht="15.75" customHeight="1" x14ac:dyDescent="0.2">
      <c r="A97" s="16"/>
      <c r="B97" s="43"/>
      <c r="C97" s="43"/>
      <c r="D97" s="16"/>
      <c r="E97" s="16"/>
      <c r="F97" s="16"/>
      <c r="G97" s="12"/>
      <c r="H97" s="12"/>
      <c r="I97" s="12"/>
      <c r="J97" s="12"/>
      <c r="K97" s="12"/>
      <c r="L97" s="12"/>
      <c r="M97" s="12"/>
      <c r="N97" s="16"/>
      <c r="O97" s="16"/>
      <c r="P97" s="12"/>
      <c r="Q97" s="16"/>
      <c r="R97" s="41"/>
      <c r="S97" s="41"/>
      <c r="T97" s="41"/>
      <c r="U97" s="41"/>
      <c r="V97" s="41"/>
      <c r="W97" s="41"/>
      <c r="X97" s="41"/>
      <c r="Y97" s="41"/>
      <c r="Z97" s="41"/>
    </row>
    <row r="98" spans="1:26" ht="15.75" customHeight="1" x14ac:dyDescent="0.2">
      <c r="A98" s="16"/>
      <c r="B98" s="43"/>
      <c r="C98" s="43"/>
      <c r="D98" s="16"/>
      <c r="E98" s="16"/>
      <c r="F98" s="16"/>
      <c r="G98" s="12"/>
      <c r="H98" s="12"/>
      <c r="I98" s="12"/>
      <c r="J98" s="12"/>
      <c r="K98" s="12"/>
      <c r="L98" s="12"/>
      <c r="M98" s="12"/>
      <c r="N98" s="16"/>
      <c r="O98" s="16"/>
      <c r="P98" s="12"/>
      <c r="Q98" s="16"/>
      <c r="R98" s="41"/>
      <c r="S98" s="41"/>
      <c r="T98" s="41"/>
      <c r="U98" s="41"/>
      <c r="V98" s="41"/>
      <c r="W98" s="41"/>
      <c r="X98" s="41"/>
      <c r="Y98" s="41"/>
      <c r="Z98" s="41"/>
    </row>
    <row r="99" spans="1:26" ht="15.75" customHeight="1" x14ac:dyDescent="0.2">
      <c r="A99" s="16"/>
      <c r="B99" s="43"/>
      <c r="C99" s="43"/>
      <c r="D99" s="16"/>
      <c r="E99" s="16"/>
      <c r="F99" s="16"/>
      <c r="G99" s="12"/>
      <c r="H99" s="12"/>
      <c r="I99" s="12"/>
      <c r="J99" s="12"/>
      <c r="K99" s="12"/>
      <c r="L99" s="12"/>
      <c r="M99" s="12"/>
      <c r="N99" s="16"/>
      <c r="O99" s="16"/>
      <c r="P99" s="12"/>
      <c r="Q99" s="16"/>
      <c r="R99" s="41"/>
      <c r="S99" s="41"/>
      <c r="T99" s="41"/>
      <c r="U99" s="41"/>
      <c r="V99" s="41"/>
      <c r="W99" s="41"/>
      <c r="X99" s="41"/>
      <c r="Y99" s="41"/>
      <c r="Z99" s="41"/>
    </row>
    <row r="100" spans="1:26" ht="15.75" customHeight="1" x14ac:dyDescent="0.2">
      <c r="A100" s="16"/>
      <c r="B100" s="43"/>
      <c r="C100" s="43"/>
      <c r="D100" s="16"/>
      <c r="E100" s="16"/>
      <c r="F100" s="16"/>
      <c r="G100" s="12"/>
      <c r="H100" s="12"/>
      <c r="I100" s="12"/>
      <c r="J100" s="12"/>
      <c r="K100" s="12"/>
      <c r="L100" s="12"/>
      <c r="M100" s="12"/>
      <c r="N100" s="16"/>
      <c r="O100" s="16"/>
      <c r="P100" s="12"/>
      <c r="Q100" s="16"/>
      <c r="R100" s="41"/>
      <c r="S100" s="41"/>
      <c r="T100" s="41"/>
      <c r="U100" s="41"/>
      <c r="V100" s="41"/>
      <c r="W100" s="41"/>
      <c r="X100" s="41"/>
      <c r="Y100" s="41"/>
      <c r="Z100" s="41"/>
    </row>
    <row r="101" spans="1:26" ht="15.75" customHeight="1" x14ac:dyDescent="0.2">
      <c r="A101" s="16"/>
      <c r="B101" s="43"/>
      <c r="C101" s="43"/>
      <c r="D101" s="16"/>
      <c r="E101" s="16"/>
      <c r="F101" s="16"/>
      <c r="G101" s="12"/>
      <c r="H101" s="12"/>
      <c r="I101" s="12"/>
      <c r="J101" s="12"/>
      <c r="K101" s="12"/>
      <c r="L101" s="12"/>
      <c r="M101" s="12"/>
      <c r="N101" s="16"/>
      <c r="O101" s="16"/>
      <c r="P101" s="12"/>
      <c r="Q101" s="16"/>
      <c r="R101" s="41"/>
      <c r="S101" s="41"/>
      <c r="T101" s="41"/>
      <c r="U101" s="41"/>
      <c r="V101" s="41"/>
      <c r="W101" s="41"/>
      <c r="X101" s="41"/>
      <c r="Y101" s="41"/>
      <c r="Z101" s="41"/>
    </row>
    <row r="102" spans="1:26" ht="15.75" customHeight="1" x14ac:dyDescent="0.2">
      <c r="A102" s="16"/>
      <c r="B102" s="43"/>
      <c r="C102" s="43"/>
      <c r="D102" s="16"/>
      <c r="E102" s="16"/>
      <c r="F102" s="16"/>
      <c r="G102" s="12"/>
      <c r="H102" s="12"/>
      <c r="I102" s="12"/>
      <c r="J102" s="12"/>
      <c r="K102" s="12"/>
      <c r="L102" s="12"/>
      <c r="M102" s="12"/>
      <c r="N102" s="16"/>
      <c r="O102" s="16"/>
      <c r="P102" s="12"/>
      <c r="Q102" s="16"/>
      <c r="R102" s="41"/>
      <c r="S102" s="41"/>
      <c r="T102" s="41"/>
      <c r="U102" s="41"/>
      <c r="V102" s="41"/>
      <c r="W102" s="41"/>
      <c r="X102" s="41"/>
      <c r="Y102" s="41"/>
      <c r="Z102" s="41"/>
    </row>
    <row r="103" spans="1:26" ht="15.75" customHeight="1" x14ac:dyDescent="0.2">
      <c r="A103" s="16"/>
      <c r="B103" s="43"/>
      <c r="C103" s="43"/>
      <c r="D103" s="16"/>
      <c r="E103" s="16"/>
      <c r="F103" s="16"/>
      <c r="G103" s="12"/>
      <c r="H103" s="12"/>
      <c r="I103" s="12"/>
      <c r="J103" s="12"/>
      <c r="K103" s="12"/>
      <c r="L103" s="12"/>
      <c r="M103" s="12"/>
      <c r="N103" s="16"/>
      <c r="O103" s="16"/>
      <c r="P103" s="12"/>
      <c r="Q103" s="16"/>
      <c r="R103" s="41"/>
      <c r="S103" s="41"/>
      <c r="T103" s="41"/>
      <c r="U103" s="41"/>
      <c r="V103" s="41"/>
      <c r="W103" s="41"/>
      <c r="X103" s="41"/>
      <c r="Y103" s="41"/>
      <c r="Z103" s="41"/>
    </row>
    <row r="104" spans="1:26" ht="15.75" customHeight="1" x14ac:dyDescent="0.2">
      <c r="A104" s="16"/>
      <c r="B104" s="43"/>
      <c r="C104" s="43"/>
      <c r="D104" s="16"/>
      <c r="E104" s="16"/>
      <c r="F104" s="16"/>
      <c r="G104" s="12"/>
      <c r="H104" s="12"/>
      <c r="I104" s="12"/>
      <c r="J104" s="12"/>
      <c r="K104" s="12"/>
      <c r="L104" s="12"/>
      <c r="M104" s="12"/>
      <c r="N104" s="16"/>
      <c r="O104" s="16"/>
      <c r="P104" s="12"/>
      <c r="Q104" s="16"/>
      <c r="R104" s="41"/>
      <c r="S104" s="41"/>
      <c r="T104" s="41"/>
      <c r="U104" s="41"/>
      <c r="V104" s="41"/>
      <c r="W104" s="41"/>
      <c r="X104" s="41"/>
      <c r="Y104" s="41"/>
      <c r="Z104" s="41"/>
    </row>
    <row r="105" spans="1:26" ht="15.75" customHeight="1" x14ac:dyDescent="0.2">
      <c r="A105" s="16"/>
      <c r="B105" s="43"/>
      <c r="C105" s="43"/>
      <c r="D105" s="16"/>
      <c r="E105" s="16"/>
      <c r="F105" s="16"/>
      <c r="G105" s="12"/>
      <c r="H105" s="12"/>
      <c r="I105" s="12"/>
      <c r="J105" s="12"/>
      <c r="K105" s="12"/>
      <c r="L105" s="12"/>
      <c r="M105" s="12"/>
      <c r="N105" s="16"/>
      <c r="O105" s="16"/>
      <c r="P105" s="12"/>
      <c r="Q105" s="16"/>
      <c r="R105" s="41"/>
      <c r="S105" s="41"/>
      <c r="T105" s="41"/>
      <c r="U105" s="41"/>
      <c r="V105" s="41"/>
      <c r="W105" s="41"/>
      <c r="X105" s="41"/>
      <c r="Y105" s="41"/>
      <c r="Z105" s="41"/>
    </row>
    <row r="106" spans="1:26" ht="15.75" customHeight="1" x14ac:dyDescent="0.2">
      <c r="A106" s="16"/>
      <c r="B106" s="43"/>
      <c r="C106" s="43"/>
      <c r="D106" s="16"/>
      <c r="E106" s="16"/>
      <c r="F106" s="16"/>
      <c r="G106" s="12"/>
      <c r="H106" s="12"/>
      <c r="I106" s="12"/>
      <c r="J106" s="12"/>
      <c r="K106" s="12"/>
      <c r="L106" s="12"/>
      <c r="M106" s="12"/>
      <c r="N106" s="16"/>
      <c r="O106" s="16"/>
      <c r="P106" s="12"/>
      <c r="Q106" s="16"/>
      <c r="R106" s="41"/>
      <c r="S106" s="41"/>
      <c r="T106" s="41"/>
      <c r="U106" s="41"/>
      <c r="V106" s="41"/>
      <c r="W106" s="41"/>
      <c r="X106" s="41"/>
      <c r="Y106" s="41"/>
      <c r="Z106" s="41"/>
    </row>
    <row r="107" spans="1:26" ht="15.75" customHeight="1" x14ac:dyDescent="0.2">
      <c r="A107" s="16"/>
      <c r="B107" s="43"/>
      <c r="C107" s="43"/>
      <c r="D107" s="16"/>
      <c r="E107" s="16"/>
      <c r="F107" s="16"/>
      <c r="G107" s="12"/>
      <c r="H107" s="12"/>
      <c r="I107" s="12"/>
      <c r="J107" s="12"/>
      <c r="K107" s="12"/>
      <c r="L107" s="12"/>
      <c r="M107" s="12"/>
      <c r="N107" s="16"/>
      <c r="O107" s="16"/>
      <c r="P107" s="12"/>
      <c r="Q107" s="16"/>
      <c r="R107" s="41"/>
      <c r="S107" s="41"/>
      <c r="T107" s="41"/>
      <c r="U107" s="41"/>
      <c r="V107" s="41"/>
      <c r="W107" s="41"/>
      <c r="X107" s="41"/>
      <c r="Y107" s="41"/>
      <c r="Z107" s="41"/>
    </row>
    <row r="108" spans="1:26" ht="15.75" customHeight="1" x14ac:dyDescent="0.2">
      <c r="A108" s="16"/>
      <c r="B108" s="43"/>
      <c r="C108" s="43"/>
      <c r="D108" s="16"/>
      <c r="E108" s="16"/>
      <c r="F108" s="16"/>
      <c r="G108" s="12"/>
      <c r="H108" s="12"/>
      <c r="I108" s="12"/>
      <c r="J108" s="12"/>
      <c r="K108" s="12"/>
      <c r="L108" s="12"/>
      <c r="M108" s="12"/>
      <c r="N108" s="16"/>
      <c r="O108" s="16"/>
      <c r="P108" s="12"/>
      <c r="Q108" s="16"/>
      <c r="R108" s="41"/>
      <c r="S108" s="41"/>
      <c r="T108" s="41"/>
      <c r="U108" s="41"/>
      <c r="V108" s="41"/>
      <c r="W108" s="41"/>
      <c r="X108" s="41"/>
      <c r="Y108" s="41"/>
      <c r="Z108" s="41"/>
    </row>
    <row r="109" spans="1:26" ht="15.75" customHeight="1" x14ac:dyDescent="0.2">
      <c r="A109" s="16"/>
      <c r="B109" s="43"/>
      <c r="C109" s="43"/>
      <c r="D109" s="16"/>
      <c r="E109" s="16"/>
      <c r="F109" s="16"/>
      <c r="G109" s="12"/>
      <c r="H109" s="12"/>
      <c r="I109" s="12"/>
      <c r="J109" s="12"/>
      <c r="K109" s="12"/>
      <c r="L109" s="12"/>
      <c r="M109" s="12"/>
      <c r="N109" s="16"/>
      <c r="O109" s="16"/>
      <c r="P109" s="12"/>
      <c r="Q109" s="16"/>
      <c r="R109" s="41"/>
      <c r="S109" s="41"/>
      <c r="T109" s="41"/>
      <c r="U109" s="41"/>
      <c r="V109" s="41"/>
      <c r="W109" s="41"/>
      <c r="X109" s="41"/>
      <c r="Y109" s="41"/>
      <c r="Z109" s="41"/>
    </row>
    <row r="110" spans="1:26" ht="15.75" customHeight="1" x14ac:dyDescent="0.2">
      <c r="A110" s="16"/>
      <c r="B110" s="43"/>
      <c r="C110" s="43"/>
      <c r="D110" s="16"/>
      <c r="E110" s="16"/>
      <c r="F110" s="16"/>
      <c r="G110" s="12"/>
      <c r="H110" s="12"/>
      <c r="I110" s="12"/>
      <c r="J110" s="12"/>
      <c r="K110" s="12"/>
      <c r="L110" s="12"/>
      <c r="M110" s="12"/>
      <c r="N110" s="16"/>
      <c r="O110" s="16"/>
      <c r="P110" s="12"/>
      <c r="Q110" s="16"/>
      <c r="R110" s="41"/>
      <c r="S110" s="41"/>
      <c r="T110" s="41"/>
      <c r="U110" s="41"/>
      <c r="V110" s="41"/>
      <c r="W110" s="41"/>
      <c r="X110" s="41"/>
      <c r="Y110" s="41"/>
      <c r="Z110" s="41"/>
    </row>
    <row r="111" spans="1:26" ht="15.75" customHeight="1" x14ac:dyDescent="0.2">
      <c r="A111" s="16"/>
      <c r="B111" s="43"/>
      <c r="C111" s="43"/>
      <c r="D111" s="16"/>
      <c r="E111" s="16"/>
      <c r="F111" s="16"/>
      <c r="G111" s="12"/>
      <c r="H111" s="12"/>
      <c r="I111" s="12"/>
      <c r="J111" s="12"/>
      <c r="K111" s="12"/>
      <c r="L111" s="12"/>
      <c r="M111" s="12"/>
      <c r="N111" s="16"/>
      <c r="O111" s="16"/>
      <c r="P111" s="12"/>
      <c r="Q111" s="16"/>
      <c r="R111" s="41"/>
      <c r="S111" s="41"/>
      <c r="T111" s="41"/>
      <c r="U111" s="41"/>
      <c r="V111" s="41"/>
      <c r="W111" s="41"/>
      <c r="X111" s="41"/>
      <c r="Y111" s="41"/>
      <c r="Z111" s="41"/>
    </row>
    <row r="112" spans="1:26" ht="15.75" customHeight="1" x14ac:dyDescent="0.2">
      <c r="A112" s="16"/>
      <c r="B112" s="43"/>
      <c r="C112" s="43"/>
      <c r="D112" s="16"/>
      <c r="E112" s="16"/>
      <c r="F112" s="16"/>
      <c r="G112" s="12"/>
      <c r="H112" s="12"/>
      <c r="I112" s="12"/>
      <c r="J112" s="12"/>
      <c r="K112" s="12"/>
      <c r="L112" s="12"/>
      <c r="M112" s="12"/>
      <c r="N112" s="16"/>
      <c r="O112" s="16"/>
      <c r="P112" s="12"/>
      <c r="Q112" s="16"/>
      <c r="R112" s="41"/>
      <c r="S112" s="41"/>
      <c r="T112" s="41"/>
      <c r="U112" s="41"/>
      <c r="V112" s="41"/>
      <c r="W112" s="41"/>
      <c r="X112" s="41"/>
      <c r="Y112" s="41"/>
      <c r="Z112" s="41"/>
    </row>
    <row r="113" spans="1:26" ht="15.75" customHeight="1" x14ac:dyDescent="0.2">
      <c r="A113" s="16"/>
      <c r="B113" s="43"/>
      <c r="C113" s="43"/>
      <c r="D113" s="16"/>
      <c r="E113" s="16"/>
      <c r="F113" s="16"/>
      <c r="G113" s="12"/>
      <c r="H113" s="12"/>
      <c r="I113" s="12"/>
      <c r="J113" s="12"/>
      <c r="K113" s="12"/>
      <c r="L113" s="12"/>
      <c r="M113" s="12"/>
      <c r="N113" s="16"/>
      <c r="O113" s="16"/>
      <c r="P113" s="12"/>
      <c r="Q113" s="16"/>
      <c r="R113" s="41"/>
      <c r="S113" s="41"/>
      <c r="T113" s="41"/>
      <c r="U113" s="41"/>
      <c r="V113" s="41"/>
      <c r="W113" s="41"/>
      <c r="X113" s="41"/>
      <c r="Y113" s="41"/>
      <c r="Z113" s="41"/>
    </row>
    <row r="114" spans="1:26" ht="15.75" customHeight="1" x14ac:dyDescent="0.2">
      <c r="A114" s="16"/>
      <c r="B114" s="43"/>
      <c r="C114" s="43"/>
      <c r="D114" s="16"/>
      <c r="E114" s="16"/>
      <c r="F114" s="16"/>
      <c r="G114" s="12"/>
      <c r="H114" s="12"/>
      <c r="I114" s="12"/>
      <c r="J114" s="12"/>
      <c r="K114" s="12"/>
      <c r="L114" s="12"/>
      <c r="M114" s="12"/>
      <c r="N114" s="16"/>
      <c r="O114" s="16"/>
      <c r="P114" s="12"/>
      <c r="Q114" s="16"/>
      <c r="R114" s="41"/>
      <c r="S114" s="41"/>
      <c r="T114" s="41"/>
      <c r="U114" s="41"/>
      <c r="V114" s="41"/>
      <c r="W114" s="41"/>
      <c r="X114" s="41"/>
      <c r="Y114" s="41"/>
      <c r="Z114" s="41"/>
    </row>
    <row r="115" spans="1:26" ht="15.75" customHeight="1" x14ac:dyDescent="0.2">
      <c r="A115" s="16"/>
      <c r="B115" s="43"/>
      <c r="C115" s="43"/>
      <c r="D115" s="16"/>
      <c r="E115" s="16"/>
      <c r="F115" s="16"/>
      <c r="G115" s="12"/>
      <c r="H115" s="12"/>
      <c r="I115" s="12"/>
      <c r="J115" s="12"/>
      <c r="K115" s="12"/>
      <c r="L115" s="12"/>
      <c r="M115" s="12"/>
      <c r="N115" s="16"/>
      <c r="O115" s="16"/>
      <c r="P115" s="12"/>
      <c r="Q115" s="16"/>
      <c r="R115" s="41"/>
      <c r="S115" s="41"/>
      <c r="T115" s="41"/>
      <c r="U115" s="41"/>
      <c r="V115" s="41"/>
      <c r="W115" s="41"/>
      <c r="X115" s="41"/>
      <c r="Y115" s="41"/>
      <c r="Z115" s="41"/>
    </row>
    <row r="116" spans="1:26" ht="15.75" customHeight="1" x14ac:dyDescent="0.2">
      <c r="A116" s="16"/>
      <c r="B116" s="43"/>
      <c r="C116" s="43"/>
      <c r="D116" s="16"/>
      <c r="E116" s="16"/>
      <c r="F116" s="16"/>
      <c r="G116" s="12"/>
      <c r="H116" s="12"/>
      <c r="I116" s="12"/>
      <c r="J116" s="12"/>
      <c r="K116" s="12"/>
      <c r="L116" s="12"/>
      <c r="M116" s="12"/>
      <c r="N116" s="16"/>
      <c r="O116" s="16"/>
      <c r="P116" s="12"/>
      <c r="Q116" s="16"/>
      <c r="R116" s="41"/>
      <c r="S116" s="41"/>
      <c r="T116" s="41"/>
      <c r="U116" s="41"/>
      <c r="V116" s="41"/>
      <c r="W116" s="41"/>
      <c r="X116" s="41"/>
      <c r="Y116" s="41"/>
      <c r="Z116" s="41"/>
    </row>
    <row r="117" spans="1:26" ht="15.75" customHeight="1" x14ac:dyDescent="0.2">
      <c r="A117" s="16"/>
      <c r="B117" s="43"/>
      <c r="C117" s="43"/>
      <c r="D117" s="16"/>
      <c r="E117" s="16"/>
      <c r="F117" s="16"/>
      <c r="G117" s="12"/>
      <c r="H117" s="12"/>
      <c r="I117" s="12"/>
      <c r="J117" s="12"/>
      <c r="K117" s="12"/>
      <c r="L117" s="12"/>
      <c r="M117" s="12"/>
      <c r="N117" s="16"/>
      <c r="O117" s="16"/>
      <c r="P117" s="12"/>
      <c r="Q117" s="16"/>
      <c r="R117" s="41"/>
      <c r="S117" s="41"/>
      <c r="T117" s="41"/>
      <c r="U117" s="41"/>
      <c r="V117" s="41"/>
      <c r="W117" s="41"/>
      <c r="X117" s="41"/>
      <c r="Y117" s="41"/>
      <c r="Z117" s="41"/>
    </row>
    <row r="118" spans="1:26" ht="15.75" customHeight="1" x14ac:dyDescent="0.2">
      <c r="A118" s="16"/>
      <c r="B118" s="43"/>
      <c r="C118" s="43"/>
      <c r="D118" s="16"/>
      <c r="E118" s="16"/>
      <c r="F118" s="16"/>
      <c r="G118" s="12"/>
      <c r="H118" s="12"/>
      <c r="I118" s="12"/>
      <c r="J118" s="12"/>
      <c r="K118" s="12"/>
      <c r="L118" s="12"/>
      <c r="M118" s="12"/>
      <c r="N118" s="16"/>
      <c r="O118" s="16"/>
      <c r="P118" s="12"/>
      <c r="Q118" s="16"/>
      <c r="R118" s="41"/>
      <c r="S118" s="41"/>
      <c r="T118" s="41"/>
      <c r="U118" s="41"/>
      <c r="V118" s="41"/>
      <c r="W118" s="41"/>
      <c r="X118" s="41"/>
      <c r="Y118" s="41"/>
      <c r="Z118" s="41"/>
    </row>
    <row r="119" spans="1:26" ht="15.75" customHeight="1" x14ac:dyDescent="0.2">
      <c r="A119" s="16"/>
      <c r="B119" s="43"/>
      <c r="C119" s="43"/>
      <c r="D119" s="16"/>
      <c r="E119" s="16"/>
      <c r="F119" s="16"/>
      <c r="G119" s="12"/>
      <c r="H119" s="12"/>
      <c r="I119" s="12"/>
      <c r="J119" s="12"/>
      <c r="K119" s="12"/>
      <c r="L119" s="12"/>
      <c r="M119" s="12"/>
      <c r="N119" s="16"/>
      <c r="O119" s="16"/>
      <c r="P119" s="12"/>
      <c r="Q119" s="16"/>
      <c r="R119" s="41"/>
      <c r="S119" s="41"/>
      <c r="T119" s="41"/>
      <c r="U119" s="41"/>
      <c r="V119" s="41"/>
      <c r="W119" s="41"/>
      <c r="X119" s="41"/>
      <c r="Y119" s="41"/>
      <c r="Z119" s="41"/>
    </row>
    <row r="120" spans="1:26" ht="15.75" customHeight="1" x14ac:dyDescent="0.2">
      <c r="A120" s="16"/>
      <c r="B120" s="43"/>
      <c r="C120" s="43"/>
      <c r="D120" s="16"/>
      <c r="E120" s="16"/>
      <c r="F120" s="16"/>
      <c r="G120" s="12"/>
      <c r="H120" s="12"/>
      <c r="I120" s="12"/>
      <c r="J120" s="12"/>
      <c r="K120" s="12"/>
      <c r="L120" s="12"/>
      <c r="M120" s="12"/>
      <c r="N120" s="16"/>
      <c r="O120" s="16"/>
      <c r="P120" s="12"/>
      <c r="Q120" s="16"/>
      <c r="R120" s="41"/>
      <c r="S120" s="41"/>
      <c r="T120" s="41"/>
      <c r="U120" s="41"/>
      <c r="V120" s="41"/>
      <c r="W120" s="41"/>
      <c r="X120" s="41"/>
      <c r="Y120" s="41"/>
      <c r="Z120" s="41"/>
    </row>
    <row r="121" spans="1:26" ht="15.75" customHeight="1" x14ac:dyDescent="0.2">
      <c r="A121" s="16"/>
      <c r="B121" s="43"/>
      <c r="C121" s="43"/>
      <c r="D121" s="16"/>
      <c r="E121" s="16"/>
      <c r="F121" s="16"/>
      <c r="G121" s="12"/>
      <c r="H121" s="12"/>
      <c r="I121" s="12"/>
      <c r="J121" s="12"/>
      <c r="K121" s="12"/>
      <c r="L121" s="12"/>
      <c r="M121" s="12"/>
      <c r="N121" s="16"/>
      <c r="O121" s="16"/>
      <c r="P121" s="12"/>
      <c r="Q121" s="16"/>
      <c r="R121" s="41"/>
      <c r="S121" s="41"/>
      <c r="T121" s="41"/>
      <c r="U121" s="41"/>
      <c r="V121" s="41"/>
      <c r="W121" s="41"/>
      <c r="X121" s="41"/>
      <c r="Y121" s="41"/>
      <c r="Z121" s="41"/>
    </row>
    <row r="122" spans="1:26" ht="15.75" customHeight="1" x14ac:dyDescent="0.2">
      <c r="A122" s="16"/>
      <c r="B122" s="43"/>
      <c r="C122" s="43"/>
      <c r="D122" s="16"/>
      <c r="E122" s="16"/>
      <c r="F122" s="16"/>
      <c r="G122" s="12"/>
      <c r="H122" s="12"/>
      <c r="I122" s="12"/>
      <c r="J122" s="12"/>
      <c r="K122" s="12"/>
      <c r="L122" s="12"/>
      <c r="M122" s="12"/>
      <c r="N122" s="16"/>
      <c r="O122" s="16"/>
      <c r="P122" s="12"/>
      <c r="Q122" s="16"/>
      <c r="R122" s="41"/>
      <c r="S122" s="41"/>
      <c r="T122" s="41"/>
      <c r="U122" s="41"/>
      <c r="V122" s="41"/>
      <c r="W122" s="41"/>
      <c r="X122" s="41"/>
      <c r="Y122" s="41"/>
      <c r="Z122" s="41"/>
    </row>
    <row r="123" spans="1:26" ht="15.75" customHeight="1" x14ac:dyDescent="0.2">
      <c r="A123" s="16"/>
      <c r="B123" s="43"/>
      <c r="C123" s="43"/>
      <c r="D123" s="16"/>
      <c r="E123" s="16"/>
      <c r="F123" s="16"/>
      <c r="G123" s="12"/>
      <c r="H123" s="12"/>
      <c r="I123" s="12"/>
      <c r="J123" s="12"/>
      <c r="K123" s="12"/>
      <c r="L123" s="12"/>
      <c r="M123" s="12"/>
      <c r="N123" s="16"/>
      <c r="O123" s="16"/>
      <c r="P123" s="12"/>
      <c r="Q123" s="16"/>
      <c r="R123" s="41"/>
      <c r="S123" s="41"/>
      <c r="T123" s="41"/>
      <c r="U123" s="41"/>
      <c r="V123" s="41"/>
      <c r="W123" s="41"/>
      <c r="X123" s="41"/>
      <c r="Y123" s="41"/>
      <c r="Z123" s="41"/>
    </row>
    <row r="124" spans="1:26" ht="15.75" customHeight="1" x14ac:dyDescent="0.2">
      <c r="A124" s="16"/>
      <c r="B124" s="43"/>
      <c r="C124" s="43"/>
      <c r="D124" s="16"/>
      <c r="E124" s="16"/>
      <c r="F124" s="16"/>
      <c r="G124" s="12"/>
      <c r="H124" s="12"/>
      <c r="I124" s="12"/>
      <c r="J124" s="12"/>
      <c r="K124" s="12"/>
      <c r="L124" s="12"/>
      <c r="M124" s="12"/>
      <c r="N124" s="16"/>
      <c r="O124" s="16"/>
      <c r="P124" s="12"/>
      <c r="Q124" s="16"/>
      <c r="R124" s="41"/>
      <c r="S124" s="41"/>
      <c r="T124" s="41"/>
      <c r="U124" s="41"/>
      <c r="V124" s="41"/>
      <c r="W124" s="41"/>
      <c r="X124" s="41"/>
      <c r="Y124" s="41"/>
      <c r="Z124" s="41"/>
    </row>
    <row r="125" spans="1:26" ht="15.75" customHeight="1" x14ac:dyDescent="0.2">
      <c r="A125" s="16"/>
      <c r="B125" s="43"/>
      <c r="C125" s="43"/>
      <c r="D125" s="16"/>
      <c r="E125" s="16"/>
      <c r="F125" s="16"/>
      <c r="G125" s="12"/>
      <c r="H125" s="12"/>
      <c r="I125" s="12"/>
      <c r="J125" s="12"/>
      <c r="K125" s="12"/>
      <c r="L125" s="12"/>
      <c r="M125" s="12"/>
      <c r="N125" s="16"/>
      <c r="O125" s="16"/>
      <c r="P125" s="12"/>
      <c r="Q125" s="16"/>
      <c r="R125" s="41"/>
      <c r="S125" s="41"/>
      <c r="T125" s="41"/>
      <c r="U125" s="41"/>
      <c r="V125" s="41"/>
      <c r="W125" s="41"/>
      <c r="X125" s="41"/>
      <c r="Y125" s="41"/>
      <c r="Z125" s="41"/>
    </row>
    <row r="126" spans="1:26" ht="15.75" customHeight="1" x14ac:dyDescent="0.2">
      <c r="A126" s="16"/>
      <c r="B126" s="43"/>
      <c r="C126" s="43"/>
      <c r="D126" s="16"/>
      <c r="E126" s="16"/>
      <c r="F126" s="16"/>
      <c r="G126" s="12"/>
      <c r="H126" s="12"/>
      <c r="I126" s="12"/>
      <c r="J126" s="12"/>
      <c r="K126" s="12"/>
      <c r="L126" s="12"/>
      <c r="M126" s="12"/>
      <c r="N126" s="16"/>
      <c r="O126" s="16"/>
      <c r="P126" s="12"/>
      <c r="Q126" s="16"/>
      <c r="R126" s="41"/>
      <c r="S126" s="41"/>
      <c r="T126" s="41"/>
      <c r="U126" s="41"/>
      <c r="V126" s="41"/>
      <c r="W126" s="41"/>
      <c r="X126" s="41"/>
      <c r="Y126" s="41"/>
      <c r="Z126" s="41"/>
    </row>
    <row r="127" spans="1:26" ht="15.75" customHeight="1" x14ac:dyDescent="0.2">
      <c r="A127" s="16"/>
      <c r="B127" s="43"/>
      <c r="C127" s="43"/>
      <c r="D127" s="16"/>
      <c r="E127" s="16"/>
      <c r="F127" s="16"/>
      <c r="G127" s="12"/>
      <c r="H127" s="12"/>
      <c r="I127" s="12"/>
      <c r="J127" s="12"/>
      <c r="K127" s="12"/>
      <c r="L127" s="12"/>
      <c r="M127" s="12"/>
      <c r="N127" s="16"/>
      <c r="O127" s="16"/>
      <c r="P127" s="12"/>
      <c r="Q127" s="16"/>
      <c r="R127" s="41"/>
      <c r="S127" s="41"/>
      <c r="T127" s="41"/>
      <c r="U127" s="41"/>
      <c r="V127" s="41"/>
      <c r="W127" s="41"/>
      <c r="X127" s="41"/>
      <c r="Y127" s="41"/>
      <c r="Z127" s="41"/>
    </row>
    <row r="128" spans="1:26" ht="15.75" customHeight="1" x14ac:dyDescent="0.2">
      <c r="A128" s="16"/>
      <c r="B128" s="43"/>
      <c r="C128" s="43"/>
      <c r="D128" s="16"/>
      <c r="E128" s="16"/>
      <c r="F128" s="16"/>
      <c r="G128" s="12"/>
      <c r="H128" s="12"/>
      <c r="I128" s="12"/>
      <c r="J128" s="12"/>
      <c r="K128" s="12"/>
      <c r="L128" s="12"/>
      <c r="M128" s="12"/>
      <c r="N128" s="16"/>
      <c r="O128" s="16"/>
      <c r="P128" s="12"/>
      <c r="Q128" s="16"/>
      <c r="R128" s="41"/>
      <c r="S128" s="41"/>
      <c r="T128" s="41"/>
      <c r="U128" s="41"/>
      <c r="V128" s="41"/>
      <c r="W128" s="41"/>
      <c r="X128" s="41"/>
      <c r="Y128" s="41"/>
      <c r="Z128" s="41"/>
    </row>
    <row r="129" spans="1:26" ht="15.75" customHeight="1" x14ac:dyDescent="0.2">
      <c r="A129" s="16"/>
      <c r="B129" s="43"/>
      <c r="C129" s="43"/>
      <c r="D129" s="16"/>
      <c r="E129" s="16"/>
      <c r="F129" s="16"/>
      <c r="G129" s="12"/>
      <c r="H129" s="12"/>
      <c r="I129" s="12"/>
      <c r="J129" s="12"/>
      <c r="K129" s="12"/>
      <c r="L129" s="12"/>
      <c r="M129" s="12"/>
      <c r="N129" s="16"/>
      <c r="O129" s="16"/>
      <c r="P129" s="12"/>
      <c r="Q129" s="16"/>
      <c r="R129" s="41"/>
      <c r="S129" s="41"/>
      <c r="T129" s="41"/>
      <c r="U129" s="41"/>
      <c r="V129" s="41"/>
      <c r="W129" s="41"/>
      <c r="X129" s="41"/>
      <c r="Y129" s="41"/>
      <c r="Z129" s="41"/>
    </row>
    <row r="130" spans="1:26" ht="15.75" customHeight="1" x14ac:dyDescent="0.2">
      <c r="A130" s="16"/>
      <c r="B130" s="43"/>
      <c r="C130" s="43"/>
      <c r="D130" s="16"/>
      <c r="E130" s="16"/>
      <c r="F130" s="16"/>
      <c r="G130" s="12"/>
      <c r="H130" s="12"/>
      <c r="I130" s="12"/>
      <c r="J130" s="12"/>
      <c r="K130" s="12"/>
      <c r="L130" s="12"/>
      <c r="M130" s="12"/>
      <c r="N130" s="16"/>
      <c r="O130" s="16"/>
      <c r="P130" s="12"/>
      <c r="Q130" s="16"/>
      <c r="R130" s="41"/>
      <c r="S130" s="41"/>
      <c r="T130" s="41"/>
      <c r="U130" s="41"/>
      <c r="V130" s="41"/>
      <c r="W130" s="41"/>
      <c r="X130" s="41"/>
      <c r="Y130" s="41"/>
      <c r="Z130" s="41"/>
    </row>
    <row r="131" spans="1:26" ht="15.75" customHeight="1" x14ac:dyDescent="0.2">
      <c r="A131" s="16"/>
      <c r="B131" s="43"/>
      <c r="C131" s="43"/>
      <c r="D131" s="16"/>
      <c r="E131" s="16"/>
      <c r="F131" s="16"/>
      <c r="G131" s="12"/>
      <c r="H131" s="12"/>
      <c r="I131" s="12"/>
      <c r="J131" s="12"/>
      <c r="K131" s="12"/>
      <c r="L131" s="12"/>
      <c r="M131" s="12"/>
      <c r="N131" s="16"/>
      <c r="O131" s="16"/>
      <c r="P131" s="12"/>
      <c r="Q131" s="16"/>
      <c r="R131" s="41"/>
      <c r="S131" s="41"/>
      <c r="T131" s="41"/>
      <c r="U131" s="41"/>
      <c r="V131" s="41"/>
      <c r="W131" s="41"/>
      <c r="X131" s="41"/>
      <c r="Y131" s="41"/>
      <c r="Z131" s="41"/>
    </row>
    <row r="132" spans="1:26" ht="15.75" customHeight="1" x14ac:dyDescent="0.2">
      <c r="A132" s="16"/>
      <c r="B132" s="43"/>
      <c r="C132" s="43"/>
      <c r="D132" s="16"/>
      <c r="E132" s="16"/>
      <c r="F132" s="16"/>
      <c r="G132" s="12"/>
      <c r="H132" s="12"/>
      <c r="I132" s="12"/>
      <c r="J132" s="12"/>
      <c r="K132" s="12"/>
      <c r="L132" s="12"/>
      <c r="M132" s="12"/>
      <c r="N132" s="16"/>
      <c r="O132" s="16"/>
      <c r="P132" s="12"/>
      <c r="Q132" s="16"/>
      <c r="R132" s="41"/>
      <c r="S132" s="41"/>
      <c r="T132" s="41"/>
      <c r="U132" s="41"/>
      <c r="V132" s="41"/>
      <c r="W132" s="41"/>
      <c r="X132" s="41"/>
      <c r="Y132" s="41"/>
      <c r="Z132" s="41"/>
    </row>
    <row r="133" spans="1:26" ht="15.75" customHeight="1" x14ac:dyDescent="0.2">
      <c r="A133" s="16"/>
      <c r="B133" s="43"/>
      <c r="C133" s="43"/>
      <c r="D133" s="16"/>
      <c r="E133" s="16"/>
      <c r="F133" s="16"/>
      <c r="G133" s="12"/>
      <c r="H133" s="12"/>
      <c r="I133" s="12"/>
      <c r="J133" s="12"/>
      <c r="K133" s="12"/>
      <c r="L133" s="12"/>
      <c r="M133" s="12"/>
      <c r="N133" s="16"/>
      <c r="O133" s="16"/>
      <c r="P133" s="12"/>
      <c r="Q133" s="16"/>
      <c r="R133" s="41"/>
      <c r="S133" s="41"/>
      <c r="T133" s="41"/>
      <c r="U133" s="41"/>
      <c r="V133" s="41"/>
      <c r="W133" s="41"/>
      <c r="X133" s="41"/>
      <c r="Y133" s="41"/>
      <c r="Z133" s="41"/>
    </row>
    <row r="134" spans="1:26" ht="15.75" customHeight="1" x14ac:dyDescent="0.2">
      <c r="A134" s="16"/>
      <c r="B134" s="43"/>
      <c r="C134" s="43"/>
      <c r="D134" s="16"/>
      <c r="E134" s="16"/>
      <c r="F134" s="16"/>
      <c r="G134" s="12"/>
      <c r="H134" s="12"/>
      <c r="I134" s="12"/>
      <c r="J134" s="12"/>
      <c r="K134" s="12"/>
      <c r="L134" s="12"/>
      <c r="M134" s="12"/>
      <c r="N134" s="16"/>
      <c r="O134" s="16"/>
      <c r="P134" s="12"/>
      <c r="Q134" s="16"/>
      <c r="R134" s="41"/>
      <c r="S134" s="41"/>
      <c r="T134" s="41"/>
      <c r="U134" s="41"/>
      <c r="V134" s="41"/>
      <c r="W134" s="41"/>
      <c r="X134" s="41"/>
      <c r="Y134" s="41"/>
      <c r="Z134" s="41"/>
    </row>
    <row r="135" spans="1:26" ht="15.75" customHeight="1" x14ac:dyDescent="0.2">
      <c r="A135" s="16"/>
      <c r="B135" s="43"/>
      <c r="C135" s="43"/>
      <c r="D135" s="16"/>
      <c r="E135" s="16"/>
      <c r="F135" s="16"/>
      <c r="G135" s="12"/>
      <c r="H135" s="12"/>
      <c r="I135" s="12"/>
      <c r="J135" s="12"/>
      <c r="K135" s="12"/>
      <c r="L135" s="12"/>
      <c r="M135" s="12"/>
      <c r="N135" s="16"/>
      <c r="O135" s="16"/>
      <c r="P135" s="12"/>
      <c r="Q135" s="16"/>
      <c r="R135" s="41"/>
      <c r="S135" s="41"/>
      <c r="T135" s="41"/>
      <c r="U135" s="41"/>
      <c r="V135" s="41"/>
      <c r="W135" s="41"/>
      <c r="X135" s="41"/>
      <c r="Y135" s="41"/>
      <c r="Z135" s="41"/>
    </row>
    <row r="136" spans="1:26" ht="15.75" customHeight="1" x14ac:dyDescent="0.2">
      <c r="A136" s="16"/>
      <c r="B136" s="43"/>
      <c r="C136" s="43"/>
      <c r="D136" s="16"/>
      <c r="E136" s="16"/>
      <c r="F136" s="16"/>
      <c r="G136" s="12"/>
      <c r="H136" s="12"/>
      <c r="I136" s="12"/>
      <c r="J136" s="12"/>
      <c r="K136" s="12"/>
      <c r="L136" s="12"/>
      <c r="M136" s="12"/>
      <c r="N136" s="16"/>
      <c r="O136" s="16"/>
      <c r="P136" s="12"/>
      <c r="Q136" s="16"/>
      <c r="R136" s="41"/>
      <c r="S136" s="41"/>
      <c r="T136" s="41"/>
      <c r="U136" s="41"/>
      <c r="V136" s="41"/>
      <c r="W136" s="41"/>
      <c r="X136" s="41"/>
      <c r="Y136" s="41"/>
      <c r="Z136" s="41"/>
    </row>
    <row r="137" spans="1:26" ht="15.75" customHeight="1" x14ac:dyDescent="0.2">
      <c r="A137" s="16"/>
      <c r="B137" s="43"/>
      <c r="C137" s="43"/>
      <c r="D137" s="16"/>
      <c r="E137" s="16"/>
      <c r="F137" s="16"/>
      <c r="G137" s="12"/>
      <c r="H137" s="12"/>
      <c r="I137" s="12"/>
      <c r="J137" s="12"/>
      <c r="K137" s="12"/>
      <c r="L137" s="12"/>
      <c r="M137" s="12"/>
      <c r="N137" s="16"/>
      <c r="O137" s="16"/>
      <c r="P137" s="12"/>
      <c r="Q137" s="16"/>
      <c r="R137" s="41"/>
      <c r="S137" s="41"/>
      <c r="T137" s="41"/>
      <c r="U137" s="41"/>
      <c r="V137" s="41"/>
      <c r="W137" s="41"/>
      <c r="X137" s="41"/>
      <c r="Y137" s="41"/>
      <c r="Z137" s="41"/>
    </row>
    <row r="138" spans="1:26" ht="15.75" customHeight="1" x14ac:dyDescent="0.2">
      <c r="A138" s="16"/>
      <c r="B138" s="43"/>
      <c r="C138" s="43"/>
      <c r="D138" s="16"/>
      <c r="E138" s="16"/>
      <c r="F138" s="16"/>
      <c r="G138" s="12"/>
      <c r="H138" s="12"/>
      <c r="I138" s="12"/>
      <c r="J138" s="12"/>
      <c r="K138" s="12"/>
      <c r="L138" s="12"/>
      <c r="M138" s="12"/>
      <c r="N138" s="16"/>
      <c r="O138" s="16"/>
      <c r="P138" s="12"/>
      <c r="Q138" s="16"/>
      <c r="R138" s="41"/>
      <c r="S138" s="41"/>
      <c r="T138" s="41"/>
      <c r="U138" s="41"/>
      <c r="V138" s="41"/>
      <c r="W138" s="41"/>
      <c r="X138" s="41"/>
      <c r="Y138" s="41"/>
      <c r="Z138" s="41"/>
    </row>
    <row r="139" spans="1:26" ht="15.75" customHeight="1" x14ac:dyDescent="0.2">
      <c r="A139" s="16"/>
      <c r="B139" s="43"/>
      <c r="C139" s="43"/>
      <c r="D139" s="16"/>
      <c r="E139" s="16"/>
      <c r="F139" s="16"/>
      <c r="G139" s="12"/>
      <c r="H139" s="12"/>
      <c r="I139" s="12"/>
      <c r="J139" s="12"/>
      <c r="K139" s="12"/>
      <c r="L139" s="12"/>
      <c r="M139" s="12"/>
      <c r="N139" s="16"/>
      <c r="O139" s="16"/>
      <c r="P139" s="12"/>
      <c r="Q139" s="16"/>
      <c r="R139" s="41"/>
      <c r="S139" s="41"/>
      <c r="T139" s="41"/>
      <c r="U139" s="41"/>
      <c r="V139" s="41"/>
      <c r="W139" s="41"/>
      <c r="X139" s="41"/>
      <c r="Y139" s="41"/>
      <c r="Z139" s="41"/>
    </row>
    <row r="140" spans="1:26" ht="15.75" customHeight="1" x14ac:dyDescent="0.2">
      <c r="A140" s="16"/>
      <c r="B140" s="43"/>
      <c r="C140" s="43"/>
      <c r="D140" s="16"/>
      <c r="E140" s="16"/>
      <c r="F140" s="16"/>
      <c r="G140" s="12"/>
      <c r="H140" s="12"/>
      <c r="I140" s="12"/>
      <c r="J140" s="12"/>
      <c r="K140" s="12"/>
      <c r="L140" s="12"/>
      <c r="M140" s="12"/>
      <c r="N140" s="16"/>
      <c r="O140" s="16"/>
      <c r="P140" s="12"/>
      <c r="Q140" s="16"/>
      <c r="R140" s="41"/>
      <c r="S140" s="41"/>
      <c r="T140" s="41"/>
      <c r="U140" s="41"/>
      <c r="V140" s="41"/>
      <c r="W140" s="41"/>
      <c r="X140" s="41"/>
      <c r="Y140" s="41"/>
      <c r="Z140" s="41"/>
    </row>
    <row r="141" spans="1:26" ht="15.75" customHeight="1" x14ac:dyDescent="0.2">
      <c r="A141" s="16"/>
      <c r="B141" s="43"/>
      <c r="C141" s="43"/>
      <c r="D141" s="16"/>
      <c r="E141" s="16"/>
      <c r="F141" s="16"/>
      <c r="G141" s="12"/>
      <c r="H141" s="12"/>
      <c r="I141" s="12"/>
      <c r="J141" s="12"/>
      <c r="K141" s="12"/>
      <c r="L141" s="12"/>
      <c r="M141" s="12"/>
      <c r="N141" s="16"/>
      <c r="O141" s="16"/>
      <c r="P141" s="12"/>
      <c r="Q141" s="16"/>
      <c r="R141" s="41"/>
      <c r="S141" s="41"/>
      <c r="T141" s="41"/>
      <c r="U141" s="41"/>
      <c r="V141" s="41"/>
      <c r="W141" s="41"/>
      <c r="X141" s="41"/>
      <c r="Y141" s="41"/>
      <c r="Z141" s="41"/>
    </row>
    <row r="142" spans="1:26" ht="15.75" customHeight="1" x14ac:dyDescent="0.2">
      <c r="A142" s="16"/>
      <c r="B142" s="43"/>
      <c r="C142" s="43"/>
      <c r="D142" s="16"/>
      <c r="E142" s="16"/>
      <c r="F142" s="16"/>
      <c r="G142" s="12"/>
      <c r="H142" s="12"/>
      <c r="I142" s="12"/>
      <c r="J142" s="12"/>
      <c r="K142" s="12"/>
      <c r="L142" s="12"/>
      <c r="M142" s="12"/>
      <c r="N142" s="16"/>
      <c r="O142" s="16"/>
      <c r="P142" s="12"/>
      <c r="Q142" s="16"/>
      <c r="R142" s="41"/>
      <c r="S142" s="41"/>
      <c r="T142" s="41"/>
      <c r="U142" s="41"/>
      <c r="V142" s="41"/>
      <c r="W142" s="41"/>
      <c r="X142" s="41"/>
      <c r="Y142" s="41"/>
      <c r="Z142" s="41"/>
    </row>
    <row r="143" spans="1:26" ht="15.75" customHeight="1" x14ac:dyDescent="0.2">
      <c r="A143" s="16"/>
      <c r="B143" s="43"/>
      <c r="C143" s="43"/>
      <c r="D143" s="16"/>
      <c r="E143" s="16"/>
      <c r="F143" s="16"/>
      <c r="G143" s="12"/>
      <c r="H143" s="12"/>
      <c r="I143" s="12"/>
      <c r="J143" s="12"/>
      <c r="K143" s="12"/>
      <c r="L143" s="12"/>
      <c r="M143" s="12"/>
      <c r="N143" s="16"/>
      <c r="O143" s="16"/>
      <c r="P143" s="12"/>
      <c r="Q143" s="16"/>
      <c r="R143" s="41"/>
      <c r="S143" s="41"/>
      <c r="T143" s="41"/>
      <c r="U143" s="41"/>
      <c r="V143" s="41"/>
      <c r="W143" s="41"/>
      <c r="X143" s="41"/>
      <c r="Y143" s="41"/>
      <c r="Z143" s="41"/>
    </row>
    <row r="144" spans="1:26" ht="15.75" customHeight="1" x14ac:dyDescent="0.2">
      <c r="A144" s="16"/>
      <c r="B144" s="43"/>
      <c r="C144" s="43"/>
      <c r="D144" s="16"/>
      <c r="E144" s="16"/>
      <c r="F144" s="16"/>
      <c r="G144" s="12"/>
      <c r="H144" s="12"/>
      <c r="I144" s="12"/>
      <c r="J144" s="12"/>
      <c r="K144" s="12"/>
      <c r="L144" s="12"/>
      <c r="M144" s="12"/>
      <c r="N144" s="16"/>
      <c r="O144" s="16"/>
      <c r="P144" s="12"/>
      <c r="Q144" s="16"/>
      <c r="R144" s="41"/>
      <c r="S144" s="41"/>
      <c r="T144" s="41"/>
      <c r="U144" s="41"/>
      <c r="V144" s="41"/>
      <c r="W144" s="41"/>
      <c r="X144" s="41"/>
      <c r="Y144" s="41"/>
      <c r="Z144" s="41"/>
    </row>
    <row r="145" spans="1:26" ht="15.75" customHeight="1" x14ac:dyDescent="0.2">
      <c r="A145" s="16"/>
      <c r="B145" s="43"/>
      <c r="C145" s="43"/>
      <c r="D145" s="16"/>
      <c r="E145" s="16"/>
      <c r="F145" s="16"/>
      <c r="G145" s="12"/>
      <c r="H145" s="12"/>
      <c r="I145" s="12"/>
      <c r="J145" s="12"/>
      <c r="K145" s="12"/>
      <c r="L145" s="12"/>
      <c r="M145" s="12"/>
      <c r="N145" s="16"/>
      <c r="O145" s="16"/>
      <c r="P145" s="12"/>
      <c r="Q145" s="16"/>
      <c r="R145" s="41"/>
      <c r="S145" s="41"/>
      <c r="T145" s="41"/>
      <c r="U145" s="41"/>
      <c r="V145" s="41"/>
      <c r="W145" s="41"/>
      <c r="X145" s="41"/>
      <c r="Y145" s="41"/>
      <c r="Z145" s="41"/>
    </row>
    <row r="146" spans="1:26" ht="15.75" customHeight="1" x14ac:dyDescent="0.2">
      <c r="A146" s="16"/>
      <c r="B146" s="43"/>
      <c r="C146" s="43"/>
      <c r="D146" s="16"/>
      <c r="E146" s="16"/>
      <c r="F146" s="16"/>
      <c r="G146" s="12"/>
      <c r="H146" s="12"/>
      <c r="I146" s="12"/>
      <c r="J146" s="12"/>
      <c r="K146" s="12"/>
      <c r="L146" s="12"/>
      <c r="M146" s="12"/>
      <c r="N146" s="16"/>
      <c r="O146" s="16"/>
      <c r="P146" s="12"/>
      <c r="Q146" s="16"/>
      <c r="R146" s="41"/>
      <c r="S146" s="41"/>
      <c r="T146" s="41"/>
      <c r="U146" s="41"/>
      <c r="V146" s="41"/>
      <c r="W146" s="41"/>
      <c r="X146" s="41"/>
      <c r="Y146" s="41"/>
      <c r="Z146" s="41"/>
    </row>
    <row r="147" spans="1:26" ht="15.75" customHeight="1" x14ac:dyDescent="0.2">
      <c r="A147" s="16"/>
      <c r="B147" s="43"/>
      <c r="C147" s="43"/>
      <c r="D147" s="16"/>
      <c r="E147" s="16"/>
      <c r="F147" s="16"/>
      <c r="G147" s="12"/>
      <c r="H147" s="12"/>
      <c r="I147" s="12"/>
      <c r="J147" s="12"/>
      <c r="K147" s="12"/>
      <c r="L147" s="12"/>
      <c r="M147" s="12"/>
      <c r="N147" s="16"/>
      <c r="O147" s="16"/>
      <c r="P147" s="12"/>
      <c r="Q147" s="16"/>
      <c r="R147" s="41"/>
      <c r="S147" s="41"/>
      <c r="T147" s="41"/>
      <c r="U147" s="41"/>
      <c r="V147" s="41"/>
      <c r="W147" s="41"/>
      <c r="X147" s="41"/>
      <c r="Y147" s="41"/>
      <c r="Z147" s="41"/>
    </row>
    <row r="148" spans="1:26" ht="15.75" customHeight="1" x14ac:dyDescent="0.2">
      <c r="A148" s="16"/>
      <c r="B148" s="43"/>
      <c r="C148" s="43"/>
      <c r="D148" s="16"/>
      <c r="E148" s="16"/>
      <c r="F148" s="16"/>
      <c r="G148" s="12"/>
      <c r="H148" s="12"/>
      <c r="I148" s="12"/>
      <c r="J148" s="12"/>
      <c r="K148" s="12"/>
      <c r="L148" s="12"/>
      <c r="M148" s="12"/>
      <c r="N148" s="16"/>
      <c r="O148" s="16"/>
      <c r="P148" s="12"/>
      <c r="Q148" s="16"/>
      <c r="R148" s="41"/>
      <c r="S148" s="41"/>
      <c r="T148" s="41"/>
      <c r="U148" s="41"/>
      <c r="V148" s="41"/>
      <c r="W148" s="41"/>
      <c r="X148" s="41"/>
      <c r="Y148" s="41"/>
      <c r="Z148" s="41"/>
    </row>
    <row r="149" spans="1:26" ht="15.75" customHeight="1" x14ac:dyDescent="0.2">
      <c r="A149" s="16"/>
      <c r="B149" s="43"/>
      <c r="C149" s="43"/>
      <c r="D149" s="16"/>
      <c r="E149" s="16"/>
      <c r="F149" s="16"/>
      <c r="G149" s="12"/>
      <c r="H149" s="12"/>
      <c r="I149" s="12"/>
      <c r="J149" s="12"/>
      <c r="K149" s="12"/>
      <c r="L149" s="12"/>
      <c r="M149" s="12"/>
      <c r="N149" s="16"/>
      <c r="O149" s="16"/>
      <c r="P149" s="12"/>
      <c r="Q149" s="16"/>
      <c r="R149" s="41"/>
      <c r="S149" s="41"/>
      <c r="T149" s="41"/>
      <c r="U149" s="41"/>
      <c r="V149" s="41"/>
      <c r="W149" s="41"/>
      <c r="X149" s="41"/>
      <c r="Y149" s="41"/>
      <c r="Z149" s="41"/>
    </row>
    <row r="150" spans="1:26" ht="15.75" customHeight="1" x14ac:dyDescent="0.2">
      <c r="A150" s="16"/>
      <c r="B150" s="43"/>
      <c r="C150" s="43"/>
      <c r="D150" s="16"/>
      <c r="E150" s="16"/>
      <c r="F150" s="16"/>
      <c r="G150" s="12"/>
      <c r="H150" s="12"/>
      <c r="I150" s="12"/>
      <c r="J150" s="12"/>
      <c r="K150" s="12"/>
      <c r="L150" s="12"/>
      <c r="M150" s="12"/>
      <c r="N150" s="16"/>
      <c r="O150" s="16"/>
      <c r="P150" s="12"/>
      <c r="Q150" s="16"/>
      <c r="R150" s="41"/>
      <c r="S150" s="41"/>
      <c r="T150" s="41"/>
      <c r="U150" s="41"/>
      <c r="V150" s="41"/>
      <c r="W150" s="41"/>
      <c r="X150" s="41"/>
      <c r="Y150" s="41"/>
      <c r="Z150" s="41"/>
    </row>
    <row r="151" spans="1:26" ht="15.75" customHeight="1" x14ac:dyDescent="0.2">
      <c r="A151" s="16"/>
      <c r="B151" s="43"/>
      <c r="C151" s="43"/>
      <c r="D151" s="16"/>
      <c r="E151" s="16"/>
      <c r="F151" s="16"/>
      <c r="G151" s="12"/>
      <c r="H151" s="12"/>
      <c r="I151" s="12"/>
      <c r="J151" s="12"/>
      <c r="K151" s="12"/>
      <c r="L151" s="12"/>
      <c r="M151" s="12"/>
      <c r="N151" s="16"/>
      <c r="O151" s="16"/>
      <c r="P151" s="12"/>
      <c r="Q151" s="16"/>
      <c r="R151" s="41"/>
      <c r="S151" s="41"/>
      <c r="T151" s="41"/>
      <c r="U151" s="41"/>
      <c r="V151" s="41"/>
      <c r="W151" s="41"/>
      <c r="X151" s="41"/>
      <c r="Y151" s="41"/>
      <c r="Z151" s="41"/>
    </row>
    <row r="152" spans="1:26" ht="15.75" customHeight="1" x14ac:dyDescent="0.2">
      <c r="A152" s="16"/>
      <c r="B152" s="43"/>
      <c r="C152" s="43"/>
      <c r="D152" s="16"/>
      <c r="E152" s="16"/>
      <c r="F152" s="16"/>
      <c r="G152" s="12"/>
      <c r="H152" s="12"/>
      <c r="I152" s="12"/>
      <c r="J152" s="12"/>
      <c r="K152" s="12"/>
      <c r="L152" s="12"/>
      <c r="M152" s="12"/>
      <c r="N152" s="16"/>
      <c r="O152" s="16"/>
      <c r="P152" s="12"/>
      <c r="Q152" s="16"/>
      <c r="R152" s="41"/>
      <c r="S152" s="41"/>
      <c r="T152" s="41"/>
      <c r="U152" s="41"/>
      <c r="V152" s="41"/>
      <c r="W152" s="41"/>
      <c r="X152" s="41"/>
      <c r="Y152" s="41"/>
      <c r="Z152" s="41"/>
    </row>
    <row r="153" spans="1:26" ht="15.75" customHeight="1" x14ac:dyDescent="0.2">
      <c r="A153" s="16"/>
      <c r="B153" s="43"/>
      <c r="C153" s="43"/>
      <c r="D153" s="16"/>
      <c r="E153" s="16"/>
      <c r="F153" s="16"/>
      <c r="G153" s="12"/>
      <c r="H153" s="12"/>
      <c r="I153" s="12"/>
      <c r="J153" s="12"/>
      <c r="K153" s="12"/>
      <c r="L153" s="12"/>
      <c r="M153" s="12"/>
      <c r="N153" s="16"/>
      <c r="O153" s="16"/>
      <c r="P153" s="12"/>
      <c r="Q153" s="16"/>
      <c r="R153" s="41"/>
      <c r="S153" s="41"/>
      <c r="T153" s="41"/>
      <c r="U153" s="41"/>
      <c r="V153" s="41"/>
      <c r="W153" s="41"/>
      <c r="X153" s="41"/>
      <c r="Y153" s="41"/>
      <c r="Z153" s="41"/>
    </row>
    <row r="154" spans="1:26" ht="15.75" customHeight="1" x14ac:dyDescent="0.2">
      <c r="A154" s="16"/>
      <c r="B154" s="43"/>
      <c r="C154" s="43"/>
      <c r="D154" s="16"/>
      <c r="E154" s="16"/>
      <c r="F154" s="16"/>
      <c r="G154" s="12"/>
      <c r="H154" s="12"/>
      <c r="I154" s="12"/>
      <c r="J154" s="12"/>
      <c r="K154" s="12"/>
      <c r="L154" s="12"/>
      <c r="M154" s="12"/>
      <c r="N154" s="16"/>
      <c r="O154" s="16"/>
      <c r="P154" s="12"/>
      <c r="Q154" s="16"/>
      <c r="R154" s="41"/>
      <c r="S154" s="41"/>
      <c r="T154" s="41"/>
      <c r="U154" s="41"/>
      <c r="V154" s="41"/>
      <c r="W154" s="41"/>
      <c r="X154" s="41"/>
      <c r="Y154" s="41"/>
      <c r="Z154" s="41"/>
    </row>
    <row r="155" spans="1:26" ht="15.75" customHeight="1" x14ac:dyDescent="0.2">
      <c r="A155" s="16"/>
      <c r="B155" s="43"/>
      <c r="C155" s="43"/>
      <c r="D155" s="16"/>
      <c r="E155" s="16"/>
      <c r="F155" s="16"/>
      <c r="G155" s="12"/>
      <c r="H155" s="12"/>
      <c r="I155" s="12"/>
      <c r="J155" s="12"/>
      <c r="K155" s="12"/>
      <c r="L155" s="12"/>
      <c r="M155" s="12"/>
      <c r="N155" s="16"/>
      <c r="O155" s="16"/>
      <c r="P155" s="12"/>
      <c r="Q155" s="16"/>
      <c r="R155" s="41"/>
      <c r="S155" s="41"/>
      <c r="T155" s="41"/>
      <c r="U155" s="41"/>
      <c r="V155" s="41"/>
      <c r="W155" s="41"/>
      <c r="X155" s="41"/>
      <c r="Y155" s="41"/>
      <c r="Z155" s="41"/>
    </row>
    <row r="156" spans="1:26" ht="15.75" customHeight="1" x14ac:dyDescent="0.2">
      <c r="A156" s="16"/>
      <c r="B156" s="43"/>
      <c r="C156" s="43"/>
      <c r="D156" s="16"/>
      <c r="E156" s="16"/>
      <c r="F156" s="16"/>
      <c r="G156" s="12"/>
      <c r="H156" s="12"/>
      <c r="I156" s="12"/>
      <c r="J156" s="12"/>
      <c r="K156" s="12"/>
      <c r="L156" s="12"/>
      <c r="M156" s="12"/>
      <c r="N156" s="16"/>
      <c r="O156" s="16"/>
      <c r="P156" s="12"/>
      <c r="Q156" s="16"/>
      <c r="R156" s="41"/>
      <c r="S156" s="41"/>
      <c r="T156" s="41"/>
      <c r="U156" s="41"/>
      <c r="V156" s="41"/>
      <c r="W156" s="41"/>
      <c r="X156" s="41"/>
      <c r="Y156" s="41"/>
      <c r="Z156" s="41"/>
    </row>
    <row r="157" spans="1:26" ht="15.75" customHeight="1" x14ac:dyDescent="0.2">
      <c r="A157" s="16"/>
      <c r="B157" s="43"/>
      <c r="C157" s="43"/>
      <c r="D157" s="16"/>
      <c r="E157" s="16"/>
      <c r="F157" s="16"/>
      <c r="G157" s="12"/>
      <c r="H157" s="12"/>
      <c r="I157" s="12"/>
      <c r="J157" s="12"/>
      <c r="K157" s="12"/>
      <c r="L157" s="12"/>
      <c r="M157" s="12"/>
      <c r="N157" s="16"/>
      <c r="O157" s="16"/>
      <c r="P157" s="12"/>
      <c r="Q157" s="16"/>
      <c r="R157" s="41"/>
      <c r="S157" s="41"/>
      <c r="T157" s="41"/>
      <c r="U157" s="41"/>
      <c r="V157" s="41"/>
      <c r="W157" s="41"/>
      <c r="X157" s="41"/>
      <c r="Y157" s="41"/>
      <c r="Z157" s="41"/>
    </row>
    <row r="158" spans="1:26" ht="15.75" customHeight="1" x14ac:dyDescent="0.2">
      <c r="A158" s="16"/>
      <c r="B158" s="43"/>
      <c r="C158" s="43"/>
      <c r="D158" s="16"/>
      <c r="E158" s="16"/>
      <c r="F158" s="16"/>
      <c r="G158" s="12"/>
      <c r="H158" s="12"/>
      <c r="I158" s="12"/>
      <c r="J158" s="12"/>
      <c r="K158" s="12"/>
      <c r="L158" s="12"/>
      <c r="M158" s="12"/>
      <c r="N158" s="16"/>
      <c r="O158" s="16"/>
      <c r="P158" s="12"/>
      <c r="Q158" s="16"/>
      <c r="R158" s="41"/>
      <c r="S158" s="41"/>
      <c r="T158" s="41"/>
      <c r="U158" s="41"/>
      <c r="V158" s="41"/>
      <c r="W158" s="41"/>
      <c r="X158" s="41"/>
      <c r="Y158" s="41"/>
      <c r="Z158" s="41"/>
    </row>
    <row r="159" spans="1:26" ht="15.75" customHeight="1" x14ac:dyDescent="0.2">
      <c r="A159" s="16"/>
      <c r="B159" s="43"/>
      <c r="C159" s="43"/>
      <c r="D159" s="16"/>
      <c r="E159" s="16"/>
      <c r="F159" s="16"/>
      <c r="G159" s="12"/>
      <c r="H159" s="12"/>
      <c r="I159" s="12"/>
      <c r="J159" s="12"/>
      <c r="K159" s="12"/>
      <c r="L159" s="12"/>
      <c r="M159" s="12"/>
      <c r="N159" s="16"/>
      <c r="O159" s="16"/>
      <c r="P159" s="12"/>
      <c r="Q159" s="16"/>
      <c r="R159" s="41"/>
      <c r="S159" s="41"/>
      <c r="T159" s="41"/>
      <c r="U159" s="41"/>
      <c r="V159" s="41"/>
      <c r="W159" s="41"/>
      <c r="X159" s="41"/>
      <c r="Y159" s="41"/>
      <c r="Z159" s="41"/>
    </row>
    <row r="160" spans="1:26" ht="15.75" customHeight="1" x14ac:dyDescent="0.2">
      <c r="A160" s="16"/>
      <c r="B160" s="43"/>
      <c r="C160" s="43"/>
      <c r="D160" s="16"/>
      <c r="E160" s="16"/>
      <c r="F160" s="16"/>
      <c r="G160" s="12"/>
      <c r="H160" s="12"/>
      <c r="I160" s="12"/>
      <c r="J160" s="12"/>
      <c r="K160" s="12"/>
      <c r="L160" s="12"/>
      <c r="M160" s="12"/>
      <c r="N160" s="16"/>
      <c r="O160" s="16"/>
      <c r="P160" s="12"/>
      <c r="Q160" s="16"/>
      <c r="R160" s="41"/>
      <c r="S160" s="41"/>
      <c r="T160" s="41"/>
      <c r="U160" s="41"/>
      <c r="V160" s="41"/>
      <c r="W160" s="41"/>
      <c r="X160" s="41"/>
      <c r="Y160" s="41"/>
      <c r="Z160" s="41"/>
    </row>
    <row r="161" spans="1:26" ht="15.75" customHeight="1" x14ac:dyDescent="0.2">
      <c r="A161" s="16"/>
      <c r="B161" s="43"/>
      <c r="C161" s="43"/>
      <c r="D161" s="16"/>
      <c r="E161" s="16"/>
      <c r="F161" s="16"/>
      <c r="G161" s="12"/>
      <c r="H161" s="12"/>
      <c r="I161" s="12"/>
      <c r="J161" s="12"/>
      <c r="K161" s="12"/>
      <c r="L161" s="12"/>
      <c r="M161" s="12"/>
      <c r="N161" s="16"/>
      <c r="O161" s="16"/>
      <c r="P161" s="12"/>
      <c r="Q161" s="16"/>
      <c r="R161" s="41"/>
      <c r="S161" s="41"/>
      <c r="T161" s="41"/>
      <c r="U161" s="41"/>
      <c r="V161" s="41"/>
      <c r="W161" s="41"/>
      <c r="X161" s="41"/>
      <c r="Y161" s="41"/>
      <c r="Z161" s="41"/>
    </row>
    <row r="162" spans="1:26" ht="15.75" customHeight="1" x14ac:dyDescent="0.2">
      <c r="A162" s="16"/>
      <c r="B162" s="43"/>
      <c r="C162" s="43"/>
      <c r="D162" s="16"/>
      <c r="E162" s="16"/>
      <c r="F162" s="16"/>
      <c r="G162" s="12"/>
      <c r="H162" s="12"/>
      <c r="I162" s="12"/>
      <c r="J162" s="12"/>
      <c r="K162" s="12"/>
      <c r="L162" s="12"/>
      <c r="M162" s="12"/>
      <c r="N162" s="16"/>
      <c r="O162" s="16"/>
      <c r="P162" s="12"/>
      <c r="Q162" s="16"/>
      <c r="R162" s="41"/>
      <c r="S162" s="41"/>
      <c r="T162" s="41"/>
      <c r="U162" s="41"/>
      <c r="V162" s="41"/>
      <c r="W162" s="41"/>
      <c r="X162" s="41"/>
      <c r="Y162" s="41"/>
      <c r="Z162" s="41"/>
    </row>
    <row r="163" spans="1:26" ht="15.75" customHeight="1" x14ac:dyDescent="0.2">
      <c r="A163" s="16"/>
      <c r="B163" s="43"/>
      <c r="C163" s="43"/>
      <c r="D163" s="16"/>
      <c r="E163" s="16"/>
      <c r="F163" s="16"/>
      <c r="G163" s="12"/>
      <c r="H163" s="12"/>
      <c r="I163" s="12"/>
      <c r="J163" s="12"/>
      <c r="K163" s="12"/>
      <c r="L163" s="12"/>
      <c r="M163" s="12"/>
      <c r="N163" s="16"/>
      <c r="O163" s="16"/>
      <c r="P163" s="12"/>
      <c r="Q163" s="16"/>
      <c r="R163" s="41"/>
      <c r="S163" s="41"/>
      <c r="T163" s="41"/>
      <c r="U163" s="41"/>
      <c r="V163" s="41"/>
      <c r="W163" s="41"/>
      <c r="X163" s="41"/>
      <c r="Y163" s="41"/>
      <c r="Z163" s="41"/>
    </row>
    <row r="164" spans="1:26" ht="15.75" customHeight="1" x14ac:dyDescent="0.2">
      <c r="A164" s="16"/>
      <c r="B164" s="43"/>
      <c r="C164" s="43"/>
      <c r="D164" s="16"/>
      <c r="E164" s="16"/>
      <c r="F164" s="16"/>
      <c r="G164" s="12"/>
      <c r="H164" s="12"/>
      <c r="I164" s="12"/>
      <c r="J164" s="12"/>
      <c r="K164" s="12"/>
      <c r="L164" s="12"/>
      <c r="M164" s="12"/>
      <c r="N164" s="16"/>
      <c r="O164" s="16"/>
      <c r="P164" s="12"/>
      <c r="Q164" s="16"/>
      <c r="R164" s="41"/>
      <c r="S164" s="41"/>
      <c r="T164" s="41"/>
      <c r="U164" s="41"/>
      <c r="V164" s="41"/>
      <c r="W164" s="41"/>
      <c r="X164" s="41"/>
      <c r="Y164" s="41"/>
      <c r="Z164" s="41"/>
    </row>
    <row r="165" spans="1:26" ht="15.75" customHeight="1" x14ac:dyDescent="0.2">
      <c r="A165" s="16"/>
      <c r="B165" s="43"/>
      <c r="C165" s="43"/>
      <c r="D165" s="16"/>
      <c r="E165" s="16"/>
      <c r="F165" s="16"/>
      <c r="G165" s="12"/>
      <c r="H165" s="12"/>
      <c r="I165" s="12"/>
      <c r="J165" s="12"/>
      <c r="K165" s="12"/>
      <c r="L165" s="12"/>
      <c r="M165" s="12"/>
      <c r="N165" s="16"/>
      <c r="O165" s="16"/>
      <c r="P165" s="12"/>
      <c r="Q165" s="16"/>
      <c r="R165" s="41"/>
      <c r="S165" s="41"/>
      <c r="T165" s="41"/>
      <c r="U165" s="41"/>
      <c r="V165" s="41"/>
      <c r="W165" s="41"/>
      <c r="X165" s="41"/>
      <c r="Y165" s="41"/>
      <c r="Z165" s="41"/>
    </row>
    <row r="166" spans="1:26" ht="15.75" customHeight="1" x14ac:dyDescent="0.2">
      <c r="A166" s="16"/>
      <c r="B166" s="43"/>
      <c r="C166" s="43"/>
      <c r="D166" s="16"/>
      <c r="E166" s="16"/>
      <c r="F166" s="16"/>
      <c r="G166" s="12"/>
      <c r="H166" s="12"/>
      <c r="I166" s="12"/>
      <c r="J166" s="12"/>
      <c r="K166" s="12"/>
      <c r="L166" s="12"/>
      <c r="M166" s="12"/>
      <c r="N166" s="16"/>
      <c r="O166" s="16"/>
      <c r="P166" s="12"/>
      <c r="Q166" s="16"/>
      <c r="R166" s="41"/>
      <c r="S166" s="41"/>
      <c r="T166" s="41"/>
      <c r="U166" s="41"/>
      <c r="V166" s="41"/>
      <c r="W166" s="41"/>
      <c r="X166" s="41"/>
      <c r="Y166" s="41"/>
      <c r="Z166" s="41"/>
    </row>
    <row r="167" spans="1:26" ht="15.75" customHeight="1" x14ac:dyDescent="0.2">
      <c r="A167" s="16"/>
      <c r="B167" s="43"/>
      <c r="C167" s="43"/>
      <c r="D167" s="16"/>
      <c r="E167" s="16"/>
      <c r="F167" s="16"/>
      <c r="G167" s="12"/>
      <c r="H167" s="12"/>
      <c r="I167" s="12"/>
      <c r="J167" s="12"/>
      <c r="K167" s="12"/>
      <c r="L167" s="12"/>
      <c r="M167" s="12"/>
      <c r="N167" s="16"/>
      <c r="O167" s="16"/>
      <c r="P167" s="12"/>
      <c r="Q167" s="16"/>
      <c r="R167" s="41"/>
      <c r="S167" s="41"/>
      <c r="T167" s="41"/>
      <c r="U167" s="41"/>
      <c r="V167" s="41"/>
      <c r="W167" s="41"/>
      <c r="X167" s="41"/>
      <c r="Y167" s="41"/>
      <c r="Z167" s="41"/>
    </row>
    <row r="168" spans="1:26" ht="15.75" customHeight="1" x14ac:dyDescent="0.2">
      <c r="A168" s="16"/>
      <c r="B168" s="43"/>
      <c r="C168" s="43"/>
      <c r="D168" s="16"/>
      <c r="E168" s="16"/>
      <c r="F168" s="16"/>
      <c r="G168" s="12"/>
      <c r="H168" s="12"/>
      <c r="I168" s="12"/>
      <c r="J168" s="12"/>
      <c r="K168" s="12"/>
      <c r="L168" s="12"/>
      <c r="M168" s="12"/>
      <c r="N168" s="16"/>
      <c r="O168" s="16"/>
      <c r="P168" s="12"/>
      <c r="Q168" s="16"/>
      <c r="R168" s="41"/>
      <c r="S168" s="41"/>
      <c r="T168" s="41"/>
      <c r="U168" s="41"/>
      <c r="V168" s="41"/>
      <c r="W168" s="41"/>
      <c r="X168" s="41"/>
      <c r="Y168" s="41"/>
      <c r="Z168" s="41"/>
    </row>
    <row r="169" spans="1:26" ht="15.75" customHeight="1" x14ac:dyDescent="0.2">
      <c r="A169" s="16"/>
      <c r="B169" s="43"/>
      <c r="C169" s="43"/>
      <c r="D169" s="16"/>
      <c r="E169" s="16"/>
      <c r="F169" s="16"/>
      <c r="G169" s="12"/>
      <c r="H169" s="12"/>
      <c r="I169" s="12"/>
      <c r="J169" s="12"/>
      <c r="K169" s="12"/>
      <c r="L169" s="12"/>
      <c r="M169" s="12"/>
      <c r="N169" s="16"/>
      <c r="O169" s="16"/>
      <c r="P169" s="12"/>
      <c r="Q169" s="16"/>
      <c r="R169" s="41"/>
      <c r="S169" s="41"/>
      <c r="T169" s="41"/>
      <c r="U169" s="41"/>
      <c r="V169" s="41"/>
      <c r="W169" s="41"/>
      <c r="X169" s="41"/>
      <c r="Y169" s="41"/>
      <c r="Z169" s="41"/>
    </row>
    <row r="170" spans="1:26" ht="15.75" customHeight="1" x14ac:dyDescent="0.2">
      <c r="A170" s="16"/>
      <c r="B170" s="43"/>
      <c r="C170" s="43"/>
      <c r="D170" s="16"/>
      <c r="E170" s="16"/>
      <c r="F170" s="16"/>
      <c r="G170" s="12"/>
      <c r="H170" s="12"/>
      <c r="I170" s="12"/>
      <c r="J170" s="12"/>
      <c r="K170" s="12"/>
      <c r="L170" s="12"/>
      <c r="M170" s="12"/>
      <c r="N170" s="16"/>
      <c r="O170" s="16"/>
      <c r="P170" s="12"/>
      <c r="Q170" s="16"/>
      <c r="R170" s="41"/>
      <c r="S170" s="41"/>
      <c r="T170" s="41"/>
      <c r="U170" s="41"/>
      <c r="V170" s="41"/>
      <c r="W170" s="41"/>
      <c r="X170" s="41"/>
      <c r="Y170" s="41"/>
      <c r="Z170" s="41"/>
    </row>
    <row r="171" spans="1:26" ht="15.75" customHeight="1" x14ac:dyDescent="0.2">
      <c r="A171" s="16"/>
      <c r="B171" s="43"/>
      <c r="C171" s="43"/>
      <c r="D171" s="16"/>
      <c r="E171" s="16"/>
      <c r="F171" s="16"/>
      <c r="G171" s="12"/>
      <c r="H171" s="12"/>
      <c r="I171" s="12"/>
      <c r="J171" s="12"/>
      <c r="K171" s="12"/>
      <c r="L171" s="12"/>
      <c r="M171" s="12"/>
      <c r="N171" s="16"/>
      <c r="O171" s="16"/>
      <c r="P171" s="12"/>
      <c r="Q171" s="16"/>
      <c r="R171" s="41"/>
      <c r="S171" s="41"/>
      <c r="T171" s="41"/>
      <c r="U171" s="41"/>
      <c r="V171" s="41"/>
      <c r="W171" s="41"/>
      <c r="X171" s="41"/>
      <c r="Y171" s="41"/>
      <c r="Z171" s="41"/>
    </row>
    <row r="172" spans="1:26" ht="15.75" customHeight="1" x14ac:dyDescent="0.2">
      <c r="A172" s="16"/>
      <c r="B172" s="43"/>
      <c r="C172" s="43"/>
      <c r="D172" s="16"/>
      <c r="E172" s="16"/>
      <c r="F172" s="16"/>
      <c r="G172" s="12"/>
      <c r="H172" s="12"/>
      <c r="I172" s="12"/>
      <c r="J172" s="12"/>
      <c r="K172" s="12"/>
      <c r="L172" s="12"/>
      <c r="M172" s="12"/>
      <c r="N172" s="16"/>
      <c r="O172" s="16"/>
      <c r="P172" s="12"/>
      <c r="Q172" s="16"/>
      <c r="R172" s="41"/>
      <c r="S172" s="41"/>
      <c r="T172" s="41"/>
      <c r="U172" s="41"/>
      <c r="V172" s="41"/>
      <c r="W172" s="41"/>
      <c r="X172" s="41"/>
      <c r="Y172" s="41"/>
      <c r="Z172" s="41"/>
    </row>
    <row r="173" spans="1:26" ht="15.75" customHeight="1" x14ac:dyDescent="0.2">
      <c r="A173" s="16"/>
      <c r="B173" s="43"/>
      <c r="C173" s="43"/>
      <c r="D173" s="16"/>
      <c r="E173" s="16"/>
      <c r="F173" s="16"/>
      <c r="G173" s="12"/>
      <c r="H173" s="12"/>
      <c r="I173" s="12"/>
      <c r="J173" s="12"/>
      <c r="K173" s="12"/>
      <c r="L173" s="12"/>
      <c r="M173" s="12"/>
      <c r="N173" s="16"/>
      <c r="O173" s="16"/>
      <c r="P173" s="12"/>
      <c r="Q173" s="16"/>
      <c r="R173" s="41"/>
      <c r="S173" s="41"/>
      <c r="T173" s="41"/>
      <c r="U173" s="41"/>
      <c r="V173" s="41"/>
      <c r="W173" s="41"/>
      <c r="X173" s="41"/>
      <c r="Y173" s="41"/>
      <c r="Z173" s="41"/>
    </row>
    <row r="174" spans="1:26" ht="15.75" customHeight="1" x14ac:dyDescent="0.2">
      <c r="A174" s="16"/>
      <c r="B174" s="43"/>
      <c r="C174" s="43"/>
      <c r="D174" s="16"/>
      <c r="E174" s="16"/>
      <c r="F174" s="16"/>
      <c r="G174" s="12"/>
      <c r="H174" s="12"/>
      <c r="I174" s="12"/>
      <c r="J174" s="12"/>
      <c r="K174" s="12"/>
      <c r="L174" s="12"/>
      <c r="M174" s="12"/>
      <c r="N174" s="16"/>
      <c r="O174" s="16"/>
      <c r="P174" s="12"/>
      <c r="Q174" s="16"/>
      <c r="R174" s="41"/>
      <c r="S174" s="41"/>
      <c r="T174" s="41"/>
      <c r="U174" s="41"/>
      <c r="V174" s="41"/>
      <c r="W174" s="41"/>
      <c r="X174" s="41"/>
      <c r="Y174" s="41"/>
      <c r="Z174" s="41"/>
    </row>
    <row r="175" spans="1:26" ht="15.75" customHeight="1" x14ac:dyDescent="0.2">
      <c r="A175" s="16"/>
      <c r="B175" s="43"/>
      <c r="C175" s="43"/>
      <c r="D175" s="16"/>
      <c r="E175" s="16"/>
      <c r="F175" s="16"/>
      <c r="G175" s="12"/>
      <c r="H175" s="12"/>
      <c r="I175" s="12"/>
      <c r="J175" s="12"/>
      <c r="K175" s="12"/>
      <c r="L175" s="12"/>
      <c r="M175" s="12"/>
      <c r="N175" s="16"/>
      <c r="O175" s="16"/>
      <c r="P175" s="12"/>
      <c r="Q175" s="16"/>
      <c r="R175" s="41"/>
      <c r="S175" s="41"/>
      <c r="T175" s="41"/>
      <c r="U175" s="41"/>
      <c r="V175" s="41"/>
      <c r="W175" s="41"/>
      <c r="X175" s="41"/>
      <c r="Y175" s="41"/>
      <c r="Z175" s="41"/>
    </row>
    <row r="176" spans="1:26" ht="15.75" customHeight="1" x14ac:dyDescent="0.2">
      <c r="A176" s="16"/>
      <c r="B176" s="43"/>
      <c r="C176" s="43"/>
      <c r="D176" s="16"/>
      <c r="E176" s="16"/>
      <c r="F176" s="16"/>
      <c r="G176" s="12"/>
      <c r="H176" s="12"/>
      <c r="I176" s="12"/>
      <c r="J176" s="12"/>
      <c r="K176" s="12"/>
      <c r="L176" s="12"/>
      <c r="M176" s="12"/>
      <c r="N176" s="16"/>
      <c r="O176" s="16"/>
      <c r="P176" s="12"/>
      <c r="Q176" s="16"/>
      <c r="R176" s="41"/>
      <c r="S176" s="41"/>
      <c r="T176" s="41"/>
      <c r="U176" s="41"/>
      <c r="V176" s="41"/>
      <c r="W176" s="41"/>
      <c r="X176" s="41"/>
      <c r="Y176" s="41"/>
      <c r="Z176" s="41"/>
    </row>
    <row r="177" spans="1:26" ht="15.75" customHeight="1" x14ac:dyDescent="0.2">
      <c r="A177" s="16"/>
      <c r="B177" s="43"/>
      <c r="C177" s="43"/>
      <c r="D177" s="16"/>
      <c r="E177" s="16"/>
      <c r="F177" s="16"/>
      <c r="G177" s="12"/>
      <c r="H177" s="12"/>
      <c r="I177" s="12"/>
      <c r="J177" s="12"/>
      <c r="K177" s="12"/>
      <c r="L177" s="12"/>
      <c r="M177" s="12"/>
      <c r="N177" s="16"/>
      <c r="O177" s="16"/>
      <c r="P177" s="12"/>
      <c r="Q177" s="16"/>
      <c r="R177" s="41"/>
      <c r="S177" s="41"/>
      <c r="T177" s="41"/>
      <c r="U177" s="41"/>
      <c r="V177" s="41"/>
      <c r="W177" s="41"/>
      <c r="X177" s="41"/>
      <c r="Y177" s="41"/>
      <c r="Z177" s="41"/>
    </row>
    <row r="178" spans="1:26" ht="15.75" customHeight="1" x14ac:dyDescent="0.2">
      <c r="A178" s="16"/>
      <c r="B178" s="43"/>
      <c r="C178" s="43"/>
      <c r="D178" s="16"/>
      <c r="E178" s="16"/>
      <c r="F178" s="16"/>
      <c r="G178" s="12"/>
      <c r="H178" s="12"/>
      <c r="I178" s="12"/>
      <c r="J178" s="12"/>
      <c r="K178" s="12"/>
      <c r="L178" s="12"/>
      <c r="M178" s="12"/>
      <c r="N178" s="16"/>
      <c r="O178" s="16"/>
      <c r="P178" s="12"/>
      <c r="Q178" s="16"/>
      <c r="R178" s="41"/>
      <c r="S178" s="41"/>
      <c r="T178" s="41"/>
      <c r="U178" s="41"/>
      <c r="V178" s="41"/>
      <c r="W178" s="41"/>
      <c r="X178" s="41"/>
      <c r="Y178" s="41"/>
      <c r="Z178" s="41"/>
    </row>
    <row r="179" spans="1:26" ht="15.75" customHeight="1" x14ac:dyDescent="0.2">
      <c r="A179" s="16"/>
      <c r="B179" s="43"/>
      <c r="C179" s="43"/>
      <c r="D179" s="16"/>
      <c r="E179" s="16"/>
      <c r="F179" s="16"/>
      <c r="G179" s="12"/>
      <c r="H179" s="12"/>
      <c r="I179" s="12"/>
      <c r="J179" s="12"/>
      <c r="K179" s="12"/>
      <c r="L179" s="12"/>
      <c r="M179" s="12"/>
      <c r="N179" s="16"/>
      <c r="O179" s="16"/>
      <c r="P179" s="12"/>
      <c r="Q179" s="16"/>
      <c r="R179" s="41"/>
      <c r="S179" s="41"/>
      <c r="T179" s="41"/>
      <c r="U179" s="41"/>
      <c r="V179" s="41"/>
      <c r="W179" s="41"/>
      <c r="X179" s="41"/>
      <c r="Y179" s="41"/>
      <c r="Z179" s="41"/>
    </row>
    <row r="180" spans="1:26" ht="15.75" customHeight="1" x14ac:dyDescent="0.2">
      <c r="A180" s="16"/>
      <c r="B180" s="43"/>
      <c r="C180" s="43"/>
      <c r="D180" s="16"/>
      <c r="E180" s="16"/>
      <c r="F180" s="16"/>
      <c r="G180" s="12"/>
      <c r="H180" s="12"/>
      <c r="I180" s="12"/>
      <c r="J180" s="12"/>
      <c r="K180" s="12"/>
      <c r="L180" s="12"/>
      <c r="M180" s="12"/>
      <c r="N180" s="16"/>
      <c r="O180" s="16"/>
      <c r="P180" s="12"/>
      <c r="Q180" s="16"/>
      <c r="R180" s="41"/>
      <c r="S180" s="41"/>
      <c r="T180" s="41"/>
      <c r="U180" s="41"/>
      <c r="V180" s="41"/>
      <c r="W180" s="41"/>
      <c r="X180" s="41"/>
      <c r="Y180" s="41"/>
      <c r="Z180" s="41"/>
    </row>
    <row r="181" spans="1:26" ht="15.75" customHeight="1" x14ac:dyDescent="0.2">
      <c r="A181" s="16"/>
      <c r="B181" s="43"/>
      <c r="C181" s="43"/>
      <c r="D181" s="16"/>
      <c r="E181" s="16"/>
      <c r="F181" s="16"/>
      <c r="G181" s="12"/>
      <c r="H181" s="12"/>
      <c r="I181" s="12"/>
      <c r="J181" s="12"/>
      <c r="K181" s="12"/>
      <c r="L181" s="12"/>
      <c r="M181" s="12"/>
      <c r="N181" s="16"/>
      <c r="O181" s="16"/>
      <c r="P181" s="12"/>
      <c r="Q181" s="16"/>
      <c r="R181" s="41"/>
      <c r="S181" s="41"/>
      <c r="T181" s="41"/>
      <c r="U181" s="41"/>
      <c r="V181" s="41"/>
      <c r="W181" s="41"/>
      <c r="X181" s="41"/>
      <c r="Y181" s="41"/>
      <c r="Z181" s="41"/>
    </row>
    <row r="182" spans="1:26" ht="15.75" customHeight="1" x14ac:dyDescent="0.2">
      <c r="A182" s="16"/>
      <c r="B182" s="43"/>
      <c r="C182" s="43"/>
      <c r="D182" s="16"/>
      <c r="E182" s="16"/>
      <c r="F182" s="16"/>
      <c r="G182" s="12"/>
      <c r="H182" s="12"/>
      <c r="I182" s="12"/>
      <c r="J182" s="12"/>
      <c r="K182" s="12"/>
      <c r="L182" s="12"/>
      <c r="M182" s="12"/>
      <c r="N182" s="16"/>
      <c r="O182" s="16"/>
      <c r="P182" s="12"/>
      <c r="Q182" s="16"/>
      <c r="R182" s="41"/>
      <c r="S182" s="41"/>
      <c r="T182" s="41"/>
      <c r="U182" s="41"/>
      <c r="V182" s="41"/>
      <c r="W182" s="41"/>
      <c r="X182" s="41"/>
      <c r="Y182" s="41"/>
      <c r="Z182" s="41"/>
    </row>
    <row r="183" spans="1:26" ht="15.75" customHeight="1" x14ac:dyDescent="0.2">
      <c r="A183" s="16"/>
      <c r="B183" s="43"/>
      <c r="C183" s="43"/>
      <c r="D183" s="16"/>
      <c r="E183" s="16"/>
      <c r="F183" s="16"/>
      <c r="G183" s="12"/>
      <c r="H183" s="12"/>
      <c r="I183" s="12"/>
      <c r="J183" s="12"/>
      <c r="K183" s="12"/>
      <c r="L183" s="12"/>
      <c r="M183" s="12"/>
      <c r="N183" s="16"/>
      <c r="O183" s="16"/>
      <c r="P183" s="12"/>
      <c r="Q183" s="16"/>
      <c r="R183" s="41"/>
      <c r="S183" s="41"/>
      <c r="T183" s="41"/>
      <c r="U183" s="41"/>
      <c r="V183" s="41"/>
      <c r="W183" s="41"/>
      <c r="X183" s="41"/>
      <c r="Y183" s="41"/>
      <c r="Z183" s="41"/>
    </row>
    <row r="184" spans="1:26" ht="15.75" customHeight="1" x14ac:dyDescent="0.2">
      <c r="A184" s="16"/>
      <c r="B184" s="43"/>
      <c r="C184" s="43"/>
      <c r="D184" s="16"/>
      <c r="E184" s="16"/>
      <c r="F184" s="16"/>
      <c r="G184" s="12"/>
      <c r="H184" s="12"/>
      <c r="I184" s="12"/>
      <c r="J184" s="12"/>
      <c r="K184" s="12"/>
      <c r="L184" s="12"/>
      <c r="M184" s="12"/>
      <c r="N184" s="16"/>
      <c r="O184" s="16"/>
      <c r="P184" s="12"/>
      <c r="Q184" s="16"/>
      <c r="R184" s="41"/>
      <c r="S184" s="41"/>
      <c r="T184" s="41"/>
      <c r="U184" s="41"/>
      <c r="V184" s="41"/>
      <c r="W184" s="41"/>
      <c r="X184" s="41"/>
      <c r="Y184" s="41"/>
      <c r="Z184" s="41"/>
    </row>
    <row r="185" spans="1:26" ht="15.75" customHeight="1" x14ac:dyDescent="0.2">
      <c r="A185" s="16"/>
      <c r="B185" s="43"/>
      <c r="C185" s="43"/>
      <c r="D185" s="16"/>
      <c r="E185" s="16"/>
      <c r="F185" s="16"/>
      <c r="G185" s="12"/>
      <c r="H185" s="12"/>
      <c r="I185" s="12"/>
      <c r="J185" s="12"/>
      <c r="K185" s="12"/>
      <c r="L185" s="12"/>
      <c r="M185" s="12"/>
      <c r="N185" s="16"/>
      <c r="O185" s="16"/>
      <c r="P185" s="12"/>
      <c r="Q185" s="16"/>
      <c r="R185" s="41"/>
      <c r="S185" s="41"/>
      <c r="T185" s="41"/>
      <c r="U185" s="41"/>
      <c r="V185" s="41"/>
      <c r="W185" s="41"/>
      <c r="X185" s="41"/>
      <c r="Y185" s="41"/>
      <c r="Z185" s="41"/>
    </row>
    <row r="186" spans="1:26" ht="15.75" customHeight="1" x14ac:dyDescent="0.2">
      <c r="A186" s="16"/>
      <c r="B186" s="43"/>
      <c r="C186" s="43"/>
      <c r="D186" s="16"/>
      <c r="E186" s="16"/>
      <c r="F186" s="16"/>
      <c r="G186" s="12"/>
      <c r="H186" s="12"/>
      <c r="I186" s="12"/>
      <c r="J186" s="12"/>
      <c r="K186" s="12"/>
      <c r="L186" s="12"/>
      <c r="M186" s="12"/>
      <c r="N186" s="16"/>
      <c r="O186" s="16"/>
      <c r="P186" s="12"/>
      <c r="Q186" s="16"/>
      <c r="R186" s="41"/>
      <c r="S186" s="41"/>
      <c r="T186" s="41"/>
      <c r="U186" s="41"/>
      <c r="V186" s="41"/>
      <c r="W186" s="41"/>
      <c r="X186" s="41"/>
      <c r="Y186" s="41"/>
      <c r="Z186" s="41"/>
    </row>
    <row r="187" spans="1:26" ht="15.75" customHeight="1" x14ac:dyDescent="0.2">
      <c r="A187" s="16"/>
      <c r="B187" s="43"/>
      <c r="C187" s="43"/>
      <c r="D187" s="16"/>
      <c r="E187" s="16"/>
      <c r="F187" s="16"/>
      <c r="G187" s="12"/>
      <c r="H187" s="12"/>
      <c r="I187" s="12"/>
      <c r="J187" s="12"/>
      <c r="K187" s="12"/>
      <c r="L187" s="12"/>
      <c r="M187" s="12"/>
      <c r="N187" s="16"/>
      <c r="O187" s="16"/>
      <c r="P187" s="12"/>
      <c r="Q187" s="16"/>
      <c r="R187" s="41"/>
      <c r="S187" s="41"/>
      <c r="T187" s="41"/>
      <c r="U187" s="41"/>
      <c r="V187" s="41"/>
      <c r="W187" s="41"/>
      <c r="X187" s="41"/>
      <c r="Y187" s="41"/>
      <c r="Z187" s="41"/>
    </row>
    <row r="188" spans="1:26" ht="15.75" customHeight="1" x14ac:dyDescent="0.2">
      <c r="A188" s="16"/>
      <c r="B188" s="43"/>
      <c r="C188" s="43"/>
      <c r="D188" s="16"/>
      <c r="E188" s="16"/>
      <c r="F188" s="16"/>
      <c r="G188" s="12"/>
      <c r="H188" s="12"/>
      <c r="I188" s="12"/>
      <c r="J188" s="12"/>
      <c r="K188" s="12"/>
      <c r="L188" s="12"/>
      <c r="M188" s="12"/>
      <c r="N188" s="16"/>
      <c r="O188" s="16"/>
      <c r="P188" s="12"/>
      <c r="Q188" s="16"/>
      <c r="R188" s="41"/>
      <c r="S188" s="41"/>
      <c r="T188" s="41"/>
      <c r="U188" s="41"/>
      <c r="V188" s="41"/>
      <c r="W188" s="41"/>
      <c r="X188" s="41"/>
      <c r="Y188" s="41"/>
      <c r="Z188" s="41"/>
    </row>
    <row r="189" spans="1:26" ht="15.75" customHeight="1" x14ac:dyDescent="0.2">
      <c r="A189" s="16"/>
      <c r="B189" s="43"/>
      <c r="C189" s="43"/>
      <c r="D189" s="16"/>
      <c r="E189" s="16"/>
      <c r="F189" s="16"/>
      <c r="G189" s="12"/>
      <c r="H189" s="12"/>
      <c r="I189" s="12"/>
      <c r="J189" s="12"/>
      <c r="K189" s="12"/>
      <c r="L189" s="12"/>
      <c r="M189" s="12"/>
      <c r="N189" s="16"/>
      <c r="O189" s="16"/>
      <c r="P189" s="12"/>
      <c r="Q189" s="16"/>
      <c r="R189" s="41"/>
      <c r="S189" s="41"/>
      <c r="T189" s="41"/>
      <c r="U189" s="41"/>
      <c r="V189" s="41"/>
      <c r="W189" s="41"/>
      <c r="X189" s="41"/>
      <c r="Y189" s="41"/>
      <c r="Z189" s="41"/>
    </row>
    <row r="190" spans="1:26" ht="15.75" customHeight="1" x14ac:dyDescent="0.2">
      <c r="A190" s="16"/>
      <c r="B190" s="43"/>
      <c r="C190" s="43"/>
      <c r="D190" s="16"/>
      <c r="E190" s="16"/>
      <c r="F190" s="16"/>
      <c r="G190" s="12"/>
      <c r="H190" s="12"/>
      <c r="I190" s="12"/>
      <c r="J190" s="12"/>
      <c r="K190" s="12"/>
      <c r="L190" s="12"/>
      <c r="M190" s="12"/>
      <c r="N190" s="16"/>
      <c r="O190" s="16"/>
      <c r="P190" s="12"/>
      <c r="Q190" s="16"/>
      <c r="R190" s="41"/>
      <c r="S190" s="41"/>
      <c r="T190" s="41"/>
      <c r="U190" s="41"/>
      <c r="V190" s="41"/>
      <c r="W190" s="41"/>
      <c r="X190" s="41"/>
      <c r="Y190" s="41"/>
      <c r="Z190" s="41"/>
    </row>
    <row r="191" spans="1:26" ht="15.75" customHeight="1" x14ac:dyDescent="0.2">
      <c r="A191" s="16"/>
      <c r="B191" s="43"/>
      <c r="C191" s="43"/>
      <c r="D191" s="16"/>
      <c r="E191" s="16"/>
      <c r="F191" s="16"/>
      <c r="G191" s="12"/>
      <c r="H191" s="12"/>
      <c r="I191" s="12"/>
      <c r="J191" s="12"/>
      <c r="K191" s="12"/>
      <c r="L191" s="12"/>
      <c r="M191" s="12"/>
      <c r="N191" s="16"/>
      <c r="O191" s="16"/>
      <c r="P191" s="12"/>
      <c r="Q191" s="16"/>
      <c r="R191" s="41"/>
      <c r="S191" s="41"/>
      <c r="T191" s="41"/>
      <c r="U191" s="41"/>
      <c r="V191" s="41"/>
      <c r="W191" s="41"/>
      <c r="X191" s="41"/>
      <c r="Y191" s="41"/>
      <c r="Z191" s="41"/>
    </row>
    <row r="192" spans="1:26" ht="15.75" customHeight="1" x14ac:dyDescent="0.2">
      <c r="A192" s="16"/>
      <c r="B192" s="43"/>
      <c r="C192" s="43"/>
      <c r="D192" s="16"/>
      <c r="E192" s="16"/>
      <c r="F192" s="16"/>
      <c r="G192" s="12"/>
      <c r="H192" s="12"/>
      <c r="I192" s="12"/>
      <c r="J192" s="12"/>
      <c r="K192" s="12"/>
      <c r="L192" s="12"/>
      <c r="M192" s="12"/>
      <c r="N192" s="16"/>
      <c r="O192" s="16"/>
      <c r="P192" s="12"/>
      <c r="Q192" s="16"/>
      <c r="R192" s="41"/>
      <c r="S192" s="41"/>
      <c r="T192" s="41"/>
      <c r="U192" s="41"/>
      <c r="V192" s="41"/>
      <c r="W192" s="41"/>
      <c r="X192" s="41"/>
      <c r="Y192" s="41"/>
      <c r="Z192" s="41"/>
    </row>
    <row r="193" spans="1:26" ht="15.75" customHeight="1" x14ac:dyDescent="0.2">
      <c r="A193" s="16"/>
      <c r="B193" s="43"/>
      <c r="C193" s="43"/>
      <c r="D193" s="16"/>
      <c r="E193" s="16"/>
      <c r="F193" s="16"/>
      <c r="G193" s="12"/>
      <c r="H193" s="12"/>
      <c r="I193" s="12"/>
      <c r="J193" s="12"/>
      <c r="K193" s="12"/>
      <c r="L193" s="12"/>
      <c r="M193" s="12"/>
      <c r="N193" s="16"/>
      <c r="O193" s="16"/>
      <c r="P193" s="12"/>
      <c r="Q193" s="16"/>
      <c r="R193" s="41"/>
      <c r="S193" s="41"/>
      <c r="T193" s="41"/>
      <c r="U193" s="41"/>
      <c r="V193" s="41"/>
      <c r="W193" s="41"/>
      <c r="X193" s="41"/>
      <c r="Y193" s="41"/>
      <c r="Z193" s="41"/>
    </row>
    <row r="194" spans="1:26" ht="15.75" customHeight="1" x14ac:dyDescent="0.2">
      <c r="A194" s="16"/>
      <c r="B194" s="43"/>
      <c r="C194" s="43"/>
      <c r="D194" s="16"/>
      <c r="E194" s="16"/>
      <c r="F194" s="16"/>
      <c r="G194" s="12"/>
      <c r="H194" s="12"/>
      <c r="I194" s="12"/>
      <c r="J194" s="12"/>
      <c r="K194" s="12"/>
      <c r="L194" s="12"/>
      <c r="M194" s="12"/>
      <c r="N194" s="16"/>
      <c r="O194" s="16"/>
      <c r="P194" s="12"/>
      <c r="Q194" s="16"/>
      <c r="R194" s="41"/>
      <c r="S194" s="41"/>
      <c r="T194" s="41"/>
      <c r="U194" s="41"/>
      <c r="V194" s="41"/>
      <c r="W194" s="41"/>
      <c r="X194" s="41"/>
      <c r="Y194" s="41"/>
      <c r="Z194" s="41"/>
    </row>
    <row r="195" spans="1:26" ht="15.75" customHeight="1" x14ac:dyDescent="0.2">
      <c r="A195" s="16"/>
      <c r="B195" s="43"/>
      <c r="C195" s="43"/>
      <c r="D195" s="16"/>
      <c r="E195" s="16"/>
      <c r="F195" s="16"/>
      <c r="G195" s="12"/>
      <c r="H195" s="12"/>
      <c r="I195" s="12"/>
      <c r="J195" s="12"/>
      <c r="K195" s="12"/>
      <c r="L195" s="12"/>
      <c r="M195" s="12"/>
      <c r="N195" s="16"/>
      <c r="O195" s="16"/>
      <c r="P195" s="12"/>
      <c r="Q195" s="16"/>
      <c r="R195" s="41"/>
      <c r="S195" s="41"/>
      <c r="T195" s="41"/>
      <c r="U195" s="41"/>
      <c r="V195" s="41"/>
      <c r="W195" s="41"/>
      <c r="X195" s="41"/>
      <c r="Y195" s="41"/>
      <c r="Z195" s="41"/>
    </row>
    <row r="196" spans="1:26" ht="15.75" customHeight="1" x14ac:dyDescent="0.2">
      <c r="A196" s="16"/>
      <c r="B196" s="43"/>
      <c r="C196" s="43"/>
      <c r="D196" s="16"/>
      <c r="E196" s="16"/>
      <c r="F196" s="16"/>
      <c r="G196" s="12"/>
      <c r="H196" s="12"/>
      <c r="I196" s="12"/>
      <c r="J196" s="12"/>
      <c r="K196" s="12"/>
      <c r="L196" s="12"/>
      <c r="M196" s="12"/>
      <c r="N196" s="16"/>
      <c r="O196" s="16"/>
      <c r="P196" s="12"/>
      <c r="Q196" s="16"/>
      <c r="R196" s="41"/>
      <c r="S196" s="41"/>
      <c r="T196" s="41"/>
      <c r="U196" s="41"/>
      <c r="V196" s="41"/>
      <c r="W196" s="41"/>
      <c r="X196" s="41"/>
      <c r="Y196" s="41"/>
      <c r="Z196" s="41"/>
    </row>
    <row r="197" spans="1:26" ht="15.75" customHeight="1" x14ac:dyDescent="0.2">
      <c r="A197" s="16"/>
      <c r="B197" s="43"/>
      <c r="C197" s="43"/>
      <c r="D197" s="16"/>
      <c r="E197" s="16"/>
      <c r="F197" s="16"/>
      <c r="G197" s="12"/>
      <c r="H197" s="12"/>
      <c r="I197" s="12"/>
      <c r="J197" s="12"/>
      <c r="K197" s="12"/>
      <c r="L197" s="12"/>
      <c r="M197" s="12"/>
      <c r="N197" s="16"/>
      <c r="O197" s="16"/>
      <c r="P197" s="12"/>
      <c r="Q197" s="16"/>
      <c r="R197" s="41"/>
      <c r="S197" s="41"/>
      <c r="T197" s="41"/>
      <c r="U197" s="41"/>
      <c r="V197" s="41"/>
      <c r="W197" s="41"/>
      <c r="X197" s="41"/>
      <c r="Y197" s="41"/>
      <c r="Z197" s="41"/>
    </row>
    <row r="198" spans="1:26" ht="15.75" customHeight="1" x14ac:dyDescent="0.2">
      <c r="A198" s="16"/>
      <c r="B198" s="43"/>
      <c r="C198" s="43"/>
      <c r="D198" s="16"/>
      <c r="E198" s="16"/>
      <c r="F198" s="16"/>
      <c r="G198" s="12"/>
      <c r="H198" s="12"/>
      <c r="I198" s="12"/>
      <c r="J198" s="12"/>
      <c r="K198" s="12"/>
      <c r="L198" s="12"/>
      <c r="M198" s="12"/>
      <c r="N198" s="16"/>
      <c r="O198" s="16"/>
      <c r="P198" s="12"/>
      <c r="Q198" s="16"/>
      <c r="R198" s="41"/>
      <c r="S198" s="41"/>
      <c r="T198" s="41"/>
      <c r="U198" s="41"/>
      <c r="V198" s="41"/>
      <c r="W198" s="41"/>
      <c r="X198" s="41"/>
      <c r="Y198" s="41"/>
      <c r="Z198" s="41"/>
    </row>
    <row r="199" spans="1:26" ht="15.75" customHeight="1" x14ac:dyDescent="0.2">
      <c r="A199" s="16"/>
      <c r="B199" s="43"/>
      <c r="C199" s="43"/>
      <c r="D199" s="16"/>
      <c r="E199" s="16"/>
      <c r="F199" s="16"/>
      <c r="G199" s="12"/>
      <c r="H199" s="12"/>
      <c r="I199" s="12"/>
      <c r="J199" s="12"/>
      <c r="K199" s="12"/>
      <c r="L199" s="12"/>
      <c r="M199" s="12"/>
      <c r="N199" s="16"/>
      <c r="O199" s="16"/>
      <c r="P199" s="12"/>
      <c r="Q199" s="16"/>
      <c r="R199" s="41"/>
      <c r="S199" s="41"/>
      <c r="T199" s="41"/>
      <c r="U199" s="41"/>
      <c r="V199" s="41"/>
      <c r="W199" s="41"/>
      <c r="X199" s="41"/>
      <c r="Y199" s="41"/>
      <c r="Z199" s="41"/>
    </row>
    <row r="200" spans="1:26" ht="15.75" customHeight="1" x14ac:dyDescent="0.2">
      <c r="A200" s="16"/>
      <c r="B200" s="43"/>
      <c r="C200" s="43"/>
      <c r="D200" s="16"/>
      <c r="E200" s="16"/>
      <c r="F200" s="16"/>
      <c r="G200" s="12"/>
      <c r="H200" s="12"/>
      <c r="I200" s="12"/>
      <c r="J200" s="12"/>
      <c r="K200" s="12"/>
      <c r="L200" s="12"/>
      <c r="M200" s="12"/>
      <c r="N200" s="16"/>
      <c r="O200" s="16"/>
      <c r="P200" s="12"/>
      <c r="Q200" s="16"/>
      <c r="R200" s="41"/>
      <c r="S200" s="41"/>
      <c r="T200" s="41"/>
      <c r="U200" s="41"/>
      <c r="V200" s="41"/>
      <c r="W200" s="41"/>
      <c r="X200" s="41"/>
      <c r="Y200" s="41"/>
      <c r="Z200" s="41"/>
    </row>
    <row r="201" spans="1:26" ht="15.75" customHeight="1" x14ac:dyDescent="0.2">
      <c r="A201" s="16"/>
      <c r="B201" s="43"/>
      <c r="C201" s="43"/>
      <c r="D201" s="16"/>
      <c r="E201" s="16"/>
      <c r="F201" s="16"/>
      <c r="G201" s="12"/>
      <c r="H201" s="12"/>
      <c r="I201" s="12"/>
      <c r="J201" s="12"/>
      <c r="K201" s="12"/>
      <c r="L201" s="12"/>
      <c r="M201" s="12"/>
      <c r="N201" s="16"/>
      <c r="O201" s="16"/>
      <c r="P201" s="12"/>
      <c r="Q201" s="16"/>
      <c r="R201" s="41"/>
      <c r="S201" s="41"/>
      <c r="T201" s="41"/>
      <c r="U201" s="41"/>
      <c r="V201" s="41"/>
      <c r="W201" s="41"/>
      <c r="X201" s="41"/>
      <c r="Y201" s="41"/>
      <c r="Z201" s="41"/>
    </row>
    <row r="202" spans="1:26" ht="15.75" customHeight="1" x14ac:dyDescent="0.2">
      <c r="A202" s="16"/>
      <c r="B202" s="43"/>
      <c r="C202" s="43"/>
      <c r="D202" s="16"/>
      <c r="E202" s="16"/>
      <c r="F202" s="16"/>
      <c r="G202" s="12"/>
      <c r="H202" s="12"/>
      <c r="I202" s="12"/>
      <c r="J202" s="12"/>
      <c r="K202" s="12"/>
      <c r="L202" s="12"/>
      <c r="M202" s="12"/>
      <c r="N202" s="16"/>
      <c r="O202" s="16"/>
      <c r="P202" s="12"/>
      <c r="Q202" s="16"/>
      <c r="R202" s="41"/>
      <c r="S202" s="41"/>
      <c r="T202" s="41"/>
      <c r="U202" s="41"/>
      <c r="V202" s="41"/>
      <c r="W202" s="41"/>
      <c r="X202" s="41"/>
      <c r="Y202" s="41"/>
      <c r="Z202" s="41"/>
    </row>
    <row r="203" spans="1:26" ht="15.75" customHeight="1" x14ac:dyDescent="0.2">
      <c r="A203" s="16"/>
      <c r="B203" s="43"/>
      <c r="C203" s="43"/>
      <c r="D203" s="16"/>
      <c r="E203" s="16"/>
      <c r="F203" s="16"/>
      <c r="G203" s="12"/>
      <c r="H203" s="12"/>
      <c r="I203" s="12"/>
      <c r="J203" s="12"/>
      <c r="K203" s="12"/>
      <c r="L203" s="12"/>
      <c r="M203" s="12"/>
      <c r="N203" s="16"/>
      <c r="O203" s="16"/>
      <c r="P203" s="12"/>
      <c r="Q203" s="16"/>
      <c r="R203" s="41"/>
      <c r="S203" s="41"/>
      <c r="T203" s="41"/>
      <c r="U203" s="41"/>
      <c r="V203" s="41"/>
      <c r="W203" s="41"/>
      <c r="X203" s="41"/>
      <c r="Y203" s="41"/>
      <c r="Z203" s="41"/>
    </row>
    <row r="204" spans="1:26" ht="15.75" customHeight="1" x14ac:dyDescent="0.2">
      <c r="A204" s="16"/>
      <c r="B204" s="43"/>
      <c r="C204" s="43"/>
      <c r="D204" s="16"/>
      <c r="E204" s="16"/>
      <c r="F204" s="16"/>
      <c r="G204" s="12"/>
      <c r="H204" s="12"/>
      <c r="I204" s="12"/>
      <c r="J204" s="12"/>
      <c r="K204" s="12"/>
      <c r="L204" s="12"/>
      <c r="M204" s="12"/>
      <c r="N204" s="16"/>
      <c r="O204" s="16"/>
      <c r="P204" s="12"/>
      <c r="Q204" s="16"/>
      <c r="R204" s="41"/>
      <c r="S204" s="41"/>
      <c r="T204" s="41"/>
      <c r="U204" s="41"/>
      <c r="V204" s="41"/>
      <c r="W204" s="41"/>
      <c r="X204" s="41"/>
      <c r="Y204" s="41"/>
      <c r="Z204" s="41"/>
    </row>
    <row r="205" spans="1:26" ht="15.75" customHeight="1" x14ac:dyDescent="0.2">
      <c r="A205" s="16"/>
      <c r="B205" s="43"/>
      <c r="C205" s="43"/>
      <c r="D205" s="16"/>
      <c r="E205" s="16"/>
      <c r="F205" s="16"/>
      <c r="G205" s="12"/>
      <c r="H205" s="12"/>
      <c r="I205" s="12"/>
      <c r="J205" s="12"/>
      <c r="K205" s="12"/>
      <c r="L205" s="12"/>
      <c r="M205" s="12"/>
      <c r="N205" s="16"/>
      <c r="O205" s="16"/>
      <c r="P205" s="12"/>
      <c r="Q205" s="16"/>
      <c r="R205" s="41"/>
      <c r="S205" s="41"/>
      <c r="T205" s="41"/>
      <c r="U205" s="41"/>
      <c r="V205" s="41"/>
      <c r="W205" s="41"/>
      <c r="X205" s="41"/>
      <c r="Y205" s="41"/>
      <c r="Z205" s="41"/>
    </row>
    <row r="206" spans="1:26" ht="15.75" customHeight="1" x14ac:dyDescent="0.2">
      <c r="A206" s="16"/>
      <c r="B206" s="43"/>
      <c r="C206" s="43"/>
      <c r="D206" s="16"/>
      <c r="E206" s="16"/>
      <c r="F206" s="16"/>
      <c r="G206" s="12"/>
      <c r="H206" s="12"/>
      <c r="I206" s="12"/>
      <c r="J206" s="12"/>
      <c r="K206" s="12"/>
      <c r="L206" s="12"/>
      <c r="M206" s="12"/>
      <c r="N206" s="16"/>
      <c r="O206" s="16"/>
      <c r="P206" s="12"/>
      <c r="Q206" s="16"/>
      <c r="R206" s="41"/>
      <c r="S206" s="41"/>
      <c r="T206" s="41"/>
      <c r="U206" s="41"/>
      <c r="V206" s="41"/>
      <c r="W206" s="41"/>
      <c r="X206" s="41"/>
      <c r="Y206" s="41"/>
      <c r="Z206" s="41"/>
    </row>
    <row r="207" spans="1:26" ht="15.75" customHeight="1" x14ac:dyDescent="0.2">
      <c r="A207" s="16"/>
      <c r="B207" s="43"/>
      <c r="C207" s="43"/>
      <c r="D207" s="16"/>
      <c r="E207" s="16"/>
      <c r="F207" s="16"/>
      <c r="G207" s="12"/>
      <c r="H207" s="12"/>
      <c r="I207" s="12"/>
      <c r="J207" s="12"/>
      <c r="K207" s="12"/>
      <c r="L207" s="12"/>
      <c r="M207" s="12"/>
      <c r="N207" s="16"/>
      <c r="O207" s="16"/>
      <c r="P207" s="12"/>
      <c r="Q207" s="16"/>
      <c r="R207" s="41"/>
      <c r="S207" s="41"/>
      <c r="T207" s="41"/>
      <c r="U207" s="41"/>
      <c r="V207" s="41"/>
      <c r="W207" s="41"/>
      <c r="X207" s="41"/>
      <c r="Y207" s="41"/>
      <c r="Z207" s="41"/>
    </row>
    <row r="208" spans="1:26" ht="15.75" customHeight="1" x14ac:dyDescent="0.2">
      <c r="A208" s="16"/>
      <c r="B208" s="43"/>
      <c r="C208" s="43"/>
      <c r="D208" s="16"/>
      <c r="E208" s="16"/>
      <c r="F208" s="16"/>
      <c r="G208" s="12"/>
      <c r="H208" s="12"/>
      <c r="I208" s="12"/>
      <c r="J208" s="12"/>
      <c r="K208" s="12"/>
      <c r="L208" s="12"/>
      <c r="M208" s="12"/>
      <c r="N208" s="16"/>
      <c r="O208" s="16"/>
      <c r="P208" s="12"/>
      <c r="Q208" s="16"/>
      <c r="R208" s="41"/>
      <c r="S208" s="41"/>
      <c r="T208" s="41"/>
      <c r="U208" s="41"/>
      <c r="V208" s="41"/>
      <c r="W208" s="41"/>
      <c r="X208" s="41"/>
      <c r="Y208" s="41"/>
      <c r="Z208" s="41"/>
    </row>
    <row r="209" spans="1:26" ht="15.75" customHeight="1" x14ac:dyDescent="0.2">
      <c r="A209" s="16"/>
      <c r="B209" s="43"/>
      <c r="C209" s="43"/>
      <c r="D209" s="16"/>
      <c r="E209" s="16"/>
      <c r="F209" s="16"/>
      <c r="G209" s="12"/>
      <c r="H209" s="12"/>
      <c r="I209" s="12"/>
      <c r="J209" s="12"/>
      <c r="K209" s="12"/>
      <c r="L209" s="12"/>
      <c r="M209" s="12"/>
      <c r="N209" s="16"/>
      <c r="O209" s="16"/>
      <c r="P209" s="12"/>
      <c r="Q209" s="16"/>
      <c r="R209" s="41"/>
      <c r="S209" s="41"/>
      <c r="T209" s="41"/>
      <c r="U209" s="41"/>
      <c r="V209" s="41"/>
      <c r="W209" s="41"/>
      <c r="X209" s="41"/>
      <c r="Y209" s="41"/>
      <c r="Z209" s="41"/>
    </row>
    <row r="210" spans="1:26" ht="15.75" customHeight="1" x14ac:dyDescent="0.2">
      <c r="A210" s="16"/>
      <c r="B210" s="43"/>
      <c r="C210" s="43"/>
      <c r="D210" s="16"/>
      <c r="E210" s="16"/>
      <c r="F210" s="16"/>
      <c r="G210" s="12"/>
      <c r="H210" s="12"/>
      <c r="I210" s="12"/>
      <c r="J210" s="12"/>
      <c r="K210" s="12"/>
      <c r="L210" s="12"/>
      <c r="M210" s="12"/>
      <c r="N210" s="16"/>
      <c r="O210" s="16"/>
      <c r="P210" s="12"/>
      <c r="Q210" s="16"/>
      <c r="R210" s="41"/>
      <c r="S210" s="41"/>
      <c r="T210" s="41"/>
      <c r="U210" s="41"/>
      <c r="V210" s="41"/>
      <c r="W210" s="41"/>
      <c r="X210" s="41"/>
      <c r="Y210" s="41"/>
      <c r="Z210" s="41"/>
    </row>
    <row r="211" spans="1:26" ht="15.75" customHeight="1" x14ac:dyDescent="0.2">
      <c r="A211" s="16"/>
      <c r="B211" s="43"/>
      <c r="C211" s="43"/>
      <c r="D211" s="16"/>
      <c r="E211" s="16"/>
      <c r="F211" s="16"/>
      <c r="G211" s="12"/>
      <c r="H211" s="12"/>
      <c r="I211" s="12"/>
      <c r="J211" s="12"/>
      <c r="K211" s="12"/>
      <c r="L211" s="12"/>
      <c r="M211" s="12"/>
      <c r="N211" s="16"/>
      <c r="O211" s="16"/>
      <c r="P211" s="12"/>
      <c r="Q211" s="16"/>
      <c r="R211" s="41"/>
      <c r="S211" s="41"/>
      <c r="T211" s="41"/>
      <c r="U211" s="41"/>
      <c r="V211" s="41"/>
      <c r="W211" s="41"/>
      <c r="X211" s="41"/>
      <c r="Y211" s="41"/>
      <c r="Z211" s="41"/>
    </row>
    <row r="212" spans="1:26" ht="15.75" customHeight="1" x14ac:dyDescent="0.2">
      <c r="A212" s="16"/>
      <c r="B212" s="43"/>
      <c r="C212" s="43"/>
      <c r="D212" s="16"/>
      <c r="E212" s="16"/>
      <c r="F212" s="16"/>
      <c r="G212" s="12"/>
      <c r="H212" s="12"/>
      <c r="I212" s="12"/>
      <c r="J212" s="12"/>
      <c r="K212" s="12"/>
      <c r="L212" s="12"/>
      <c r="M212" s="12"/>
      <c r="N212" s="16"/>
      <c r="O212" s="16"/>
      <c r="P212" s="12"/>
      <c r="Q212" s="16"/>
      <c r="R212" s="41"/>
      <c r="S212" s="41"/>
      <c r="T212" s="41"/>
      <c r="U212" s="41"/>
      <c r="V212" s="41"/>
      <c r="W212" s="41"/>
      <c r="X212" s="41"/>
      <c r="Y212" s="41"/>
      <c r="Z212" s="41"/>
    </row>
    <row r="213" spans="1:26" ht="15.75" customHeight="1" x14ac:dyDescent="0.2">
      <c r="A213" s="16"/>
      <c r="B213" s="43"/>
      <c r="C213" s="43"/>
      <c r="D213" s="16"/>
      <c r="E213" s="16"/>
      <c r="F213" s="16"/>
      <c r="G213" s="12"/>
      <c r="H213" s="12"/>
      <c r="I213" s="12"/>
      <c r="J213" s="12"/>
      <c r="K213" s="12"/>
      <c r="L213" s="12"/>
      <c r="M213" s="12"/>
      <c r="N213" s="16"/>
      <c r="O213" s="16"/>
      <c r="P213" s="12"/>
      <c r="Q213" s="16"/>
      <c r="R213" s="41"/>
      <c r="S213" s="41"/>
      <c r="T213" s="41"/>
      <c r="U213" s="41"/>
      <c r="V213" s="41"/>
      <c r="W213" s="41"/>
      <c r="X213" s="41"/>
      <c r="Y213" s="41"/>
      <c r="Z213" s="41"/>
    </row>
    <row r="214" spans="1:26" ht="15.75" customHeight="1" x14ac:dyDescent="0.2">
      <c r="A214" s="16"/>
      <c r="B214" s="43"/>
      <c r="C214" s="43"/>
      <c r="D214" s="16"/>
      <c r="E214" s="16"/>
      <c r="F214" s="16"/>
      <c r="G214" s="12"/>
      <c r="H214" s="12"/>
      <c r="I214" s="12"/>
      <c r="J214" s="12"/>
      <c r="K214" s="12"/>
      <c r="L214" s="12"/>
      <c r="M214" s="12"/>
      <c r="N214" s="16"/>
      <c r="O214" s="16"/>
      <c r="P214" s="12"/>
      <c r="Q214" s="16"/>
      <c r="R214" s="41"/>
      <c r="S214" s="41"/>
      <c r="T214" s="41"/>
      <c r="U214" s="41"/>
      <c r="V214" s="41"/>
      <c r="W214" s="41"/>
      <c r="X214" s="41"/>
      <c r="Y214" s="41"/>
      <c r="Z214" s="41"/>
    </row>
    <row r="215" spans="1:26" ht="15.75" customHeight="1" x14ac:dyDescent="0.2">
      <c r="A215" s="16"/>
      <c r="B215" s="43"/>
      <c r="C215" s="43"/>
      <c r="D215" s="16"/>
      <c r="E215" s="16"/>
      <c r="F215" s="16"/>
      <c r="G215" s="12"/>
      <c r="H215" s="12"/>
      <c r="I215" s="12"/>
      <c r="J215" s="12"/>
      <c r="K215" s="12"/>
      <c r="L215" s="12"/>
      <c r="M215" s="12"/>
      <c r="N215" s="16"/>
      <c r="O215" s="16"/>
      <c r="P215" s="12"/>
      <c r="Q215" s="16"/>
      <c r="R215" s="41"/>
      <c r="S215" s="41"/>
      <c r="T215" s="41"/>
      <c r="U215" s="41"/>
      <c r="V215" s="41"/>
      <c r="W215" s="41"/>
      <c r="X215" s="41"/>
      <c r="Y215" s="41"/>
      <c r="Z215" s="41"/>
    </row>
    <row r="216" spans="1:26" ht="15.75" customHeight="1" x14ac:dyDescent="0.2">
      <c r="A216" s="16"/>
      <c r="B216" s="43"/>
      <c r="C216" s="43"/>
      <c r="D216" s="16"/>
      <c r="E216" s="16"/>
      <c r="F216" s="16"/>
      <c r="G216" s="12"/>
      <c r="H216" s="12"/>
      <c r="I216" s="12"/>
      <c r="J216" s="12"/>
      <c r="K216" s="12"/>
      <c r="L216" s="12"/>
      <c r="M216" s="12"/>
      <c r="N216" s="16"/>
      <c r="O216" s="16"/>
      <c r="P216" s="12"/>
      <c r="Q216" s="16"/>
      <c r="R216" s="41"/>
      <c r="S216" s="41"/>
      <c r="T216" s="41"/>
      <c r="U216" s="41"/>
      <c r="V216" s="41"/>
      <c r="W216" s="41"/>
      <c r="X216" s="41"/>
      <c r="Y216" s="41"/>
      <c r="Z216" s="41"/>
    </row>
    <row r="217" spans="1:26" ht="15.75" customHeight="1" x14ac:dyDescent="0.2">
      <c r="A217" s="16"/>
      <c r="B217" s="43"/>
      <c r="C217" s="43"/>
      <c r="D217" s="16"/>
      <c r="E217" s="16"/>
      <c r="F217" s="16"/>
      <c r="G217" s="12"/>
      <c r="H217" s="12"/>
      <c r="I217" s="12"/>
      <c r="J217" s="12"/>
      <c r="K217" s="12"/>
      <c r="L217" s="12"/>
      <c r="M217" s="12"/>
      <c r="N217" s="16"/>
      <c r="O217" s="16"/>
      <c r="P217" s="12"/>
      <c r="Q217" s="16"/>
      <c r="R217" s="41"/>
      <c r="S217" s="41"/>
      <c r="T217" s="41"/>
      <c r="U217" s="41"/>
      <c r="V217" s="41"/>
      <c r="W217" s="41"/>
      <c r="X217" s="41"/>
      <c r="Y217" s="41"/>
      <c r="Z217" s="41"/>
    </row>
    <row r="218" spans="1:26" ht="15.75" customHeight="1" x14ac:dyDescent="0.2">
      <c r="A218" s="16"/>
      <c r="B218" s="43"/>
      <c r="C218" s="43"/>
      <c r="D218" s="16"/>
      <c r="E218" s="16"/>
      <c r="F218" s="16"/>
      <c r="G218" s="12"/>
      <c r="H218" s="12"/>
      <c r="I218" s="12"/>
      <c r="J218" s="12"/>
      <c r="K218" s="12"/>
      <c r="L218" s="12"/>
      <c r="M218" s="12"/>
      <c r="N218" s="16"/>
      <c r="O218" s="16"/>
      <c r="P218" s="12"/>
      <c r="Q218" s="16"/>
      <c r="R218" s="41"/>
      <c r="S218" s="41"/>
      <c r="T218" s="41"/>
      <c r="U218" s="41"/>
      <c r="V218" s="41"/>
      <c r="W218" s="41"/>
      <c r="X218" s="41"/>
      <c r="Y218" s="41"/>
      <c r="Z218" s="41"/>
    </row>
    <row r="219" spans="1:26" ht="15.75" customHeight="1" x14ac:dyDescent="0.2">
      <c r="A219" s="16"/>
      <c r="B219" s="43"/>
      <c r="C219" s="43"/>
      <c r="D219" s="16"/>
      <c r="E219" s="16"/>
      <c r="F219" s="16"/>
      <c r="G219" s="12"/>
      <c r="H219" s="12"/>
      <c r="I219" s="12"/>
      <c r="J219" s="12"/>
      <c r="K219" s="12"/>
      <c r="L219" s="12"/>
      <c r="M219" s="12"/>
      <c r="N219" s="16"/>
      <c r="O219" s="16"/>
      <c r="P219" s="12"/>
      <c r="Q219" s="16"/>
      <c r="R219" s="41"/>
      <c r="S219" s="41"/>
      <c r="T219" s="41"/>
      <c r="U219" s="41"/>
      <c r="V219" s="41"/>
      <c r="W219" s="41"/>
      <c r="X219" s="41"/>
      <c r="Y219" s="41"/>
      <c r="Z219" s="41"/>
    </row>
    <row r="220" spans="1:26" ht="15.75" customHeight="1" x14ac:dyDescent="0.2">
      <c r="A220" s="16"/>
      <c r="B220" s="43"/>
      <c r="C220" s="43"/>
      <c r="D220" s="16"/>
      <c r="E220" s="16"/>
      <c r="F220" s="16"/>
      <c r="G220" s="12"/>
      <c r="H220" s="12"/>
      <c r="I220" s="12"/>
      <c r="J220" s="12"/>
      <c r="K220" s="12"/>
      <c r="L220" s="12"/>
      <c r="M220" s="12"/>
      <c r="N220" s="16"/>
      <c r="O220" s="16"/>
      <c r="P220" s="12"/>
      <c r="Q220" s="16"/>
      <c r="R220" s="41"/>
      <c r="S220" s="41"/>
      <c r="T220" s="41"/>
      <c r="U220" s="41"/>
      <c r="V220" s="41"/>
      <c r="W220" s="41"/>
      <c r="X220" s="41"/>
      <c r="Y220" s="41"/>
      <c r="Z220" s="41"/>
    </row>
    <row r="221" spans="1:26" ht="15.75" customHeight="1" x14ac:dyDescent="0.2">
      <c r="A221" s="16"/>
      <c r="B221" s="43"/>
      <c r="C221" s="43"/>
      <c r="D221" s="16"/>
      <c r="E221" s="16"/>
      <c r="F221" s="16"/>
      <c r="G221" s="12"/>
      <c r="H221" s="12"/>
      <c r="I221" s="12"/>
      <c r="J221" s="12"/>
      <c r="K221" s="12"/>
      <c r="L221" s="12"/>
      <c r="M221" s="12"/>
      <c r="N221" s="16"/>
      <c r="O221" s="16"/>
      <c r="P221" s="12"/>
      <c r="Q221" s="16"/>
      <c r="R221" s="41"/>
      <c r="S221" s="41"/>
      <c r="T221" s="41"/>
      <c r="U221" s="41"/>
      <c r="V221" s="41"/>
      <c r="W221" s="41"/>
      <c r="X221" s="41"/>
      <c r="Y221" s="41"/>
      <c r="Z221" s="41"/>
    </row>
    <row r="222" spans="1:26" ht="15.75" customHeight="1" x14ac:dyDescent="0.2">
      <c r="A222" s="16"/>
      <c r="B222" s="43"/>
      <c r="C222" s="43"/>
      <c r="D222" s="16"/>
      <c r="E222" s="16"/>
      <c r="F222" s="16"/>
      <c r="G222" s="12"/>
      <c r="H222" s="12"/>
      <c r="I222" s="12"/>
      <c r="J222" s="12"/>
      <c r="K222" s="12"/>
      <c r="L222" s="12"/>
      <c r="M222" s="12"/>
      <c r="N222" s="16"/>
      <c r="O222" s="16"/>
      <c r="P222" s="12"/>
      <c r="Q222" s="16"/>
      <c r="R222" s="41"/>
      <c r="S222" s="41"/>
      <c r="T222" s="41"/>
      <c r="U222" s="41"/>
      <c r="V222" s="41"/>
      <c r="W222" s="41"/>
      <c r="X222" s="41"/>
      <c r="Y222" s="41"/>
      <c r="Z222" s="41"/>
    </row>
    <row r="223" spans="1:26" ht="15.75" customHeight="1" x14ac:dyDescent="0.2">
      <c r="A223" s="16"/>
      <c r="B223" s="43"/>
      <c r="C223" s="43"/>
      <c r="D223" s="16"/>
      <c r="E223" s="16"/>
      <c r="F223" s="16"/>
      <c r="G223" s="12"/>
      <c r="H223" s="12"/>
      <c r="I223" s="12"/>
      <c r="J223" s="12"/>
      <c r="K223" s="12"/>
      <c r="L223" s="12"/>
      <c r="M223" s="12"/>
      <c r="N223" s="16"/>
      <c r="O223" s="16"/>
      <c r="P223" s="12"/>
      <c r="Q223" s="16"/>
      <c r="R223" s="41"/>
      <c r="S223" s="41"/>
      <c r="T223" s="41"/>
      <c r="U223" s="41"/>
      <c r="V223" s="41"/>
      <c r="W223" s="41"/>
      <c r="X223" s="41"/>
      <c r="Y223" s="41"/>
      <c r="Z223" s="41"/>
    </row>
    <row r="224" spans="1:26" ht="15.75" customHeight="1" x14ac:dyDescent="0.2">
      <c r="A224" s="16"/>
      <c r="B224" s="43"/>
      <c r="C224" s="43"/>
      <c r="D224" s="16"/>
      <c r="E224" s="16"/>
      <c r="F224" s="16"/>
      <c r="G224" s="12"/>
      <c r="H224" s="12"/>
      <c r="I224" s="12"/>
      <c r="J224" s="12"/>
      <c r="K224" s="12"/>
      <c r="L224" s="12"/>
      <c r="M224" s="12"/>
      <c r="N224" s="16"/>
      <c r="O224" s="16"/>
      <c r="P224" s="12"/>
      <c r="Q224" s="16"/>
      <c r="R224" s="41"/>
      <c r="S224" s="41"/>
      <c r="T224" s="41"/>
      <c r="U224" s="41"/>
      <c r="V224" s="41"/>
      <c r="W224" s="41"/>
      <c r="X224" s="41"/>
      <c r="Y224" s="41"/>
      <c r="Z224" s="41"/>
    </row>
    <row r="225" spans="1:26" ht="15.75" customHeight="1" x14ac:dyDescent="0.2">
      <c r="A225" s="16"/>
      <c r="B225" s="43"/>
      <c r="C225" s="43"/>
      <c r="D225" s="16"/>
      <c r="E225" s="16"/>
      <c r="F225" s="16"/>
      <c r="G225" s="12"/>
      <c r="H225" s="12"/>
      <c r="I225" s="12"/>
      <c r="J225" s="12"/>
      <c r="K225" s="12"/>
      <c r="L225" s="12"/>
      <c r="M225" s="12"/>
      <c r="N225" s="16"/>
      <c r="O225" s="16"/>
      <c r="P225" s="12"/>
      <c r="Q225" s="16"/>
      <c r="R225" s="41"/>
      <c r="S225" s="41"/>
      <c r="T225" s="41"/>
      <c r="U225" s="41"/>
      <c r="V225" s="41"/>
      <c r="W225" s="41"/>
      <c r="X225" s="41"/>
      <c r="Y225" s="41"/>
      <c r="Z225" s="41"/>
    </row>
    <row r="226" spans="1:26" ht="15.75" customHeight="1" x14ac:dyDescent="0.2">
      <c r="A226" s="16"/>
      <c r="B226" s="43"/>
      <c r="C226" s="43"/>
      <c r="D226" s="16"/>
      <c r="E226" s="16"/>
      <c r="F226" s="16"/>
      <c r="G226" s="12"/>
      <c r="H226" s="12"/>
      <c r="I226" s="12"/>
      <c r="J226" s="12"/>
      <c r="K226" s="12"/>
      <c r="L226" s="12"/>
      <c r="M226" s="12"/>
      <c r="N226" s="16"/>
      <c r="O226" s="16"/>
      <c r="P226" s="12"/>
      <c r="Q226" s="16"/>
      <c r="R226" s="41"/>
      <c r="S226" s="41"/>
      <c r="T226" s="41"/>
      <c r="U226" s="41"/>
      <c r="V226" s="41"/>
      <c r="W226" s="41"/>
      <c r="X226" s="41"/>
      <c r="Y226" s="41"/>
      <c r="Z226" s="41"/>
    </row>
    <row r="227" spans="1:26" ht="15.75" customHeight="1" x14ac:dyDescent="0.2">
      <c r="A227" s="16"/>
      <c r="B227" s="43"/>
      <c r="C227" s="43"/>
      <c r="D227" s="16"/>
      <c r="E227" s="16"/>
      <c r="F227" s="16"/>
      <c r="G227" s="12"/>
      <c r="H227" s="12"/>
      <c r="I227" s="12"/>
      <c r="J227" s="12"/>
      <c r="K227" s="12"/>
      <c r="L227" s="12"/>
      <c r="M227" s="12"/>
      <c r="N227" s="16"/>
      <c r="O227" s="16"/>
      <c r="P227" s="12"/>
      <c r="Q227" s="16"/>
      <c r="R227" s="41"/>
      <c r="S227" s="41"/>
      <c r="T227" s="41"/>
      <c r="U227" s="41"/>
      <c r="V227" s="41"/>
      <c r="W227" s="41"/>
      <c r="X227" s="41"/>
      <c r="Y227" s="41"/>
      <c r="Z227" s="41"/>
    </row>
    <row r="228" spans="1:26" ht="15.75" customHeight="1" x14ac:dyDescent="0.2">
      <c r="A228" s="16"/>
      <c r="B228" s="43"/>
      <c r="C228" s="43"/>
      <c r="D228" s="16"/>
      <c r="E228" s="16"/>
      <c r="F228" s="16"/>
      <c r="G228" s="12"/>
      <c r="H228" s="12"/>
      <c r="I228" s="12"/>
      <c r="J228" s="12"/>
      <c r="K228" s="12"/>
      <c r="L228" s="12"/>
      <c r="M228" s="12"/>
      <c r="N228" s="16"/>
      <c r="O228" s="16"/>
      <c r="P228" s="12"/>
      <c r="Q228" s="16"/>
      <c r="R228" s="41"/>
      <c r="S228" s="41"/>
      <c r="T228" s="41"/>
      <c r="U228" s="41"/>
      <c r="V228" s="41"/>
      <c r="W228" s="41"/>
      <c r="X228" s="41"/>
      <c r="Y228" s="41"/>
      <c r="Z228" s="41"/>
    </row>
    <row r="229" spans="1:26" ht="15.75" customHeight="1" x14ac:dyDescent="0.2">
      <c r="A229" s="16"/>
      <c r="B229" s="43"/>
      <c r="C229" s="43"/>
      <c r="D229" s="16"/>
      <c r="E229" s="16"/>
      <c r="F229" s="16"/>
      <c r="G229" s="12"/>
      <c r="H229" s="12"/>
      <c r="I229" s="12"/>
      <c r="J229" s="12"/>
      <c r="K229" s="12"/>
      <c r="L229" s="12"/>
      <c r="M229" s="12"/>
      <c r="N229" s="16"/>
      <c r="O229" s="16"/>
      <c r="P229" s="12"/>
      <c r="Q229" s="16"/>
      <c r="R229" s="41"/>
      <c r="S229" s="41"/>
      <c r="T229" s="41"/>
      <c r="U229" s="41"/>
      <c r="V229" s="41"/>
      <c r="W229" s="41"/>
      <c r="X229" s="41"/>
      <c r="Y229" s="41"/>
      <c r="Z229" s="41"/>
    </row>
    <row r="230" spans="1:26" ht="15.75" customHeight="1" x14ac:dyDescent="0.2">
      <c r="A230" s="16"/>
      <c r="B230" s="43"/>
      <c r="C230" s="43"/>
      <c r="D230" s="16"/>
      <c r="E230" s="16"/>
      <c r="F230" s="16"/>
      <c r="G230" s="12"/>
      <c r="H230" s="12"/>
      <c r="I230" s="12"/>
      <c r="J230" s="12"/>
      <c r="K230" s="12"/>
      <c r="L230" s="12"/>
      <c r="M230" s="12"/>
      <c r="N230" s="16"/>
      <c r="O230" s="16"/>
      <c r="P230" s="12"/>
      <c r="Q230" s="16"/>
      <c r="R230" s="41"/>
      <c r="S230" s="41"/>
      <c r="T230" s="41"/>
      <c r="U230" s="41"/>
      <c r="V230" s="41"/>
      <c r="W230" s="41"/>
      <c r="X230" s="41"/>
      <c r="Y230" s="41"/>
      <c r="Z230" s="41"/>
    </row>
    <row r="231" spans="1:26" ht="15.75" customHeight="1" x14ac:dyDescent="0.2">
      <c r="A231" s="16"/>
      <c r="B231" s="43"/>
      <c r="C231" s="43"/>
      <c r="D231" s="16"/>
      <c r="E231" s="16"/>
      <c r="F231" s="16"/>
      <c r="G231" s="12"/>
      <c r="H231" s="12"/>
      <c r="I231" s="12"/>
      <c r="J231" s="12"/>
      <c r="K231" s="12"/>
      <c r="L231" s="12"/>
      <c r="M231" s="12"/>
      <c r="N231" s="16"/>
      <c r="O231" s="16"/>
      <c r="P231" s="12"/>
      <c r="Q231" s="16"/>
      <c r="R231" s="41"/>
      <c r="S231" s="41"/>
      <c r="T231" s="41"/>
      <c r="U231" s="41"/>
      <c r="V231" s="41"/>
      <c r="W231" s="41"/>
      <c r="X231" s="41"/>
      <c r="Y231" s="41"/>
      <c r="Z231" s="41"/>
    </row>
    <row r="232" spans="1:26" ht="15.75" customHeight="1" x14ac:dyDescent="0.2">
      <c r="A232" s="16"/>
      <c r="B232" s="43"/>
      <c r="C232" s="43"/>
      <c r="D232" s="16"/>
      <c r="E232" s="16"/>
      <c r="F232" s="16"/>
      <c r="G232" s="12"/>
      <c r="H232" s="12"/>
      <c r="I232" s="12"/>
      <c r="J232" s="12"/>
      <c r="K232" s="12"/>
      <c r="L232" s="12"/>
      <c r="M232" s="12"/>
      <c r="N232" s="16"/>
      <c r="O232" s="16"/>
      <c r="P232" s="12"/>
      <c r="Q232" s="16"/>
      <c r="R232" s="41"/>
      <c r="S232" s="41"/>
      <c r="T232" s="41"/>
      <c r="U232" s="41"/>
      <c r="V232" s="41"/>
      <c r="W232" s="41"/>
      <c r="X232" s="41"/>
      <c r="Y232" s="41"/>
      <c r="Z232" s="41"/>
    </row>
    <row r="233" spans="1:26" ht="15.75" customHeight="1" x14ac:dyDescent="0.2">
      <c r="A233" s="16"/>
      <c r="B233" s="43"/>
      <c r="C233" s="43"/>
      <c r="D233" s="16"/>
      <c r="E233" s="16"/>
      <c r="F233" s="16"/>
      <c r="G233" s="12"/>
      <c r="H233" s="12"/>
      <c r="I233" s="12"/>
      <c r="J233" s="12"/>
      <c r="K233" s="12"/>
      <c r="L233" s="12"/>
      <c r="M233" s="12"/>
      <c r="N233" s="16"/>
      <c r="O233" s="16"/>
      <c r="P233" s="12"/>
      <c r="Q233" s="16"/>
      <c r="R233" s="41"/>
      <c r="S233" s="41"/>
      <c r="T233" s="41"/>
      <c r="U233" s="41"/>
      <c r="V233" s="41"/>
      <c r="W233" s="41"/>
      <c r="X233" s="41"/>
      <c r="Y233" s="41"/>
      <c r="Z233" s="41"/>
    </row>
    <row r="234" spans="1:26" ht="15.75" customHeight="1" x14ac:dyDescent="0.2">
      <c r="A234" s="16"/>
      <c r="B234" s="43"/>
      <c r="C234" s="43"/>
      <c r="D234" s="16"/>
      <c r="E234" s="16"/>
      <c r="F234" s="16"/>
      <c r="G234" s="12"/>
      <c r="H234" s="12"/>
      <c r="I234" s="12"/>
      <c r="J234" s="12"/>
      <c r="K234" s="12"/>
      <c r="L234" s="12"/>
      <c r="M234" s="12"/>
      <c r="N234" s="16"/>
      <c r="O234" s="16"/>
      <c r="P234" s="12"/>
      <c r="Q234" s="16"/>
      <c r="R234" s="41"/>
      <c r="S234" s="41"/>
      <c r="T234" s="41"/>
      <c r="U234" s="41"/>
      <c r="V234" s="41"/>
      <c r="W234" s="41"/>
      <c r="X234" s="41"/>
      <c r="Y234" s="41"/>
      <c r="Z234" s="41"/>
    </row>
    <row r="235" spans="1:26" ht="15.75" customHeight="1" x14ac:dyDescent="0.2">
      <c r="A235" s="16"/>
      <c r="B235" s="43"/>
      <c r="C235" s="43"/>
      <c r="D235" s="16"/>
      <c r="E235" s="16"/>
      <c r="F235" s="16"/>
      <c r="G235" s="12"/>
      <c r="H235" s="12"/>
      <c r="I235" s="12"/>
      <c r="J235" s="12"/>
      <c r="K235" s="12"/>
      <c r="L235" s="12"/>
      <c r="M235" s="12"/>
      <c r="N235" s="16"/>
      <c r="O235" s="16"/>
      <c r="P235" s="12"/>
      <c r="Q235" s="16"/>
      <c r="R235" s="41"/>
      <c r="S235" s="41"/>
      <c r="T235" s="41"/>
      <c r="U235" s="41"/>
      <c r="V235" s="41"/>
      <c r="W235" s="41"/>
      <c r="X235" s="41"/>
      <c r="Y235" s="41"/>
      <c r="Z235" s="41"/>
    </row>
    <row r="236" spans="1:26" ht="15.75" customHeight="1" x14ac:dyDescent="0.2">
      <c r="A236" s="16"/>
      <c r="B236" s="43"/>
      <c r="C236" s="43"/>
      <c r="D236" s="16"/>
      <c r="E236" s="16"/>
      <c r="F236" s="16"/>
      <c r="G236" s="12"/>
      <c r="H236" s="12"/>
      <c r="I236" s="12"/>
      <c r="J236" s="12"/>
      <c r="K236" s="12"/>
      <c r="L236" s="12"/>
      <c r="M236" s="12"/>
      <c r="N236" s="16"/>
      <c r="O236" s="16"/>
      <c r="P236" s="12"/>
      <c r="Q236" s="16"/>
      <c r="R236" s="41"/>
      <c r="S236" s="41"/>
      <c r="T236" s="41"/>
      <c r="U236" s="41"/>
      <c r="V236" s="41"/>
      <c r="W236" s="41"/>
      <c r="X236" s="41"/>
      <c r="Y236" s="41"/>
      <c r="Z236" s="41"/>
    </row>
    <row r="237" spans="1:26" ht="15.75" customHeight="1" x14ac:dyDescent="0.2">
      <c r="A237" s="16"/>
      <c r="B237" s="43"/>
      <c r="C237" s="43"/>
      <c r="D237" s="16"/>
      <c r="E237" s="16"/>
      <c r="F237" s="16"/>
      <c r="G237" s="12"/>
      <c r="H237" s="12"/>
      <c r="I237" s="12"/>
      <c r="J237" s="12"/>
      <c r="K237" s="12"/>
      <c r="L237" s="12"/>
      <c r="M237" s="12"/>
      <c r="N237" s="16"/>
      <c r="O237" s="16"/>
      <c r="P237" s="12"/>
      <c r="Q237" s="16"/>
      <c r="R237" s="41"/>
      <c r="S237" s="41"/>
      <c r="T237" s="41"/>
      <c r="U237" s="41"/>
      <c r="V237" s="41"/>
      <c r="W237" s="41"/>
      <c r="X237" s="41"/>
      <c r="Y237" s="41"/>
      <c r="Z237" s="41"/>
    </row>
    <row r="238" spans="1:26" ht="15.75" customHeight="1" x14ac:dyDescent="0.2">
      <c r="A238" s="16"/>
      <c r="B238" s="43"/>
      <c r="C238" s="43"/>
      <c r="D238" s="16"/>
      <c r="E238" s="16"/>
      <c r="F238" s="16"/>
      <c r="G238" s="12"/>
      <c r="H238" s="12"/>
      <c r="I238" s="12"/>
      <c r="J238" s="12"/>
      <c r="K238" s="12"/>
      <c r="L238" s="12"/>
      <c r="M238" s="12"/>
      <c r="N238" s="16"/>
      <c r="O238" s="16"/>
      <c r="P238" s="12"/>
      <c r="Q238" s="16"/>
      <c r="R238" s="41"/>
      <c r="S238" s="41"/>
      <c r="T238" s="41"/>
      <c r="U238" s="41"/>
      <c r="V238" s="41"/>
      <c r="W238" s="41"/>
      <c r="X238" s="41"/>
      <c r="Y238" s="41"/>
      <c r="Z238" s="41"/>
    </row>
    <row r="239" spans="1:26" ht="15.75" customHeight="1" x14ac:dyDescent="0.2">
      <c r="A239" s="16"/>
      <c r="B239" s="43"/>
      <c r="C239" s="43"/>
      <c r="D239" s="16"/>
      <c r="E239" s="16"/>
      <c r="F239" s="16"/>
      <c r="G239" s="12"/>
      <c r="H239" s="12"/>
      <c r="I239" s="12"/>
      <c r="J239" s="12"/>
      <c r="K239" s="12"/>
      <c r="L239" s="12"/>
      <c r="M239" s="12"/>
      <c r="N239" s="16"/>
      <c r="O239" s="16"/>
      <c r="P239" s="12"/>
      <c r="Q239" s="16"/>
      <c r="R239" s="41"/>
      <c r="S239" s="41"/>
      <c r="T239" s="41"/>
      <c r="U239" s="41"/>
      <c r="V239" s="41"/>
      <c r="W239" s="41"/>
      <c r="X239" s="41"/>
      <c r="Y239" s="41"/>
      <c r="Z239" s="41"/>
    </row>
    <row r="240" spans="1:26" ht="15.75" customHeight="1" x14ac:dyDescent="0.2">
      <c r="A240" s="16"/>
      <c r="B240" s="43"/>
      <c r="C240" s="43"/>
      <c r="D240" s="16"/>
      <c r="E240" s="16"/>
      <c r="F240" s="16"/>
      <c r="G240" s="12"/>
      <c r="H240" s="12"/>
      <c r="I240" s="12"/>
      <c r="J240" s="12"/>
      <c r="K240" s="12"/>
      <c r="L240" s="12"/>
      <c r="M240" s="12"/>
      <c r="N240" s="16"/>
      <c r="O240" s="16"/>
      <c r="P240" s="12"/>
      <c r="Q240" s="16"/>
      <c r="R240" s="41"/>
      <c r="S240" s="41"/>
      <c r="T240" s="41"/>
      <c r="U240" s="41"/>
      <c r="V240" s="41"/>
      <c r="W240" s="41"/>
      <c r="X240" s="41"/>
      <c r="Y240" s="41"/>
      <c r="Z240" s="41"/>
    </row>
    <row r="241" spans="1:26" ht="15.75" customHeight="1" x14ac:dyDescent="0.2">
      <c r="A241" s="16"/>
      <c r="B241" s="43"/>
      <c r="C241" s="43"/>
      <c r="D241" s="16"/>
      <c r="E241" s="16"/>
      <c r="F241" s="16"/>
      <c r="G241" s="12"/>
      <c r="H241" s="12"/>
      <c r="I241" s="12"/>
      <c r="J241" s="12"/>
      <c r="K241" s="12"/>
      <c r="L241" s="12"/>
      <c r="M241" s="12"/>
      <c r="N241" s="16"/>
      <c r="O241" s="16"/>
      <c r="P241" s="12"/>
      <c r="Q241" s="16"/>
      <c r="R241" s="41"/>
      <c r="S241" s="41"/>
      <c r="T241" s="41"/>
      <c r="U241" s="41"/>
      <c r="V241" s="41"/>
      <c r="W241" s="41"/>
      <c r="X241" s="41"/>
      <c r="Y241" s="41"/>
      <c r="Z241" s="41"/>
    </row>
    <row r="242" spans="1:26" ht="15.75" customHeight="1" x14ac:dyDescent="0.2">
      <c r="A242" s="16"/>
      <c r="B242" s="43"/>
      <c r="C242" s="43"/>
      <c r="D242" s="16"/>
      <c r="E242" s="16"/>
      <c r="F242" s="16"/>
      <c r="G242" s="12"/>
      <c r="H242" s="12"/>
      <c r="I242" s="12"/>
      <c r="J242" s="12"/>
      <c r="K242" s="12"/>
      <c r="L242" s="12"/>
      <c r="M242" s="12"/>
      <c r="N242" s="16"/>
      <c r="O242" s="16"/>
      <c r="P242" s="12"/>
      <c r="Q242" s="16"/>
      <c r="R242" s="41"/>
      <c r="S242" s="41"/>
      <c r="T242" s="41"/>
      <c r="U242" s="41"/>
      <c r="V242" s="41"/>
      <c r="W242" s="41"/>
      <c r="X242" s="41"/>
      <c r="Y242" s="41"/>
      <c r="Z242" s="41"/>
    </row>
    <row r="243" spans="1:26" ht="15.75" customHeight="1" x14ac:dyDescent="0.2">
      <c r="A243" s="16"/>
      <c r="B243" s="43"/>
      <c r="C243" s="43"/>
      <c r="D243" s="16"/>
      <c r="E243" s="16"/>
      <c r="F243" s="16"/>
      <c r="G243" s="12"/>
      <c r="H243" s="12"/>
      <c r="I243" s="12"/>
      <c r="J243" s="12"/>
      <c r="K243" s="12"/>
      <c r="L243" s="12"/>
      <c r="M243" s="12"/>
      <c r="N243" s="16"/>
      <c r="O243" s="16"/>
      <c r="P243" s="12"/>
      <c r="Q243" s="16"/>
      <c r="R243" s="41"/>
      <c r="S243" s="41"/>
      <c r="T243" s="41"/>
      <c r="U243" s="41"/>
      <c r="V243" s="41"/>
      <c r="W243" s="41"/>
      <c r="X243" s="41"/>
      <c r="Y243" s="41"/>
      <c r="Z243" s="41"/>
    </row>
    <row r="244" spans="1:26" ht="15.75" customHeight="1" x14ac:dyDescent="0.2">
      <c r="A244" s="16"/>
      <c r="B244" s="43"/>
      <c r="C244" s="43"/>
      <c r="D244" s="16"/>
      <c r="E244" s="16"/>
      <c r="F244" s="16"/>
      <c r="G244" s="12"/>
      <c r="H244" s="12"/>
      <c r="I244" s="12"/>
      <c r="J244" s="12"/>
      <c r="K244" s="12"/>
      <c r="L244" s="12"/>
      <c r="M244" s="12"/>
      <c r="N244" s="16"/>
      <c r="O244" s="16"/>
      <c r="P244" s="12"/>
      <c r="Q244" s="16"/>
      <c r="R244" s="41"/>
      <c r="S244" s="41"/>
      <c r="T244" s="41"/>
      <c r="U244" s="41"/>
      <c r="V244" s="41"/>
      <c r="W244" s="41"/>
      <c r="X244" s="41"/>
      <c r="Y244" s="41"/>
      <c r="Z244" s="41"/>
    </row>
    <row r="245" spans="1:26" ht="15.75" customHeight="1" x14ac:dyDescent="0.2">
      <c r="A245" s="16"/>
      <c r="B245" s="43"/>
      <c r="C245" s="43"/>
      <c r="D245" s="16"/>
      <c r="E245" s="16"/>
      <c r="F245" s="16"/>
      <c r="G245" s="12"/>
      <c r="H245" s="12"/>
      <c r="I245" s="12"/>
      <c r="J245" s="12"/>
      <c r="K245" s="12"/>
      <c r="L245" s="12"/>
      <c r="M245" s="12"/>
      <c r="N245" s="16"/>
      <c r="O245" s="16"/>
      <c r="P245" s="12"/>
      <c r="Q245" s="16"/>
      <c r="R245" s="41"/>
      <c r="S245" s="41"/>
      <c r="T245" s="41"/>
      <c r="U245" s="41"/>
      <c r="V245" s="41"/>
      <c r="W245" s="41"/>
      <c r="X245" s="41"/>
      <c r="Y245" s="41"/>
      <c r="Z245" s="41"/>
    </row>
    <row r="246" spans="1:26" ht="15.75" customHeight="1" x14ac:dyDescent="0.2">
      <c r="A246" s="16"/>
      <c r="B246" s="43"/>
      <c r="C246" s="43"/>
      <c r="D246" s="16"/>
      <c r="E246" s="16"/>
      <c r="F246" s="16"/>
      <c r="G246" s="12"/>
      <c r="H246" s="12"/>
      <c r="I246" s="12"/>
      <c r="J246" s="12"/>
      <c r="K246" s="12"/>
      <c r="L246" s="12"/>
      <c r="M246" s="12"/>
      <c r="N246" s="16"/>
      <c r="O246" s="16"/>
      <c r="P246" s="12"/>
      <c r="Q246" s="16"/>
      <c r="R246" s="41"/>
      <c r="S246" s="41"/>
      <c r="T246" s="41"/>
      <c r="U246" s="41"/>
      <c r="V246" s="41"/>
      <c r="W246" s="41"/>
      <c r="X246" s="41"/>
      <c r="Y246" s="41"/>
      <c r="Z246" s="41"/>
    </row>
    <row r="247" spans="1:26" ht="15.75" customHeight="1" x14ac:dyDescent="0.2">
      <c r="A247" s="16"/>
      <c r="B247" s="43"/>
      <c r="C247" s="43"/>
      <c r="D247" s="16"/>
      <c r="E247" s="16"/>
      <c r="F247" s="16"/>
      <c r="G247" s="12"/>
      <c r="H247" s="12"/>
      <c r="I247" s="12"/>
      <c r="J247" s="12"/>
      <c r="K247" s="12"/>
      <c r="L247" s="12"/>
      <c r="M247" s="12"/>
      <c r="N247" s="16"/>
      <c r="O247" s="16"/>
      <c r="P247" s="12"/>
      <c r="Q247" s="16"/>
      <c r="R247" s="41"/>
      <c r="S247" s="41"/>
      <c r="T247" s="41"/>
      <c r="U247" s="41"/>
      <c r="V247" s="41"/>
      <c r="W247" s="41"/>
      <c r="X247" s="41"/>
      <c r="Y247" s="41"/>
      <c r="Z247" s="41"/>
    </row>
    <row r="248" spans="1:26" ht="15.75" customHeight="1" x14ac:dyDescent="0.2">
      <c r="A248" s="16"/>
      <c r="B248" s="43"/>
      <c r="C248" s="43"/>
      <c r="D248" s="16"/>
      <c r="E248" s="16"/>
      <c r="F248" s="16"/>
      <c r="G248" s="12"/>
      <c r="H248" s="12"/>
      <c r="I248" s="12"/>
      <c r="J248" s="12"/>
      <c r="K248" s="12"/>
      <c r="L248" s="12"/>
      <c r="M248" s="12"/>
      <c r="N248" s="16"/>
      <c r="O248" s="16"/>
      <c r="P248" s="12"/>
      <c r="Q248" s="16"/>
      <c r="R248" s="41"/>
      <c r="S248" s="41"/>
      <c r="T248" s="41"/>
      <c r="U248" s="41"/>
      <c r="V248" s="41"/>
      <c r="W248" s="41"/>
      <c r="X248" s="41"/>
      <c r="Y248" s="41"/>
      <c r="Z248" s="41"/>
    </row>
    <row r="249" spans="1:26" ht="15.75" customHeight="1" x14ac:dyDescent="0.2">
      <c r="A249" s="16"/>
      <c r="B249" s="43"/>
      <c r="C249" s="43"/>
      <c r="D249" s="16"/>
      <c r="E249" s="16"/>
      <c r="F249" s="16"/>
      <c r="G249" s="12"/>
      <c r="H249" s="12"/>
      <c r="I249" s="12"/>
      <c r="J249" s="12"/>
      <c r="K249" s="12"/>
      <c r="L249" s="12"/>
      <c r="M249" s="12"/>
      <c r="N249" s="16"/>
      <c r="O249" s="16"/>
      <c r="P249" s="12"/>
      <c r="Q249" s="16"/>
      <c r="R249" s="41"/>
      <c r="S249" s="41"/>
      <c r="T249" s="41"/>
      <c r="U249" s="41"/>
      <c r="V249" s="41"/>
      <c r="W249" s="41"/>
      <c r="X249" s="41"/>
      <c r="Y249" s="41"/>
      <c r="Z249" s="41"/>
    </row>
    <row r="250" spans="1:26" ht="15.75" customHeight="1" x14ac:dyDescent="0.2">
      <c r="A250" s="16"/>
      <c r="B250" s="43"/>
      <c r="C250" s="43"/>
      <c r="D250" s="16"/>
      <c r="E250" s="16"/>
      <c r="F250" s="16"/>
      <c r="G250" s="12"/>
      <c r="H250" s="12"/>
      <c r="I250" s="12"/>
      <c r="J250" s="12"/>
      <c r="K250" s="12"/>
      <c r="L250" s="12"/>
      <c r="M250" s="12"/>
      <c r="N250" s="16"/>
      <c r="O250" s="16"/>
      <c r="P250" s="12"/>
      <c r="Q250" s="16"/>
      <c r="R250" s="41"/>
      <c r="S250" s="41"/>
      <c r="T250" s="41"/>
      <c r="U250" s="41"/>
      <c r="V250" s="41"/>
      <c r="W250" s="41"/>
      <c r="X250" s="41"/>
      <c r="Y250" s="41"/>
      <c r="Z250" s="41"/>
    </row>
    <row r="251" spans="1:26" ht="15.75" customHeight="1" x14ac:dyDescent="0.2">
      <c r="A251" s="16"/>
      <c r="B251" s="43"/>
      <c r="C251" s="43"/>
      <c r="D251" s="16"/>
      <c r="E251" s="16"/>
      <c r="F251" s="16"/>
      <c r="G251" s="12"/>
      <c r="H251" s="12"/>
      <c r="I251" s="12"/>
      <c r="J251" s="12"/>
      <c r="K251" s="12"/>
      <c r="L251" s="12"/>
      <c r="M251" s="12"/>
      <c r="N251" s="16"/>
      <c r="O251" s="16"/>
      <c r="P251" s="12"/>
      <c r="Q251" s="16"/>
      <c r="R251" s="41"/>
      <c r="S251" s="41"/>
      <c r="T251" s="41"/>
      <c r="U251" s="41"/>
      <c r="V251" s="41"/>
      <c r="W251" s="41"/>
      <c r="X251" s="41"/>
      <c r="Y251" s="41"/>
      <c r="Z251" s="41"/>
    </row>
    <row r="252" spans="1:26" ht="15.75" customHeight="1" x14ac:dyDescent="0.2">
      <c r="A252" s="16"/>
      <c r="B252" s="43"/>
      <c r="C252" s="43"/>
      <c r="D252" s="16"/>
      <c r="E252" s="16"/>
      <c r="F252" s="16"/>
      <c r="G252" s="12"/>
      <c r="H252" s="12"/>
      <c r="I252" s="12"/>
      <c r="J252" s="12"/>
      <c r="K252" s="12"/>
      <c r="L252" s="12"/>
      <c r="M252" s="12"/>
      <c r="N252" s="16"/>
      <c r="O252" s="16"/>
      <c r="P252" s="12"/>
      <c r="Q252" s="16"/>
      <c r="R252" s="41"/>
      <c r="S252" s="41"/>
      <c r="T252" s="41"/>
      <c r="U252" s="41"/>
      <c r="V252" s="41"/>
      <c r="W252" s="41"/>
      <c r="X252" s="41"/>
      <c r="Y252" s="41"/>
      <c r="Z252" s="41"/>
    </row>
    <row r="253" spans="1:26" ht="15.75" customHeight="1" x14ac:dyDescent="0.2">
      <c r="A253" s="16"/>
      <c r="B253" s="43"/>
      <c r="C253" s="43"/>
      <c r="D253" s="16"/>
      <c r="E253" s="16"/>
      <c r="F253" s="16"/>
      <c r="G253" s="12"/>
      <c r="H253" s="12"/>
      <c r="I253" s="12"/>
      <c r="J253" s="12"/>
      <c r="K253" s="12"/>
      <c r="L253" s="12"/>
      <c r="M253" s="12"/>
      <c r="N253" s="16"/>
      <c r="O253" s="16"/>
      <c r="P253" s="12"/>
      <c r="Q253" s="16"/>
      <c r="R253" s="41"/>
      <c r="S253" s="41"/>
      <c r="T253" s="41"/>
      <c r="U253" s="41"/>
      <c r="V253" s="41"/>
      <c r="W253" s="41"/>
      <c r="X253" s="41"/>
      <c r="Y253" s="41"/>
      <c r="Z253" s="41"/>
    </row>
    <row r="254" spans="1:26" ht="15.75" customHeight="1" x14ac:dyDescent="0.2">
      <c r="A254" s="16"/>
      <c r="B254" s="43"/>
      <c r="C254" s="43"/>
      <c r="D254" s="16"/>
      <c r="E254" s="16"/>
      <c r="F254" s="16"/>
      <c r="G254" s="12"/>
      <c r="H254" s="12"/>
      <c r="I254" s="12"/>
      <c r="J254" s="12"/>
      <c r="K254" s="12"/>
      <c r="L254" s="12"/>
      <c r="M254" s="12"/>
      <c r="N254" s="16"/>
      <c r="O254" s="16"/>
      <c r="P254" s="12"/>
      <c r="Q254" s="16"/>
      <c r="R254" s="41"/>
      <c r="S254" s="41"/>
      <c r="T254" s="41"/>
      <c r="U254" s="41"/>
      <c r="V254" s="41"/>
      <c r="W254" s="41"/>
      <c r="X254" s="41"/>
      <c r="Y254" s="41"/>
      <c r="Z254" s="41"/>
    </row>
    <row r="255" spans="1:26" ht="15.75" customHeight="1" x14ac:dyDescent="0.2">
      <c r="A255" s="16"/>
      <c r="B255" s="43"/>
      <c r="C255" s="43"/>
      <c r="D255" s="16"/>
      <c r="E255" s="16"/>
      <c r="F255" s="16"/>
      <c r="G255" s="12"/>
      <c r="H255" s="12"/>
      <c r="I255" s="12"/>
      <c r="J255" s="12"/>
      <c r="K255" s="12"/>
      <c r="L255" s="12"/>
      <c r="M255" s="12"/>
      <c r="N255" s="16"/>
      <c r="O255" s="16"/>
      <c r="P255" s="12"/>
      <c r="Q255" s="16"/>
      <c r="R255" s="41"/>
      <c r="S255" s="41"/>
      <c r="T255" s="41"/>
      <c r="U255" s="41"/>
      <c r="V255" s="41"/>
      <c r="W255" s="41"/>
      <c r="X255" s="41"/>
      <c r="Y255" s="41"/>
      <c r="Z255" s="41"/>
    </row>
    <row r="256" spans="1:26" ht="15.75" customHeight="1" x14ac:dyDescent="0.2">
      <c r="A256" s="16"/>
      <c r="B256" s="43"/>
      <c r="C256" s="43"/>
      <c r="D256" s="16"/>
      <c r="E256" s="16"/>
      <c r="F256" s="16"/>
      <c r="G256" s="12"/>
      <c r="H256" s="12"/>
      <c r="I256" s="12"/>
      <c r="J256" s="12"/>
      <c r="K256" s="12"/>
      <c r="L256" s="12"/>
      <c r="M256" s="12"/>
      <c r="N256" s="16"/>
      <c r="O256" s="16"/>
      <c r="P256" s="12"/>
      <c r="Q256" s="16"/>
      <c r="R256" s="41"/>
      <c r="S256" s="41"/>
      <c r="T256" s="41"/>
      <c r="U256" s="41"/>
      <c r="V256" s="41"/>
      <c r="W256" s="41"/>
      <c r="X256" s="41"/>
      <c r="Y256" s="41"/>
      <c r="Z256" s="41"/>
    </row>
    <row r="257" spans="1:26" ht="15.75" customHeight="1" x14ac:dyDescent="0.2">
      <c r="A257" s="16"/>
      <c r="B257" s="43"/>
      <c r="C257" s="43"/>
      <c r="D257" s="16"/>
      <c r="E257" s="16"/>
      <c r="F257" s="16"/>
      <c r="G257" s="12"/>
      <c r="H257" s="12"/>
      <c r="I257" s="12"/>
      <c r="J257" s="12"/>
      <c r="K257" s="12"/>
      <c r="L257" s="12"/>
      <c r="M257" s="12"/>
      <c r="N257" s="16"/>
      <c r="O257" s="16"/>
      <c r="P257" s="12"/>
      <c r="Q257" s="16"/>
      <c r="R257" s="41"/>
      <c r="S257" s="41"/>
      <c r="T257" s="41"/>
      <c r="U257" s="41"/>
      <c r="V257" s="41"/>
      <c r="W257" s="41"/>
      <c r="X257" s="41"/>
      <c r="Y257" s="41"/>
      <c r="Z257" s="41"/>
    </row>
    <row r="258" spans="1:26" ht="15.75" customHeight="1" x14ac:dyDescent="0.2">
      <c r="A258" s="16"/>
      <c r="B258" s="43"/>
      <c r="C258" s="43"/>
      <c r="D258" s="16"/>
      <c r="E258" s="16"/>
      <c r="F258" s="16"/>
      <c r="G258" s="12"/>
      <c r="H258" s="12"/>
      <c r="I258" s="12"/>
      <c r="J258" s="12"/>
      <c r="K258" s="12"/>
      <c r="L258" s="12"/>
      <c r="M258" s="12"/>
      <c r="N258" s="16"/>
      <c r="O258" s="16"/>
      <c r="P258" s="12"/>
      <c r="Q258" s="16"/>
      <c r="R258" s="41"/>
      <c r="S258" s="41"/>
      <c r="T258" s="41"/>
      <c r="U258" s="41"/>
      <c r="V258" s="41"/>
      <c r="W258" s="41"/>
      <c r="X258" s="41"/>
      <c r="Y258" s="41"/>
      <c r="Z258" s="41"/>
    </row>
    <row r="259" spans="1:26" ht="15.75" customHeight="1" x14ac:dyDescent="0.2">
      <c r="A259" s="16"/>
      <c r="B259" s="43"/>
      <c r="C259" s="43"/>
      <c r="D259" s="16"/>
      <c r="E259" s="16"/>
      <c r="F259" s="16"/>
      <c r="G259" s="12"/>
      <c r="H259" s="12"/>
      <c r="I259" s="12"/>
      <c r="J259" s="12"/>
      <c r="K259" s="12"/>
      <c r="L259" s="12"/>
      <c r="M259" s="12"/>
      <c r="N259" s="16"/>
      <c r="O259" s="16"/>
      <c r="P259" s="12"/>
      <c r="Q259" s="16"/>
      <c r="R259" s="41"/>
      <c r="S259" s="41"/>
      <c r="T259" s="41"/>
      <c r="U259" s="41"/>
      <c r="V259" s="41"/>
      <c r="W259" s="41"/>
      <c r="X259" s="41"/>
      <c r="Y259" s="41"/>
      <c r="Z259" s="41"/>
    </row>
    <row r="260" spans="1:26" ht="15.75" customHeight="1" x14ac:dyDescent="0.2">
      <c r="A260" s="16"/>
      <c r="B260" s="43"/>
      <c r="C260" s="43"/>
      <c r="D260" s="16"/>
      <c r="E260" s="16"/>
      <c r="F260" s="16"/>
      <c r="G260" s="12"/>
      <c r="H260" s="12"/>
      <c r="I260" s="12"/>
      <c r="J260" s="12"/>
      <c r="K260" s="12"/>
      <c r="L260" s="12"/>
      <c r="M260" s="12"/>
      <c r="N260" s="16"/>
      <c r="O260" s="16"/>
      <c r="P260" s="12"/>
      <c r="Q260" s="16"/>
      <c r="R260" s="41"/>
      <c r="S260" s="41"/>
      <c r="T260" s="41"/>
      <c r="U260" s="41"/>
      <c r="V260" s="41"/>
      <c r="W260" s="41"/>
      <c r="X260" s="41"/>
      <c r="Y260" s="41"/>
      <c r="Z260" s="41"/>
    </row>
    <row r="261" spans="1:26" ht="15.75" customHeight="1" x14ac:dyDescent="0.2">
      <c r="A261" s="16"/>
      <c r="B261" s="43"/>
      <c r="C261" s="43"/>
      <c r="D261" s="16"/>
      <c r="E261" s="16"/>
      <c r="F261" s="16"/>
      <c r="G261" s="12"/>
      <c r="H261" s="12"/>
      <c r="I261" s="12"/>
      <c r="J261" s="12"/>
      <c r="K261" s="12"/>
      <c r="L261" s="12"/>
      <c r="M261" s="12"/>
      <c r="N261" s="16"/>
      <c r="O261" s="16"/>
      <c r="P261" s="12"/>
      <c r="Q261" s="16"/>
      <c r="R261" s="41"/>
      <c r="S261" s="41"/>
      <c r="T261" s="41"/>
      <c r="U261" s="41"/>
      <c r="V261" s="41"/>
      <c r="W261" s="41"/>
      <c r="X261" s="41"/>
      <c r="Y261" s="41"/>
      <c r="Z261" s="41"/>
    </row>
    <row r="262" spans="1:26" ht="15.75" customHeight="1" x14ac:dyDescent="0.2">
      <c r="A262" s="16"/>
      <c r="B262" s="43"/>
      <c r="C262" s="43"/>
      <c r="D262" s="16"/>
      <c r="E262" s="16"/>
      <c r="F262" s="16"/>
      <c r="G262" s="12"/>
      <c r="H262" s="12"/>
      <c r="I262" s="12"/>
      <c r="J262" s="12"/>
      <c r="K262" s="12"/>
      <c r="L262" s="12"/>
      <c r="M262" s="12"/>
      <c r="N262" s="16"/>
      <c r="O262" s="16"/>
      <c r="P262" s="12"/>
      <c r="Q262" s="16"/>
      <c r="R262" s="41"/>
      <c r="S262" s="41"/>
      <c r="T262" s="41"/>
      <c r="U262" s="41"/>
      <c r="V262" s="41"/>
      <c r="W262" s="41"/>
      <c r="X262" s="41"/>
      <c r="Y262" s="41"/>
      <c r="Z262" s="41"/>
    </row>
    <row r="263" spans="1:26" ht="15.75" customHeight="1" x14ac:dyDescent="0.2">
      <c r="A263" s="16"/>
      <c r="B263" s="43"/>
      <c r="C263" s="43"/>
      <c r="D263" s="16"/>
      <c r="E263" s="16"/>
      <c r="F263" s="16"/>
      <c r="G263" s="12"/>
      <c r="H263" s="12"/>
      <c r="I263" s="12"/>
      <c r="J263" s="12"/>
      <c r="K263" s="12"/>
      <c r="L263" s="12"/>
      <c r="M263" s="12"/>
      <c r="N263" s="16"/>
      <c r="O263" s="16"/>
      <c r="P263" s="12"/>
      <c r="Q263" s="16"/>
      <c r="R263" s="41"/>
      <c r="S263" s="41"/>
      <c r="T263" s="41"/>
      <c r="U263" s="41"/>
      <c r="V263" s="41"/>
      <c r="W263" s="41"/>
      <c r="X263" s="41"/>
      <c r="Y263" s="41"/>
      <c r="Z263" s="41"/>
    </row>
    <row r="264" spans="1:26" ht="15.75" customHeight="1"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2">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2">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2">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2">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2">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2">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2">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2">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2">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2">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2">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2">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2">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2">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2">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2">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2">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2">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2">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2">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2">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2">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2">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2">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2">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hyperlinks>
    <hyperlink ref="A2" r:id="rId1" xr:uid="{00000000-0004-0000-0900-000000000000}"/>
    <hyperlink ref="Q4" r:id="rId2" xr:uid="{00000000-0004-0000-0900-000001000000}"/>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1000"/>
  <sheetViews>
    <sheetView workbookViewId="0"/>
  </sheetViews>
  <sheetFormatPr baseColWidth="10" defaultColWidth="14.5" defaultRowHeight="15" customHeight="1" x14ac:dyDescent="0.15"/>
  <cols>
    <col min="1" max="6" width="14.5" customWidth="1"/>
  </cols>
  <sheetData>
    <row r="1" ht="15.75" customHeight="1" x14ac:dyDescent="0.15"/>
    <row r="2" ht="15.75" customHeight="1" x14ac:dyDescent="0.15"/>
    <row r="3" ht="15.75" customHeight="1" x14ac:dyDescent="0.15"/>
    <row r="4" ht="15.75" customHeight="1" x14ac:dyDescent="0.15"/>
    <row r="5" ht="15.75" customHeight="1" x14ac:dyDescent="0.15"/>
    <row r="6" ht="15.75" customHeight="1" x14ac:dyDescent="0.15"/>
    <row r="7" ht="15.75" customHeight="1" x14ac:dyDescent="0.15"/>
    <row r="8" ht="15.75" customHeight="1" x14ac:dyDescent="0.15"/>
    <row r="9" ht="15.75" customHeight="1" x14ac:dyDescent="0.15"/>
    <row r="10" ht="15.75" customHeight="1" x14ac:dyDescent="0.15"/>
    <row r="11" ht="15.75" customHeight="1" x14ac:dyDescent="0.15"/>
    <row r="12" ht="15.75" customHeight="1" x14ac:dyDescent="0.15"/>
    <row r="13" ht="15.75" customHeight="1" x14ac:dyDescent="0.15"/>
    <row r="14" ht="15.75" customHeight="1" x14ac:dyDescent="0.15"/>
    <row r="15" ht="15.75" customHeight="1" x14ac:dyDescent="0.15"/>
    <row r="16"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N1000"/>
  <sheetViews>
    <sheetView workbookViewId="0"/>
  </sheetViews>
  <sheetFormatPr baseColWidth="10" defaultColWidth="14.5" defaultRowHeight="15" customHeight="1" x14ac:dyDescent="0.15"/>
  <cols>
    <col min="1" max="1" width="16.6640625" customWidth="1"/>
    <col min="2" max="3" width="16.1640625" customWidth="1"/>
    <col min="4" max="4" width="13.5" customWidth="1"/>
    <col min="5" max="6" width="14.5" customWidth="1"/>
    <col min="7" max="7" width="9.1640625" customWidth="1"/>
    <col min="8" max="8" width="35.5" customWidth="1"/>
    <col min="9" max="9" width="17.1640625" customWidth="1"/>
    <col min="10" max="10" width="6.5" customWidth="1"/>
    <col min="11" max="11" width="35.5" customWidth="1"/>
    <col min="12" max="12" width="12.1640625" customWidth="1"/>
    <col min="13" max="13" width="6.5" customWidth="1"/>
    <col min="14" max="14" width="49.33203125" customWidth="1"/>
  </cols>
  <sheetData>
    <row r="1" spans="1:14" ht="30" customHeight="1" x14ac:dyDescent="0.15">
      <c r="A1" s="38" t="s">
        <v>492</v>
      </c>
      <c r="B1" s="39"/>
      <c r="C1" s="39"/>
      <c r="D1" s="3"/>
      <c r="E1" s="3"/>
      <c r="F1" s="3"/>
      <c r="G1" s="40"/>
      <c r="H1" s="38" t="s">
        <v>493</v>
      </c>
      <c r="I1" s="40"/>
      <c r="J1" s="40"/>
      <c r="K1" s="40"/>
      <c r="L1" s="40"/>
      <c r="M1" s="40"/>
      <c r="N1" s="2"/>
    </row>
    <row r="2" spans="1:14" ht="30" customHeight="1" x14ac:dyDescent="0.15">
      <c r="A2" s="129" t="s">
        <v>494</v>
      </c>
      <c r="B2" s="43"/>
      <c r="C2" s="43"/>
      <c r="D2" s="16"/>
      <c r="E2" s="16"/>
      <c r="F2" s="16"/>
      <c r="G2" s="12"/>
      <c r="H2" s="44" t="s">
        <v>73</v>
      </c>
      <c r="I2" s="45"/>
      <c r="J2" s="12"/>
      <c r="K2" s="44" t="s">
        <v>74</v>
      </c>
      <c r="L2" s="45"/>
      <c r="M2" s="12"/>
      <c r="N2" s="44" t="s">
        <v>76</v>
      </c>
    </row>
    <row r="3" spans="1:14" ht="30" customHeight="1" x14ac:dyDescent="0.15">
      <c r="A3" s="7" t="s">
        <v>18</v>
      </c>
      <c r="B3" s="7" t="s">
        <v>77</v>
      </c>
      <c r="C3" s="7" t="s">
        <v>78</v>
      </c>
      <c r="D3" s="47" t="s">
        <v>79</v>
      </c>
      <c r="E3" s="47" t="s">
        <v>80</v>
      </c>
      <c r="F3" s="48" t="s">
        <v>81</v>
      </c>
      <c r="G3" s="12"/>
      <c r="H3" s="49" t="s">
        <v>82</v>
      </c>
      <c r="I3" s="50" t="s">
        <v>495</v>
      </c>
      <c r="J3" s="12"/>
      <c r="K3" s="49" t="s">
        <v>110</v>
      </c>
      <c r="L3" s="50" t="s">
        <v>496</v>
      </c>
      <c r="M3" s="12"/>
      <c r="N3" s="15"/>
    </row>
    <row r="4" spans="1:14" ht="30" customHeight="1" x14ac:dyDescent="0.15">
      <c r="A4" s="16">
        <v>0</v>
      </c>
      <c r="B4" s="43" t="s">
        <v>497</v>
      </c>
      <c r="C4" s="43" t="s">
        <v>498</v>
      </c>
      <c r="D4" s="15">
        <f>100*I6</f>
        <v>0.49900000000000005</v>
      </c>
      <c r="E4" s="15">
        <f>4*L6</f>
        <v>1.5353846153846153</v>
      </c>
      <c r="F4" s="15">
        <f t="shared" ref="F4:F40" si="0">IFERROR(D4+E4,"error")</f>
        <v>2.0343846153846155</v>
      </c>
      <c r="G4" s="12"/>
      <c r="H4" s="52" t="s">
        <v>91</v>
      </c>
      <c r="I4" s="53">
        <v>1000</v>
      </c>
      <c r="J4" s="12"/>
      <c r="K4" s="52" t="s">
        <v>117</v>
      </c>
      <c r="L4" s="53">
        <v>13</v>
      </c>
      <c r="M4" s="12"/>
      <c r="N4" s="15"/>
    </row>
    <row r="5" spans="1:14" ht="30" customHeight="1" x14ac:dyDescent="0.15">
      <c r="A5" s="16">
        <v>1</v>
      </c>
      <c r="B5" s="43" t="s">
        <v>497</v>
      </c>
      <c r="C5" s="43" t="s">
        <v>499</v>
      </c>
      <c r="D5" s="15">
        <f>100*I6</f>
        <v>0.49900000000000005</v>
      </c>
      <c r="E5" s="15">
        <f>300*I6</f>
        <v>1.4970000000000001</v>
      </c>
      <c r="F5" s="15">
        <f t="shared" si="0"/>
        <v>1.9960000000000002</v>
      </c>
      <c r="G5" s="12"/>
      <c r="H5" s="52" t="s">
        <v>500</v>
      </c>
      <c r="I5" s="54">
        <v>4.99</v>
      </c>
      <c r="J5" s="12"/>
      <c r="K5" s="52" t="s">
        <v>121</v>
      </c>
      <c r="L5" s="54">
        <v>4.99</v>
      </c>
      <c r="M5" s="12"/>
      <c r="N5" s="15"/>
    </row>
    <row r="6" spans="1:14" ht="30" customHeight="1" x14ac:dyDescent="0.15">
      <c r="A6" s="16">
        <v>2</v>
      </c>
      <c r="B6" s="43" t="s">
        <v>501</v>
      </c>
      <c r="C6" s="43" t="s">
        <v>498</v>
      </c>
      <c r="D6" s="15">
        <f>L6</f>
        <v>0.38384615384615384</v>
      </c>
      <c r="E6" s="15">
        <f>4*L6</f>
        <v>1.5353846153846153</v>
      </c>
      <c r="F6" s="15">
        <f t="shared" si="0"/>
        <v>1.9192307692307691</v>
      </c>
      <c r="G6" s="12"/>
      <c r="H6" s="58" t="s">
        <v>104</v>
      </c>
      <c r="I6" s="60">
        <f>I5/I4</f>
        <v>4.9900000000000005E-3</v>
      </c>
      <c r="J6" s="12"/>
      <c r="K6" s="58" t="s">
        <v>104</v>
      </c>
      <c r="L6" s="60">
        <f>IF(L4="N/A","N/A",L5/L4)</f>
        <v>0.38384615384615384</v>
      </c>
      <c r="M6" s="12"/>
      <c r="N6" s="34"/>
    </row>
    <row r="7" spans="1:14" ht="30" customHeight="1" x14ac:dyDescent="0.15">
      <c r="A7" s="16">
        <v>3</v>
      </c>
      <c r="B7" s="43" t="s">
        <v>497</v>
      </c>
      <c r="C7" s="43" t="s">
        <v>499</v>
      </c>
      <c r="D7" s="15">
        <f>100*I6</f>
        <v>0.49900000000000005</v>
      </c>
      <c r="E7" s="15">
        <f>300*I6</f>
        <v>1.4970000000000001</v>
      </c>
      <c r="F7" s="15">
        <f t="shared" si="0"/>
        <v>1.9960000000000002</v>
      </c>
      <c r="G7" s="12"/>
      <c r="H7" s="61"/>
      <c r="I7" s="62"/>
      <c r="J7" s="12"/>
      <c r="K7" s="12"/>
      <c r="L7" s="12"/>
      <c r="M7" s="12"/>
      <c r="N7" s="15"/>
    </row>
    <row r="8" spans="1:14" ht="30" customHeight="1" x14ac:dyDescent="0.15">
      <c r="A8" s="16">
        <v>4</v>
      </c>
      <c r="B8" s="43" t="s">
        <v>501</v>
      </c>
      <c r="C8" s="43" t="s">
        <v>502</v>
      </c>
      <c r="D8" s="15">
        <f>L6</f>
        <v>0.38384615384615384</v>
      </c>
      <c r="E8" s="15">
        <f>4*L6</f>
        <v>1.5353846153846153</v>
      </c>
      <c r="F8" s="15">
        <f t="shared" si="0"/>
        <v>1.9192307692307691</v>
      </c>
      <c r="G8" s="12"/>
      <c r="H8" s="49" t="s">
        <v>236</v>
      </c>
      <c r="I8" s="50" t="s">
        <v>111</v>
      </c>
      <c r="J8" s="12"/>
      <c r="K8" s="12"/>
      <c r="L8" s="12"/>
      <c r="M8" s="12"/>
      <c r="N8" s="63"/>
    </row>
    <row r="9" spans="1:14" ht="30" customHeight="1" x14ac:dyDescent="0.15">
      <c r="A9" s="16">
        <v>5</v>
      </c>
      <c r="B9" s="43" t="s">
        <v>503</v>
      </c>
      <c r="C9" s="43" t="s">
        <v>503</v>
      </c>
      <c r="D9" s="15">
        <v>0</v>
      </c>
      <c r="E9" s="15">
        <v>0</v>
      </c>
      <c r="F9" s="15">
        <f t="shared" si="0"/>
        <v>0</v>
      </c>
      <c r="G9" s="12"/>
      <c r="H9" s="52" t="s">
        <v>117</v>
      </c>
      <c r="I9" s="53" t="s">
        <v>111</v>
      </c>
      <c r="J9" s="12"/>
      <c r="K9" s="12"/>
      <c r="L9" s="12"/>
      <c r="M9" s="12"/>
      <c r="N9" s="15"/>
    </row>
    <row r="10" spans="1:14" ht="30" customHeight="1" x14ac:dyDescent="0.15">
      <c r="A10" s="16">
        <v>6</v>
      </c>
      <c r="B10" s="43" t="s">
        <v>497</v>
      </c>
      <c r="C10" s="43" t="s">
        <v>499</v>
      </c>
      <c r="D10" s="15">
        <f>100*I6</f>
        <v>0.49900000000000005</v>
      </c>
      <c r="E10" s="15">
        <f>300*I6</f>
        <v>1.4970000000000001</v>
      </c>
      <c r="F10" s="15">
        <f t="shared" si="0"/>
        <v>1.9960000000000002</v>
      </c>
      <c r="G10" s="12"/>
      <c r="H10" s="52" t="s">
        <v>139</v>
      </c>
      <c r="I10" s="54" t="s">
        <v>111</v>
      </c>
      <c r="J10" s="12"/>
      <c r="K10" s="12"/>
      <c r="L10" s="12"/>
      <c r="M10" s="12"/>
      <c r="N10" s="15"/>
    </row>
    <row r="11" spans="1:14" ht="30" customHeight="1" x14ac:dyDescent="0.15">
      <c r="A11" s="16">
        <v>7</v>
      </c>
      <c r="B11" s="43" t="s">
        <v>501</v>
      </c>
      <c r="C11" s="43" t="s">
        <v>503</v>
      </c>
      <c r="D11" s="15">
        <f>L6</f>
        <v>0.38384615384615384</v>
      </c>
      <c r="E11" s="15">
        <v>0</v>
      </c>
      <c r="F11" s="15">
        <f t="shared" si="0"/>
        <v>0.38384615384615384</v>
      </c>
      <c r="G11" s="12"/>
      <c r="H11" s="58" t="s">
        <v>104</v>
      </c>
      <c r="I11" s="60" t="str">
        <f>IF(I9="N/A","N/A",I10/I9)</f>
        <v>N/A</v>
      </c>
      <c r="J11" s="12"/>
      <c r="K11" s="12"/>
      <c r="L11" s="12"/>
      <c r="M11" s="12"/>
      <c r="N11" s="15"/>
    </row>
    <row r="12" spans="1:14" ht="30" customHeight="1" x14ac:dyDescent="0.15">
      <c r="A12" s="16">
        <v>8</v>
      </c>
      <c r="B12" s="43" t="s">
        <v>501</v>
      </c>
      <c r="C12" s="43" t="s">
        <v>498</v>
      </c>
      <c r="D12" s="15">
        <f>L6</f>
        <v>0.38384615384615384</v>
      </c>
      <c r="E12" s="15">
        <f>4*L6</f>
        <v>1.5353846153846153</v>
      </c>
      <c r="F12" s="15">
        <f t="shared" si="0"/>
        <v>1.9192307692307691</v>
      </c>
      <c r="G12" s="12"/>
      <c r="H12" s="61"/>
      <c r="I12" s="62"/>
      <c r="J12" s="12"/>
      <c r="K12" s="12"/>
      <c r="L12" s="12"/>
      <c r="M12" s="12"/>
      <c r="N12" s="15"/>
    </row>
    <row r="13" spans="1:14" ht="30" customHeight="1" x14ac:dyDescent="0.15">
      <c r="A13" s="16">
        <v>9</v>
      </c>
      <c r="B13" s="43" t="s">
        <v>497</v>
      </c>
      <c r="C13" s="43" t="s">
        <v>499</v>
      </c>
      <c r="D13" s="15">
        <f>100*I6</f>
        <v>0.49900000000000005</v>
      </c>
      <c r="E13" s="15">
        <f>300*I6</f>
        <v>1.4970000000000001</v>
      </c>
      <c r="F13" s="15">
        <f t="shared" si="0"/>
        <v>1.9960000000000002</v>
      </c>
      <c r="G13" s="12"/>
      <c r="J13" s="12"/>
      <c r="K13" s="12"/>
      <c r="L13" s="12"/>
      <c r="M13" s="12"/>
      <c r="N13" s="34"/>
    </row>
    <row r="14" spans="1:14" ht="30" customHeight="1" x14ac:dyDescent="0.15">
      <c r="A14" s="16">
        <v>10</v>
      </c>
      <c r="B14" s="43" t="s">
        <v>503</v>
      </c>
      <c r="C14" s="43" t="s">
        <v>503</v>
      </c>
      <c r="D14" s="15">
        <v>0</v>
      </c>
      <c r="E14" s="15">
        <v>0</v>
      </c>
      <c r="F14" s="15">
        <f t="shared" si="0"/>
        <v>0</v>
      </c>
      <c r="G14" s="12"/>
      <c r="J14" s="12"/>
      <c r="K14" s="12"/>
      <c r="L14" s="12"/>
      <c r="M14" s="12"/>
      <c r="N14" s="66"/>
    </row>
    <row r="15" spans="1:14" ht="30" customHeight="1" x14ac:dyDescent="0.15">
      <c r="A15" s="16">
        <v>11</v>
      </c>
      <c r="B15" s="43" t="s">
        <v>501</v>
      </c>
      <c r="C15" s="43" t="s">
        <v>498</v>
      </c>
      <c r="D15" s="15">
        <f>L6</f>
        <v>0.38384615384615384</v>
      </c>
      <c r="E15" s="15">
        <f>4*L6</f>
        <v>1.5353846153846153</v>
      </c>
      <c r="F15" s="15">
        <f t="shared" si="0"/>
        <v>1.9192307692307691</v>
      </c>
      <c r="G15" s="12"/>
      <c r="J15" s="12"/>
      <c r="K15" s="12"/>
      <c r="L15" s="12"/>
      <c r="M15" s="12"/>
      <c r="N15" s="16"/>
    </row>
    <row r="16" spans="1:14" ht="30" customHeight="1" x14ac:dyDescent="0.15">
      <c r="A16" s="16">
        <v>12</v>
      </c>
      <c r="B16" s="43" t="s">
        <v>497</v>
      </c>
      <c r="C16" s="43" t="s">
        <v>499</v>
      </c>
      <c r="D16" s="15">
        <f>100*I6</f>
        <v>0.49900000000000005</v>
      </c>
      <c r="E16" s="15">
        <f>300*I6</f>
        <v>1.4970000000000001</v>
      </c>
      <c r="F16" s="15">
        <f t="shared" si="0"/>
        <v>1.9960000000000002</v>
      </c>
      <c r="G16" s="12"/>
      <c r="J16" s="12"/>
      <c r="K16" s="12"/>
      <c r="L16" s="12"/>
      <c r="M16" s="12"/>
      <c r="N16" s="16"/>
    </row>
    <row r="17" spans="1:14" ht="30" customHeight="1" x14ac:dyDescent="0.15">
      <c r="A17" s="16">
        <v>13</v>
      </c>
      <c r="B17" s="43" t="s">
        <v>501</v>
      </c>
      <c r="C17" s="43" t="s">
        <v>503</v>
      </c>
      <c r="D17" s="15">
        <f>L6</f>
        <v>0.38384615384615384</v>
      </c>
      <c r="E17" s="15">
        <v>0</v>
      </c>
      <c r="F17" s="15">
        <f t="shared" si="0"/>
        <v>0.38384615384615384</v>
      </c>
      <c r="G17" s="12"/>
      <c r="H17" s="61"/>
      <c r="I17" s="62"/>
      <c r="J17" s="12"/>
      <c r="K17" s="12"/>
      <c r="L17" s="12"/>
      <c r="M17" s="12"/>
      <c r="N17" s="16"/>
    </row>
    <row r="18" spans="1:14" ht="30" customHeight="1" x14ac:dyDescent="0.15">
      <c r="A18" s="16">
        <v>14</v>
      </c>
      <c r="B18" s="43" t="s">
        <v>497</v>
      </c>
      <c r="C18" s="43" t="s">
        <v>499</v>
      </c>
      <c r="D18" s="15">
        <f>100*I6</f>
        <v>0.49900000000000005</v>
      </c>
      <c r="E18" s="15">
        <f>300*I6</f>
        <v>1.4970000000000001</v>
      </c>
      <c r="F18" s="15">
        <f t="shared" si="0"/>
        <v>1.9960000000000002</v>
      </c>
      <c r="G18" s="12"/>
      <c r="H18" s="49"/>
      <c r="I18" s="50"/>
      <c r="J18" s="12"/>
      <c r="K18" s="12"/>
      <c r="L18" s="12"/>
      <c r="M18" s="12"/>
      <c r="N18" s="16"/>
    </row>
    <row r="19" spans="1:14" ht="30" customHeight="1" x14ac:dyDescent="0.15">
      <c r="A19" s="16">
        <v>15</v>
      </c>
      <c r="B19" s="43" t="s">
        <v>504</v>
      </c>
      <c r="C19" s="43" t="s">
        <v>503</v>
      </c>
      <c r="D19" s="15">
        <f>L6</f>
        <v>0.38384615384615384</v>
      </c>
      <c r="E19" s="15">
        <v>0</v>
      </c>
      <c r="F19" s="15">
        <f t="shared" si="0"/>
        <v>0.38384615384615384</v>
      </c>
      <c r="G19" s="12"/>
      <c r="H19" s="52"/>
      <c r="I19" s="53"/>
      <c r="J19" s="12"/>
      <c r="K19" s="12"/>
      <c r="L19" s="12"/>
      <c r="M19" s="12"/>
      <c r="N19" s="16"/>
    </row>
    <row r="20" spans="1:14" ht="30" customHeight="1" x14ac:dyDescent="0.15">
      <c r="A20" s="16">
        <v>16</v>
      </c>
      <c r="B20" s="43" t="s">
        <v>501</v>
      </c>
      <c r="C20" s="43" t="s">
        <v>498</v>
      </c>
      <c r="D20" s="15">
        <f>L6</f>
        <v>0.38384615384615384</v>
      </c>
      <c r="E20" s="15">
        <f>4*L6</f>
        <v>1.5353846153846153</v>
      </c>
      <c r="F20" s="15">
        <f t="shared" si="0"/>
        <v>1.9192307692307691</v>
      </c>
      <c r="G20" s="12"/>
      <c r="H20" s="52"/>
      <c r="I20" s="54"/>
      <c r="J20" s="12"/>
      <c r="K20" s="12"/>
      <c r="L20" s="12"/>
      <c r="M20" s="12"/>
      <c r="N20" s="16"/>
    </row>
    <row r="21" spans="1:14" ht="30" customHeight="1" x14ac:dyDescent="0.15">
      <c r="A21" s="16">
        <v>17</v>
      </c>
      <c r="B21" s="43" t="s">
        <v>497</v>
      </c>
      <c r="C21" s="43" t="s">
        <v>499</v>
      </c>
      <c r="D21" s="15">
        <f>100*I6</f>
        <v>0.49900000000000005</v>
      </c>
      <c r="E21" s="15">
        <f>300*I6</f>
        <v>1.4970000000000001</v>
      </c>
      <c r="F21" s="15">
        <f t="shared" si="0"/>
        <v>1.9960000000000002</v>
      </c>
      <c r="G21" s="12"/>
      <c r="H21" s="49"/>
      <c r="I21" s="100"/>
      <c r="J21" s="68"/>
      <c r="K21" s="68"/>
      <c r="L21" s="68"/>
      <c r="M21" s="68"/>
      <c r="N21" s="16"/>
    </row>
    <row r="22" spans="1:14" ht="30" customHeight="1" x14ac:dyDescent="0.15">
      <c r="A22" s="16">
        <v>18</v>
      </c>
      <c r="B22" s="43" t="s">
        <v>501</v>
      </c>
      <c r="C22" s="43" t="s">
        <v>498</v>
      </c>
      <c r="D22" s="15">
        <f>L6</f>
        <v>0.38384615384615384</v>
      </c>
      <c r="E22" s="15">
        <f>4*L6</f>
        <v>1.5353846153846153</v>
      </c>
      <c r="F22" s="15">
        <f t="shared" si="0"/>
        <v>1.9192307692307691</v>
      </c>
      <c r="G22" s="12"/>
      <c r="H22" s="61"/>
      <c r="I22" s="62"/>
      <c r="J22" s="68"/>
      <c r="K22" s="68"/>
      <c r="L22" s="68"/>
      <c r="M22" s="68"/>
      <c r="N22" s="16"/>
    </row>
    <row r="23" spans="1:14" ht="30" customHeight="1" x14ac:dyDescent="0.15">
      <c r="A23" s="16">
        <v>19</v>
      </c>
      <c r="B23" s="43" t="s">
        <v>497</v>
      </c>
      <c r="C23" s="43" t="s">
        <v>505</v>
      </c>
      <c r="D23" s="15">
        <f>100*I6</f>
        <v>0.49900000000000005</v>
      </c>
      <c r="E23" s="15">
        <f>400*I6</f>
        <v>1.9960000000000002</v>
      </c>
      <c r="F23" s="15">
        <f t="shared" si="0"/>
        <v>2.4950000000000001</v>
      </c>
      <c r="G23" s="12"/>
      <c r="H23" s="49"/>
      <c r="I23" s="50"/>
      <c r="J23" s="68"/>
      <c r="K23" s="68"/>
      <c r="L23" s="68"/>
      <c r="M23" s="68"/>
      <c r="N23" s="16"/>
    </row>
    <row r="24" spans="1:14" ht="30" customHeight="1" x14ac:dyDescent="0.15">
      <c r="A24" s="16">
        <v>20</v>
      </c>
      <c r="B24" s="43" t="s">
        <v>503</v>
      </c>
      <c r="C24" s="43" t="s">
        <v>503</v>
      </c>
      <c r="D24" s="15">
        <v>0</v>
      </c>
      <c r="E24" s="15">
        <v>0</v>
      </c>
      <c r="F24" s="15">
        <f t="shared" si="0"/>
        <v>0</v>
      </c>
      <c r="G24" s="12"/>
      <c r="H24" s="52"/>
      <c r="I24" s="53"/>
      <c r="J24" s="68"/>
      <c r="K24" s="68"/>
      <c r="L24" s="68"/>
      <c r="M24" s="68"/>
      <c r="N24" s="16"/>
    </row>
    <row r="25" spans="1:14" ht="30" customHeight="1" x14ac:dyDescent="0.15">
      <c r="A25" s="16">
        <v>21</v>
      </c>
      <c r="B25" s="43" t="s">
        <v>497</v>
      </c>
      <c r="C25" s="43" t="s">
        <v>505</v>
      </c>
      <c r="D25" s="15">
        <f>100*I6</f>
        <v>0.49900000000000005</v>
      </c>
      <c r="E25" s="15">
        <f>400*I6</f>
        <v>1.9960000000000002</v>
      </c>
      <c r="F25" s="15">
        <f t="shared" si="0"/>
        <v>2.4950000000000001</v>
      </c>
      <c r="G25" s="12"/>
      <c r="H25" s="52"/>
      <c r="I25" s="54"/>
      <c r="J25" s="68"/>
      <c r="K25" s="68"/>
      <c r="L25" s="68"/>
      <c r="M25" s="68"/>
      <c r="N25" s="16"/>
    </row>
    <row r="26" spans="1:14" ht="30" customHeight="1" x14ac:dyDescent="0.15">
      <c r="A26" s="16">
        <v>22</v>
      </c>
      <c r="B26" s="43" t="s">
        <v>501</v>
      </c>
      <c r="C26" s="43" t="s">
        <v>498</v>
      </c>
      <c r="D26" s="15">
        <f>L6</f>
        <v>0.38384615384615384</v>
      </c>
      <c r="E26" s="15">
        <f>4*L6</f>
        <v>1.5353846153846153</v>
      </c>
      <c r="F26" s="15">
        <f t="shared" si="0"/>
        <v>1.9192307692307691</v>
      </c>
      <c r="G26" s="12"/>
      <c r="H26" s="49"/>
      <c r="I26" s="100"/>
      <c r="J26" s="12"/>
      <c r="K26" s="12"/>
      <c r="L26" s="12"/>
      <c r="M26" s="12"/>
      <c r="N26" s="16"/>
    </row>
    <row r="27" spans="1:14" ht="30" customHeight="1" x14ac:dyDescent="0.15">
      <c r="A27" s="16">
        <v>23</v>
      </c>
      <c r="B27" s="43" t="s">
        <v>497</v>
      </c>
      <c r="C27" s="43" t="s">
        <v>505</v>
      </c>
      <c r="D27" s="15">
        <f>100*I6</f>
        <v>0.49900000000000005</v>
      </c>
      <c r="E27" s="15">
        <f>400*I6</f>
        <v>1.9960000000000002</v>
      </c>
      <c r="F27" s="15">
        <f t="shared" si="0"/>
        <v>2.4950000000000001</v>
      </c>
      <c r="G27" s="12"/>
      <c r="H27" s="64"/>
      <c r="I27" s="69"/>
      <c r="J27" s="12"/>
      <c r="K27" s="12"/>
      <c r="L27" s="12"/>
      <c r="M27" s="12"/>
      <c r="N27" s="16"/>
    </row>
    <row r="28" spans="1:14" ht="30" customHeight="1" x14ac:dyDescent="0.15">
      <c r="A28" s="16">
        <v>24</v>
      </c>
      <c r="B28" s="43" t="s">
        <v>497</v>
      </c>
      <c r="C28" s="43" t="s">
        <v>503</v>
      </c>
      <c r="D28" s="15">
        <f>100*I6</f>
        <v>0.49900000000000005</v>
      </c>
      <c r="E28" s="15">
        <v>0</v>
      </c>
      <c r="F28" s="15">
        <f t="shared" si="0"/>
        <v>0.49900000000000005</v>
      </c>
      <c r="G28" s="12"/>
      <c r="H28" s="12"/>
      <c r="I28" s="12"/>
      <c r="J28" s="12"/>
      <c r="K28" s="12"/>
      <c r="L28" s="12"/>
      <c r="M28" s="12"/>
      <c r="N28" s="16"/>
    </row>
    <row r="29" spans="1:14" ht="30" customHeight="1" x14ac:dyDescent="0.15">
      <c r="A29" s="16">
        <v>25</v>
      </c>
      <c r="B29" s="43" t="s">
        <v>497</v>
      </c>
      <c r="C29" s="43" t="s">
        <v>505</v>
      </c>
      <c r="D29" s="15">
        <f>100*I6</f>
        <v>0.49900000000000005</v>
      </c>
      <c r="E29" s="15">
        <f>400*I6</f>
        <v>1.9960000000000002</v>
      </c>
      <c r="F29" s="15">
        <f t="shared" si="0"/>
        <v>2.4950000000000001</v>
      </c>
      <c r="G29" s="12"/>
      <c r="H29" s="12"/>
      <c r="I29" s="12"/>
      <c r="J29" s="12"/>
      <c r="K29" s="12"/>
      <c r="L29" s="12"/>
      <c r="M29" s="12"/>
      <c r="N29" s="16"/>
    </row>
    <row r="30" spans="1:14" ht="30" customHeight="1" x14ac:dyDescent="0.15">
      <c r="A30" s="16">
        <v>26</v>
      </c>
      <c r="B30" s="43" t="s">
        <v>506</v>
      </c>
      <c r="C30" s="43" t="s">
        <v>498</v>
      </c>
      <c r="D30" s="15">
        <f>2*L6</f>
        <v>0.76769230769230767</v>
      </c>
      <c r="E30" s="15">
        <f>4*L6</f>
        <v>1.5353846153846153</v>
      </c>
      <c r="F30" s="15">
        <f t="shared" si="0"/>
        <v>2.3030769230769232</v>
      </c>
      <c r="G30" s="12"/>
      <c r="H30" s="12"/>
      <c r="I30" s="12"/>
      <c r="J30" s="12"/>
      <c r="K30" s="12"/>
      <c r="L30" s="12"/>
      <c r="M30" s="12"/>
      <c r="N30" s="16"/>
    </row>
    <row r="31" spans="1:14" ht="30" customHeight="1" x14ac:dyDescent="0.15">
      <c r="A31" s="16">
        <v>27</v>
      </c>
      <c r="B31" s="43" t="s">
        <v>497</v>
      </c>
      <c r="C31" s="43" t="s">
        <v>505</v>
      </c>
      <c r="D31" s="15">
        <f>100*I6</f>
        <v>0.49900000000000005</v>
      </c>
      <c r="E31" s="15">
        <f>400*I6</f>
        <v>1.9960000000000002</v>
      </c>
      <c r="F31" s="15">
        <f t="shared" si="0"/>
        <v>2.4950000000000001</v>
      </c>
      <c r="G31" s="12"/>
      <c r="H31" s="12"/>
      <c r="I31" s="12"/>
      <c r="J31" s="12"/>
      <c r="K31" s="12"/>
      <c r="L31" s="12"/>
      <c r="M31" s="12"/>
      <c r="N31" s="16"/>
    </row>
    <row r="32" spans="1:14" ht="30" customHeight="1" x14ac:dyDescent="0.15">
      <c r="A32" s="16">
        <v>28</v>
      </c>
      <c r="B32" s="43" t="s">
        <v>507</v>
      </c>
      <c r="C32" s="43" t="s">
        <v>508</v>
      </c>
      <c r="D32" s="15">
        <f>2*L6</f>
        <v>0.76769230769230767</v>
      </c>
      <c r="E32" s="15">
        <v>0</v>
      </c>
      <c r="F32" s="15">
        <f t="shared" si="0"/>
        <v>0.76769230769230767</v>
      </c>
      <c r="G32" s="12"/>
      <c r="H32" s="12"/>
      <c r="I32" s="12"/>
      <c r="J32" s="12"/>
      <c r="K32" s="12"/>
      <c r="L32" s="12"/>
      <c r="M32" s="12"/>
      <c r="N32" s="16"/>
    </row>
    <row r="33" spans="1:14" ht="30" customHeight="1" x14ac:dyDescent="0.15">
      <c r="A33" s="16">
        <v>29</v>
      </c>
      <c r="B33" s="43" t="s">
        <v>506</v>
      </c>
      <c r="C33" s="43" t="s">
        <v>498</v>
      </c>
      <c r="D33" s="15">
        <f>2*L6</f>
        <v>0.76769230769230767</v>
      </c>
      <c r="E33" s="15">
        <f>4*L6</f>
        <v>1.5353846153846153</v>
      </c>
      <c r="F33" s="15">
        <f t="shared" si="0"/>
        <v>2.3030769230769232</v>
      </c>
      <c r="G33" s="12"/>
      <c r="H33" s="12"/>
      <c r="I33" s="12"/>
      <c r="J33" s="12"/>
      <c r="K33" s="12"/>
      <c r="L33" s="12"/>
      <c r="M33" s="12"/>
      <c r="N33" s="16"/>
    </row>
    <row r="34" spans="1:14" ht="30" customHeight="1" x14ac:dyDescent="0.15">
      <c r="A34" s="16">
        <v>30</v>
      </c>
      <c r="B34" s="43" t="s">
        <v>497</v>
      </c>
      <c r="C34" s="43" t="s">
        <v>509</v>
      </c>
      <c r="D34" s="15">
        <f>100*I6</f>
        <v>0.49900000000000005</v>
      </c>
      <c r="E34" s="15">
        <f>500*I6</f>
        <v>2.4950000000000001</v>
      </c>
      <c r="F34" s="15">
        <f t="shared" si="0"/>
        <v>2.9940000000000002</v>
      </c>
      <c r="G34" s="12"/>
      <c r="H34" s="12"/>
      <c r="I34" s="12"/>
      <c r="J34" s="12"/>
      <c r="K34" s="12"/>
      <c r="L34" s="12"/>
      <c r="M34" s="12"/>
      <c r="N34" s="16"/>
    </row>
    <row r="35" spans="1:14" ht="30" customHeight="1" x14ac:dyDescent="0.15">
      <c r="A35" s="16">
        <v>31</v>
      </c>
      <c r="B35" s="43" t="s">
        <v>506</v>
      </c>
      <c r="C35" s="43" t="s">
        <v>498</v>
      </c>
      <c r="D35" s="15">
        <f>2*L6</f>
        <v>0.76769230769230767</v>
      </c>
      <c r="E35" s="15">
        <f>4*L6</f>
        <v>1.5353846153846153</v>
      </c>
      <c r="F35" s="15">
        <f t="shared" si="0"/>
        <v>2.3030769230769232</v>
      </c>
      <c r="G35" s="12"/>
      <c r="H35" s="12"/>
      <c r="I35" s="12"/>
      <c r="J35" s="12"/>
      <c r="K35" s="12"/>
      <c r="L35" s="12"/>
      <c r="M35" s="12"/>
      <c r="N35" s="16"/>
    </row>
    <row r="36" spans="1:14" ht="30" customHeight="1" x14ac:dyDescent="0.15">
      <c r="A36" s="16">
        <v>32</v>
      </c>
      <c r="B36" s="43" t="s">
        <v>503</v>
      </c>
      <c r="C36" s="43" t="s">
        <v>503</v>
      </c>
      <c r="D36" s="15">
        <v>0</v>
      </c>
      <c r="E36" s="15">
        <v>0</v>
      </c>
      <c r="F36" s="15">
        <f t="shared" si="0"/>
        <v>0</v>
      </c>
      <c r="G36" s="12"/>
      <c r="H36" s="130"/>
      <c r="I36" s="12"/>
      <c r="J36" s="12"/>
      <c r="K36" s="12"/>
      <c r="L36" s="12"/>
      <c r="M36" s="12"/>
      <c r="N36" s="16"/>
    </row>
    <row r="37" spans="1:14" ht="30" customHeight="1" x14ac:dyDescent="0.15">
      <c r="A37" s="16">
        <v>33</v>
      </c>
      <c r="B37" s="43" t="s">
        <v>497</v>
      </c>
      <c r="C37" s="43" t="s">
        <v>509</v>
      </c>
      <c r="D37" s="15">
        <f>100*I6</f>
        <v>0.49900000000000005</v>
      </c>
      <c r="E37" s="15">
        <f>500*I6</f>
        <v>2.4950000000000001</v>
      </c>
      <c r="F37" s="15">
        <f t="shared" si="0"/>
        <v>2.9940000000000002</v>
      </c>
      <c r="G37" s="12"/>
      <c r="H37" s="12"/>
      <c r="I37" s="12"/>
      <c r="J37" s="12"/>
      <c r="K37" s="12"/>
      <c r="L37" s="12"/>
      <c r="M37" s="12"/>
      <c r="N37" s="16"/>
    </row>
    <row r="38" spans="1:14" ht="30" customHeight="1" x14ac:dyDescent="0.15">
      <c r="A38" s="16">
        <v>34</v>
      </c>
      <c r="B38" s="43" t="s">
        <v>506</v>
      </c>
      <c r="C38" s="43" t="s">
        <v>498</v>
      </c>
      <c r="D38" s="15">
        <f>2*L6</f>
        <v>0.76769230769230767</v>
      </c>
      <c r="E38" s="15">
        <f>4*L6</f>
        <v>1.5353846153846153</v>
      </c>
      <c r="F38" s="15">
        <f t="shared" si="0"/>
        <v>2.3030769230769232</v>
      </c>
      <c r="G38" s="12"/>
      <c r="H38" s="12"/>
      <c r="I38" s="12"/>
      <c r="J38" s="12"/>
      <c r="K38" s="12"/>
      <c r="L38" s="12"/>
      <c r="M38" s="12"/>
      <c r="N38" s="16"/>
    </row>
    <row r="39" spans="1:14" ht="30" customHeight="1" x14ac:dyDescent="0.15">
      <c r="A39" s="16">
        <v>35</v>
      </c>
      <c r="B39" s="43" t="s">
        <v>497</v>
      </c>
      <c r="C39" s="43" t="s">
        <v>509</v>
      </c>
      <c r="D39" s="15">
        <f>100*I6</f>
        <v>0.49900000000000005</v>
      </c>
      <c r="E39" s="15">
        <f>500*I6</f>
        <v>2.4950000000000001</v>
      </c>
      <c r="F39" s="15">
        <f t="shared" si="0"/>
        <v>2.9940000000000002</v>
      </c>
      <c r="G39" s="12"/>
      <c r="H39" s="12"/>
      <c r="I39" s="12"/>
      <c r="J39" s="12"/>
      <c r="K39" s="12"/>
      <c r="L39" s="12"/>
      <c r="M39" s="12"/>
      <c r="N39" s="16"/>
    </row>
    <row r="40" spans="1:14" ht="30" customHeight="1" x14ac:dyDescent="0.15">
      <c r="A40" s="16">
        <v>36</v>
      </c>
      <c r="B40" s="43" t="s">
        <v>503</v>
      </c>
      <c r="C40" s="43" t="s">
        <v>510</v>
      </c>
      <c r="D40" s="15">
        <v>0</v>
      </c>
      <c r="E40" s="15">
        <f>0</f>
        <v>0</v>
      </c>
      <c r="F40" s="15">
        <f t="shared" si="0"/>
        <v>0</v>
      </c>
      <c r="G40" s="12"/>
      <c r="H40" s="12"/>
      <c r="I40" s="12"/>
      <c r="J40" s="12"/>
      <c r="K40" s="12"/>
      <c r="L40" s="12"/>
      <c r="M40" s="12"/>
      <c r="N40" s="16"/>
    </row>
    <row r="41" spans="1:14" ht="30" customHeight="1" x14ac:dyDescent="0.15">
      <c r="A41" s="28" t="s">
        <v>81</v>
      </c>
      <c r="B41" s="32"/>
      <c r="C41" s="32"/>
      <c r="D41" s="72">
        <f t="shared" ref="D41:F41" si="1">SUM(D4:D40)</f>
        <v>16.159923076923075</v>
      </c>
      <c r="E41" s="72">
        <f t="shared" si="1"/>
        <v>46.368615384615374</v>
      </c>
      <c r="F41" s="72">
        <f t="shared" si="1"/>
        <v>62.528538461538446</v>
      </c>
      <c r="G41" s="12"/>
      <c r="H41" s="12"/>
      <c r="I41" s="12"/>
      <c r="J41" s="12"/>
      <c r="K41" s="12"/>
      <c r="L41" s="12"/>
      <c r="M41" s="12"/>
      <c r="N41" s="16"/>
    </row>
    <row r="42" spans="1:14" ht="30" customHeight="1" x14ac:dyDescent="0.15">
      <c r="A42" s="34" t="s">
        <v>174</v>
      </c>
      <c r="B42" s="34"/>
      <c r="C42" s="34"/>
      <c r="D42" s="34">
        <f t="shared" ref="D42:F42" si="2">AVERAGE(D2:D40)</f>
        <v>0.43675467775467769</v>
      </c>
      <c r="E42" s="34">
        <f t="shared" si="2"/>
        <v>1.253205821205821</v>
      </c>
      <c r="F42" s="34">
        <f t="shared" si="2"/>
        <v>1.6899604989604986</v>
      </c>
      <c r="G42" s="34"/>
      <c r="H42" s="12"/>
      <c r="I42" s="12"/>
      <c r="J42" s="12"/>
      <c r="K42" s="12"/>
      <c r="L42" s="12"/>
      <c r="M42" s="12"/>
      <c r="N42" s="16"/>
    </row>
    <row r="43" spans="1:14" ht="30" customHeight="1" x14ac:dyDescent="0.15">
      <c r="A43" s="16"/>
      <c r="B43" s="43"/>
      <c r="C43" s="43"/>
      <c r="D43" s="15"/>
      <c r="E43" s="15"/>
      <c r="F43" s="15"/>
      <c r="G43" s="12"/>
      <c r="H43" s="12"/>
      <c r="I43" s="12"/>
      <c r="J43" s="12"/>
      <c r="K43" s="12"/>
      <c r="L43" s="12"/>
      <c r="M43" s="12"/>
      <c r="N43" s="16"/>
    </row>
    <row r="44" spans="1:14" ht="15.75" customHeight="1" x14ac:dyDescent="0.15">
      <c r="A44" s="16"/>
      <c r="B44" s="43"/>
      <c r="C44" s="43"/>
      <c r="D44" s="15"/>
      <c r="E44" s="15"/>
      <c r="F44" s="15"/>
      <c r="G44" s="12"/>
      <c r="H44" s="12"/>
      <c r="I44" s="12"/>
      <c r="J44" s="12"/>
      <c r="K44" s="12"/>
      <c r="L44" s="12"/>
      <c r="M44" s="12"/>
      <c r="N44" s="16"/>
    </row>
    <row r="45" spans="1:14" ht="15.75" customHeight="1" x14ac:dyDescent="0.15">
      <c r="A45" s="16"/>
      <c r="B45" s="43"/>
      <c r="C45" s="43"/>
      <c r="D45" s="15"/>
      <c r="E45" s="15"/>
      <c r="F45" s="15"/>
      <c r="G45" s="12"/>
      <c r="H45" s="12"/>
      <c r="I45" s="12"/>
      <c r="J45" s="12"/>
      <c r="K45" s="12"/>
      <c r="L45" s="12"/>
      <c r="M45" s="12"/>
      <c r="N45" s="16"/>
    </row>
    <row r="46" spans="1:14" ht="15.75" customHeight="1" x14ac:dyDescent="0.15">
      <c r="A46" s="16"/>
      <c r="B46" s="43"/>
      <c r="C46" s="43"/>
      <c r="D46" s="15"/>
      <c r="E46" s="15"/>
      <c r="F46" s="15"/>
      <c r="G46" s="12"/>
      <c r="H46" s="12"/>
      <c r="I46" s="12"/>
      <c r="J46" s="12"/>
      <c r="K46" s="12"/>
      <c r="L46" s="12"/>
      <c r="M46" s="12"/>
      <c r="N46" s="16"/>
    </row>
    <row r="47" spans="1:14" ht="15.75" customHeight="1" x14ac:dyDescent="0.15">
      <c r="A47" s="16"/>
      <c r="B47" s="43"/>
      <c r="C47" s="43"/>
      <c r="D47" s="15"/>
      <c r="E47" s="15"/>
      <c r="F47" s="15"/>
      <c r="G47" s="12"/>
      <c r="H47" s="12"/>
      <c r="I47" s="12"/>
      <c r="J47" s="12"/>
      <c r="K47" s="12"/>
      <c r="L47" s="12"/>
      <c r="M47" s="12"/>
      <c r="N47" s="16"/>
    </row>
    <row r="48" spans="1:14" ht="15.75" customHeight="1" x14ac:dyDescent="0.15">
      <c r="A48" s="16"/>
      <c r="B48" s="43"/>
      <c r="C48" s="43"/>
      <c r="D48" s="15"/>
      <c r="E48" s="15"/>
      <c r="F48" s="15"/>
      <c r="G48" s="12"/>
      <c r="H48" s="12"/>
      <c r="I48" s="12"/>
      <c r="J48" s="12"/>
      <c r="K48" s="12"/>
      <c r="L48" s="12"/>
      <c r="M48" s="12"/>
      <c r="N48" s="16"/>
    </row>
    <row r="49" spans="1:14" ht="15.75" customHeight="1" x14ac:dyDescent="0.15">
      <c r="A49" s="16"/>
      <c r="B49" s="43"/>
      <c r="C49" s="43"/>
      <c r="D49" s="15"/>
      <c r="E49" s="15"/>
      <c r="F49" s="15"/>
      <c r="G49" s="12"/>
      <c r="H49" s="12"/>
      <c r="I49" s="12"/>
      <c r="J49" s="12"/>
      <c r="K49" s="12"/>
      <c r="L49" s="12"/>
      <c r="M49" s="12"/>
      <c r="N49" s="16"/>
    </row>
    <row r="50" spans="1:14" ht="15.75" customHeight="1" x14ac:dyDescent="0.15">
      <c r="A50" s="16"/>
      <c r="B50" s="43"/>
      <c r="C50" s="43"/>
      <c r="D50" s="15"/>
      <c r="E50" s="15"/>
      <c r="F50" s="15"/>
      <c r="G50" s="12"/>
      <c r="H50" s="12"/>
      <c r="I50" s="12"/>
      <c r="J50" s="12"/>
      <c r="K50" s="12"/>
      <c r="L50" s="12"/>
      <c r="M50" s="12"/>
      <c r="N50" s="16"/>
    </row>
    <row r="51" spans="1:14" ht="15.75" customHeight="1" x14ac:dyDescent="0.15">
      <c r="A51" s="16"/>
      <c r="B51" s="43"/>
      <c r="C51" s="43"/>
      <c r="D51" s="15"/>
      <c r="E51" s="15"/>
      <c r="F51" s="15"/>
      <c r="G51" s="12"/>
      <c r="H51" s="12"/>
      <c r="I51" s="12"/>
      <c r="J51" s="12"/>
      <c r="K51" s="12"/>
      <c r="L51" s="12"/>
      <c r="M51" s="12"/>
      <c r="N51" s="16"/>
    </row>
    <row r="52" spans="1:14" ht="15.75" customHeight="1" x14ac:dyDescent="0.15">
      <c r="A52" s="16"/>
      <c r="B52" s="43"/>
      <c r="C52" s="43"/>
      <c r="D52" s="15"/>
      <c r="E52" s="15"/>
      <c r="F52" s="15"/>
      <c r="G52" s="12"/>
      <c r="H52" s="12"/>
      <c r="I52" s="12"/>
      <c r="J52" s="12"/>
      <c r="K52" s="12"/>
      <c r="L52" s="12"/>
      <c r="M52" s="12"/>
      <c r="N52" s="16"/>
    </row>
    <row r="53" spans="1:14" ht="15.75" customHeight="1" x14ac:dyDescent="0.15">
      <c r="A53" s="16"/>
      <c r="B53" s="43"/>
      <c r="C53" s="43"/>
      <c r="D53" s="15"/>
      <c r="E53" s="15"/>
      <c r="F53" s="15"/>
      <c r="G53" s="12"/>
      <c r="H53" s="12"/>
      <c r="I53" s="12"/>
      <c r="J53" s="12"/>
      <c r="K53" s="12"/>
      <c r="L53" s="12"/>
      <c r="M53" s="12"/>
      <c r="N53" s="16"/>
    </row>
    <row r="54" spans="1:14" ht="15.75" customHeight="1" x14ac:dyDescent="0.15">
      <c r="A54" s="16"/>
      <c r="B54" s="43"/>
      <c r="C54" s="43"/>
      <c r="D54" s="15"/>
      <c r="E54" s="15"/>
      <c r="F54" s="15"/>
      <c r="G54" s="12"/>
      <c r="H54" s="12"/>
      <c r="I54" s="12"/>
      <c r="J54" s="12"/>
      <c r="K54" s="12"/>
      <c r="L54" s="12"/>
      <c r="M54" s="12"/>
      <c r="N54" s="16"/>
    </row>
    <row r="55" spans="1:14" ht="15.75" customHeight="1" x14ac:dyDescent="0.15">
      <c r="A55" s="16"/>
      <c r="B55" s="43"/>
      <c r="C55" s="43"/>
      <c r="D55" s="16"/>
      <c r="E55" s="16"/>
      <c r="F55" s="16"/>
      <c r="G55" s="12"/>
      <c r="H55" s="12"/>
      <c r="I55" s="12"/>
      <c r="J55" s="12"/>
      <c r="K55" s="12"/>
      <c r="L55" s="12"/>
      <c r="M55" s="12"/>
      <c r="N55" s="16"/>
    </row>
    <row r="56" spans="1:14" ht="15.75" customHeight="1" x14ac:dyDescent="0.15">
      <c r="A56" s="16"/>
      <c r="B56" s="43"/>
      <c r="C56" s="43"/>
      <c r="D56" s="16"/>
      <c r="E56" s="16"/>
      <c r="F56" s="16"/>
      <c r="G56" s="12"/>
      <c r="H56" s="12"/>
      <c r="I56" s="12"/>
      <c r="J56" s="12"/>
      <c r="K56" s="12"/>
      <c r="L56" s="12"/>
      <c r="M56" s="12"/>
      <c r="N56" s="16"/>
    </row>
    <row r="57" spans="1:14" ht="15.75" customHeight="1" x14ac:dyDescent="0.15">
      <c r="A57" s="16"/>
      <c r="B57" s="43"/>
      <c r="C57" s="43"/>
      <c r="D57" s="16"/>
      <c r="E57" s="16"/>
      <c r="F57" s="16"/>
      <c r="G57" s="12"/>
      <c r="H57" s="12"/>
      <c r="I57" s="12"/>
      <c r="J57" s="12"/>
      <c r="K57" s="12"/>
      <c r="L57" s="12"/>
      <c r="M57" s="12"/>
      <c r="N57" s="16"/>
    </row>
    <row r="58" spans="1:14" ht="15.75" customHeight="1" x14ac:dyDescent="0.15">
      <c r="A58" s="16"/>
      <c r="B58" s="43"/>
      <c r="C58" s="43"/>
      <c r="D58" s="16"/>
      <c r="E58" s="16"/>
      <c r="F58" s="16"/>
      <c r="G58" s="12"/>
      <c r="H58" s="12"/>
      <c r="I58" s="12"/>
      <c r="J58" s="12"/>
      <c r="K58" s="12"/>
      <c r="L58" s="12"/>
      <c r="M58" s="12"/>
      <c r="N58" s="16"/>
    </row>
    <row r="59" spans="1:14" ht="15.75" customHeight="1" x14ac:dyDescent="0.15">
      <c r="A59" s="16"/>
      <c r="B59" s="43"/>
      <c r="C59" s="43"/>
      <c r="D59" s="16"/>
      <c r="E59" s="16"/>
      <c r="F59" s="16"/>
      <c r="G59" s="12"/>
      <c r="H59" s="12"/>
      <c r="I59" s="12"/>
      <c r="J59" s="12"/>
      <c r="K59" s="12"/>
      <c r="L59" s="12"/>
      <c r="M59" s="12"/>
      <c r="N59" s="16"/>
    </row>
    <row r="60" spans="1:14" ht="15.75" customHeight="1" x14ac:dyDescent="0.15">
      <c r="A60" s="16"/>
      <c r="B60" s="43"/>
      <c r="C60" s="43"/>
      <c r="D60" s="16"/>
      <c r="E60" s="16"/>
      <c r="F60" s="16"/>
      <c r="G60" s="12"/>
      <c r="H60" s="12"/>
      <c r="I60" s="12"/>
      <c r="J60" s="12"/>
      <c r="K60" s="12"/>
      <c r="L60" s="12"/>
      <c r="M60" s="12"/>
      <c r="N60" s="16"/>
    </row>
    <row r="61" spans="1:14" ht="15.75" customHeight="1" x14ac:dyDescent="0.15">
      <c r="A61" s="16"/>
      <c r="B61" s="43"/>
      <c r="C61" s="43"/>
      <c r="D61" s="16"/>
      <c r="E61" s="16"/>
      <c r="F61" s="16"/>
      <c r="G61" s="12"/>
      <c r="H61" s="12"/>
      <c r="I61" s="12"/>
      <c r="J61" s="12"/>
      <c r="K61" s="12"/>
      <c r="L61" s="12"/>
      <c r="M61" s="12"/>
      <c r="N61" s="16"/>
    </row>
    <row r="62" spans="1:14" ht="15.75" customHeight="1" x14ac:dyDescent="0.15">
      <c r="A62" s="16"/>
      <c r="B62" s="43"/>
      <c r="C62" s="43"/>
      <c r="D62" s="16"/>
      <c r="E62" s="16"/>
      <c r="F62" s="16"/>
      <c r="G62" s="12"/>
      <c r="H62" s="12"/>
      <c r="I62" s="12"/>
      <c r="J62" s="12"/>
      <c r="K62" s="12"/>
      <c r="L62" s="12"/>
      <c r="M62" s="12"/>
      <c r="N62" s="16"/>
    </row>
    <row r="63" spans="1:14" ht="15.75" customHeight="1" x14ac:dyDescent="0.15">
      <c r="A63" s="16"/>
      <c r="B63" s="43"/>
      <c r="C63" s="43"/>
      <c r="D63" s="16"/>
      <c r="E63" s="16"/>
      <c r="F63" s="16"/>
      <c r="G63" s="12"/>
      <c r="H63" s="12"/>
      <c r="I63" s="12"/>
      <c r="J63" s="12"/>
      <c r="K63" s="12"/>
      <c r="L63" s="12"/>
      <c r="M63" s="12"/>
      <c r="N63" s="16"/>
    </row>
    <row r="64" spans="1:14" ht="15.75" customHeight="1" x14ac:dyDescent="0.15">
      <c r="A64" s="16"/>
      <c r="B64" s="43"/>
      <c r="C64" s="43"/>
      <c r="D64" s="16"/>
      <c r="E64" s="16"/>
      <c r="F64" s="16"/>
      <c r="G64" s="12"/>
      <c r="H64" s="12"/>
      <c r="I64" s="12"/>
      <c r="J64" s="12"/>
      <c r="K64" s="12"/>
      <c r="L64" s="12"/>
      <c r="M64" s="12"/>
      <c r="N64" s="16"/>
    </row>
    <row r="65" spans="1:14" ht="15.75" customHeight="1" x14ac:dyDescent="0.15">
      <c r="A65" s="16"/>
      <c r="B65" s="43"/>
      <c r="C65" s="43"/>
      <c r="D65" s="16"/>
      <c r="E65" s="16"/>
      <c r="F65" s="16"/>
      <c r="G65" s="12"/>
      <c r="H65" s="12"/>
      <c r="I65" s="12"/>
      <c r="J65" s="12"/>
      <c r="K65" s="12"/>
      <c r="L65" s="12"/>
      <c r="M65" s="12"/>
      <c r="N65" s="16"/>
    </row>
    <row r="66" spans="1:14" ht="15.75" customHeight="1" x14ac:dyDescent="0.15">
      <c r="A66" s="16"/>
      <c r="B66" s="43"/>
      <c r="C66" s="43"/>
      <c r="D66" s="16"/>
      <c r="E66" s="16"/>
      <c r="F66" s="16"/>
      <c r="G66" s="12"/>
      <c r="H66" s="12"/>
      <c r="I66" s="12"/>
      <c r="J66" s="12"/>
      <c r="K66" s="12"/>
      <c r="L66" s="12"/>
      <c r="M66" s="12"/>
      <c r="N66" s="16"/>
    </row>
    <row r="67" spans="1:14" ht="15.75" customHeight="1" x14ac:dyDescent="0.15">
      <c r="A67" s="16"/>
      <c r="B67" s="43"/>
      <c r="C67" s="43"/>
      <c r="D67" s="16"/>
      <c r="E67" s="16"/>
      <c r="F67" s="16"/>
      <c r="G67" s="12"/>
      <c r="H67" s="12"/>
      <c r="I67" s="12"/>
      <c r="J67" s="12"/>
      <c r="K67" s="12"/>
      <c r="L67" s="12"/>
      <c r="M67" s="12"/>
      <c r="N67" s="16"/>
    </row>
    <row r="68" spans="1:14" ht="15.75" customHeight="1" x14ac:dyDescent="0.15">
      <c r="A68" s="16"/>
      <c r="B68" s="43"/>
      <c r="C68" s="43"/>
      <c r="D68" s="16"/>
      <c r="E68" s="16"/>
      <c r="F68" s="16"/>
      <c r="G68" s="12"/>
      <c r="H68" s="12"/>
      <c r="I68" s="12"/>
      <c r="J68" s="12"/>
      <c r="K68" s="12"/>
      <c r="L68" s="12"/>
      <c r="M68" s="12"/>
      <c r="N68" s="16"/>
    </row>
    <row r="69" spans="1:14" ht="15.75" customHeight="1" x14ac:dyDescent="0.15">
      <c r="A69" s="16"/>
      <c r="B69" s="43"/>
      <c r="C69" s="43"/>
      <c r="D69" s="16"/>
      <c r="E69" s="16"/>
      <c r="F69" s="16"/>
      <c r="G69" s="12"/>
      <c r="H69" s="12"/>
      <c r="I69" s="12"/>
      <c r="J69" s="12"/>
      <c r="K69" s="12"/>
      <c r="L69" s="12"/>
      <c r="M69" s="12"/>
      <c r="N69" s="16"/>
    </row>
    <row r="70" spans="1:14" ht="15.75" customHeight="1" x14ac:dyDescent="0.15">
      <c r="A70" s="16"/>
      <c r="B70" s="43"/>
      <c r="C70" s="43"/>
      <c r="D70" s="16"/>
      <c r="E70" s="16"/>
      <c r="F70" s="16"/>
      <c r="G70" s="12"/>
      <c r="H70" s="12"/>
      <c r="I70" s="12"/>
      <c r="J70" s="12"/>
      <c r="K70" s="12"/>
      <c r="L70" s="12"/>
      <c r="M70" s="12"/>
      <c r="N70" s="16"/>
    </row>
    <row r="71" spans="1:14" ht="15.75" customHeight="1" x14ac:dyDescent="0.15">
      <c r="A71" s="16"/>
      <c r="B71" s="43"/>
      <c r="C71" s="43"/>
      <c r="D71" s="16"/>
      <c r="E71" s="16"/>
      <c r="F71" s="16"/>
      <c r="G71" s="12"/>
      <c r="H71" s="12"/>
      <c r="I71" s="12"/>
      <c r="J71" s="12"/>
      <c r="K71" s="12"/>
      <c r="L71" s="12"/>
      <c r="M71" s="12"/>
      <c r="N71" s="16"/>
    </row>
    <row r="72" spans="1:14" ht="15.75" customHeight="1" x14ac:dyDescent="0.15">
      <c r="A72" s="16"/>
      <c r="B72" s="43"/>
      <c r="C72" s="43"/>
      <c r="D72" s="16"/>
      <c r="E72" s="16"/>
      <c r="F72" s="16"/>
      <c r="G72" s="12"/>
      <c r="H72" s="12"/>
      <c r="I72" s="12"/>
      <c r="J72" s="12"/>
      <c r="K72" s="12"/>
      <c r="L72" s="12"/>
      <c r="M72" s="12"/>
      <c r="N72" s="16"/>
    </row>
    <row r="73" spans="1:14" ht="15.75" customHeight="1" x14ac:dyDescent="0.15">
      <c r="A73" s="16"/>
      <c r="B73" s="43"/>
      <c r="C73" s="43"/>
      <c r="D73" s="16"/>
      <c r="E73" s="16"/>
      <c r="F73" s="16"/>
      <c r="G73" s="12"/>
      <c r="H73" s="12"/>
      <c r="I73" s="12"/>
      <c r="J73" s="12"/>
      <c r="K73" s="12"/>
      <c r="L73" s="12"/>
      <c r="M73" s="12"/>
      <c r="N73" s="16"/>
    </row>
    <row r="74" spans="1:14" ht="15.75" customHeight="1" x14ac:dyDescent="0.15">
      <c r="A74" s="16"/>
      <c r="B74" s="43"/>
      <c r="C74" s="43"/>
      <c r="D74" s="16"/>
      <c r="E74" s="16"/>
      <c r="F74" s="16"/>
      <c r="G74" s="12"/>
      <c r="H74" s="12"/>
      <c r="I74" s="12"/>
      <c r="J74" s="12"/>
      <c r="K74" s="12"/>
      <c r="L74" s="12"/>
      <c r="M74" s="12"/>
      <c r="N74" s="16"/>
    </row>
    <row r="75" spans="1:14" ht="15.75" customHeight="1" x14ac:dyDescent="0.15">
      <c r="A75" s="16"/>
      <c r="B75" s="43"/>
      <c r="C75" s="43"/>
      <c r="D75" s="16"/>
      <c r="E75" s="16"/>
      <c r="F75" s="16"/>
      <c r="G75" s="12"/>
      <c r="H75" s="12"/>
      <c r="I75" s="12"/>
      <c r="J75" s="12"/>
      <c r="K75" s="12"/>
      <c r="L75" s="12"/>
      <c r="M75" s="12"/>
      <c r="N75" s="16"/>
    </row>
    <row r="76" spans="1:14" ht="15.75" customHeight="1" x14ac:dyDescent="0.15">
      <c r="A76" s="16"/>
      <c r="B76" s="43"/>
      <c r="C76" s="43"/>
      <c r="D76" s="16"/>
      <c r="E76" s="16"/>
      <c r="F76" s="16"/>
      <c r="G76" s="12"/>
      <c r="H76" s="12"/>
      <c r="I76" s="12"/>
      <c r="J76" s="12"/>
      <c r="K76" s="12"/>
      <c r="L76" s="12"/>
      <c r="M76" s="12"/>
      <c r="N76" s="16"/>
    </row>
    <row r="77" spans="1:14" ht="15.75" customHeight="1" x14ac:dyDescent="0.15">
      <c r="A77" s="16"/>
      <c r="B77" s="43"/>
      <c r="C77" s="43"/>
      <c r="D77" s="16"/>
      <c r="E77" s="16"/>
      <c r="F77" s="16"/>
      <c r="G77" s="12"/>
      <c r="H77" s="12"/>
      <c r="I77" s="12"/>
      <c r="J77" s="12"/>
      <c r="K77" s="12"/>
      <c r="L77" s="12"/>
      <c r="M77" s="12"/>
      <c r="N77" s="16"/>
    </row>
    <row r="78" spans="1:14" ht="15.75" customHeight="1" x14ac:dyDescent="0.15">
      <c r="A78" s="16"/>
      <c r="B78" s="43"/>
      <c r="C78" s="43"/>
      <c r="D78" s="16"/>
      <c r="E78" s="16"/>
      <c r="F78" s="16"/>
      <c r="G78" s="12"/>
      <c r="H78" s="12"/>
      <c r="I78" s="12"/>
      <c r="J78" s="12"/>
      <c r="K78" s="12"/>
      <c r="L78" s="12"/>
      <c r="M78" s="12"/>
      <c r="N78" s="16"/>
    </row>
    <row r="79" spans="1:14" ht="15.75" customHeight="1" x14ac:dyDescent="0.15">
      <c r="A79" s="16"/>
      <c r="B79" s="43"/>
      <c r="C79" s="43"/>
      <c r="D79" s="16"/>
      <c r="E79" s="16"/>
      <c r="F79" s="16"/>
      <c r="G79" s="12"/>
      <c r="H79" s="12"/>
      <c r="I79" s="12"/>
      <c r="J79" s="12"/>
      <c r="K79" s="12"/>
      <c r="L79" s="12"/>
      <c r="M79" s="12"/>
      <c r="N79" s="16"/>
    </row>
    <row r="80" spans="1:14" ht="15.75" customHeight="1" x14ac:dyDescent="0.15">
      <c r="A80" s="16"/>
      <c r="B80" s="43"/>
      <c r="C80" s="43"/>
      <c r="D80" s="16"/>
      <c r="E80" s="16"/>
      <c r="F80" s="16"/>
      <c r="G80" s="12"/>
      <c r="H80" s="12"/>
      <c r="I80" s="12"/>
      <c r="J80" s="12"/>
      <c r="K80" s="12"/>
      <c r="L80" s="12"/>
      <c r="M80" s="12"/>
      <c r="N80" s="16"/>
    </row>
    <row r="81" spans="1:14" ht="15.75" customHeight="1" x14ac:dyDescent="0.15">
      <c r="A81" s="16"/>
      <c r="B81" s="43"/>
      <c r="C81" s="43"/>
      <c r="D81" s="16"/>
      <c r="E81" s="16"/>
      <c r="F81" s="16"/>
      <c r="G81" s="12"/>
      <c r="H81" s="12"/>
      <c r="I81" s="12"/>
      <c r="J81" s="12"/>
      <c r="K81" s="12"/>
      <c r="L81" s="12"/>
      <c r="M81" s="12"/>
      <c r="N81" s="16"/>
    </row>
    <row r="82" spans="1:14" ht="15.75" customHeight="1" x14ac:dyDescent="0.15">
      <c r="A82" s="16"/>
      <c r="B82" s="43"/>
      <c r="C82" s="43"/>
      <c r="D82" s="16"/>
      <c r="E82" s="16"/>
      <c r="F82" s="16"/>
      <c r="G82" s="12"/>
      <c r="H82" s="12"/>
      <c r="I82" s="12"/>
      <c r="J82" s="12"/>
      <c r="K82" s="12"/>
      <c r="L82" s="12"/>
      <c r="M82" s="12"/>
      <c r="N82" s="16"/>
    </row>
    <row r="83" spans="1:14" ht="15.75" customHeight="1" x14ac:dyDescent="0.15">
      <c r="A83" s="16"/>
      <c r="B83" s="43"/>
      <c r="C83" s="43"/>
      <c r="D83" s="16"/>
      <c r="E83" s="16"/>
      <c r="F83" s="16"/>
      <c r="G83" s="12"/>
      <c r="H83" s="12"/>
      <c r="I83" s="12"/>
      <c r="J83" s="12"/>
      <c r="K83" s="12"/>
      <c r="L83" s="12"/>
      <c r="M83" s="12"/>
      <c r="N83" s="16"/>
    </row>
    <row r="84" spans="1:14" ht="15.75" customHeight="1" x14ac:dyDescent="0.15">
      <c r="A84" s="16"/>
      <c r="B84" s="43"/>
      <c r="C84" s="43"/>
      <c r="D84" s="16"/>
      <c r="E84" s="16"/>
      <c r="F84" s="16"/>
      <c r="G84" s="12"/>
      <c r="H84" s="12"/>
      <c r="I84" s="12"/>
      <c r="J84" s="12"/>
      <c r="K84" s="12"/>
      <c r="L84" s="12"/>
      <c r="M84" s="12"/>
      <c r="N84" s="16"/>
    </row>
    <row r="85" spans="1:14" ht="15.75" customHeight="1" x14ac:dyDescent="0.15">
      <c r="A85" s="16"/>
      <c r="B85" s="43"/>
      <c r="C85" s="43"/>
      <c r="D85" s="16"/>
      <c r="E85" s="16"/>
      <c r="F85" s="16"/>
      <c r="G85" s="12"/>
      <c r="H85" s="12"/>
      <c r="I85" s="12"/>
      <c r="J85" s="12"/>
      <c r="K85" s="12"/>
      <c r="L85" s="12"/>
      <c r="M85" s="12"/>
      <c r="N85" s="16"/>
    </row>
    <row r="86" spans="1:14" ht="15.75" customHeight="1" x14ac:dyDescent="0.15">
      <c r="A86" s="16"/>
      <c r="B86" s="43"/>
      <c r="C86" s="43"/>
      <c r="D86" s="16"/>
      <c r="E86" s="16"/>
      <c r="F86" s="16"/>
      <c r="G86" s="12"/>
      <c r="H86" s="12"/>
      <c r="I86" s="12"/>
      <c r="J86" s="12"/>
      <c r="K86" s="12"/>
      <c r="L86" s="12"/>
      <c r="M86" s="12"/>
      <c r="N86" s="16"/>
    </row>
    <row r="87" spans="1:14" ht="15.75" customHeight="1" x14ac:dyDescent="0.15">
      <c r="A87" s="16"/>
      <c r="B87" s="43"/>
      <c r="C87" s="43"/>
      <c r="D87" s="16"/>
      <c r="E87" s="16"/>
      <c r="F87" s="16"/>
      <c r="G87" s="12"/>
      <c r="H87" s="12"/>
      <c r="I87" s="12"/>
      <c r="J87" s="12"/>
      <c r="K87" s="12"/>
      <c r="L87" s="12"/>
      <c r="M87" s="12"/>
      <c r="N87" s="16"/>
    </row>
    <row r="88" spans="1:14" ht="15.75" customHeight="1" x14ac:dyDescent="0.15">
      <c r="A88" s="16"/>
      <c r="B88" s="43"/>
      <c r="C88" s="43"/>
      <c r="D88" s="16"/>
      <c r="E88" s="16"/>
      <c r="F88" s="16"/>
      <c r="G88" s="12"/>
      <c r="H88" s="12"/>
      <c r="I88" s="12"/>
      <c r="J88" s="12"/>
      <c r="K88" s="12"/>
      <c r="L88" s="12"/>
      <c r="M88" s="12"/>
      <c r="N88" s="16"/>
    </row>
    <row r="89" spans="1:14" ht="15.75" customHeight="1" x14ac:dyDescent="0.15">
      <c r="A89" s="16"/>
      <c r="B89" s="43"/>
      <c r="C89" s="43"/>
      <c r="D89" s="16"/>
      <c r="E89" s="16"/>
      <c r="F89" s="16"/>
      <c r="G89" s="12"/>
      <c r="H89" s="12"/>
      <c r="I89" s="12"/>
      <c r="J89" s="12"/>
      <c r="K89" s="12"/>
      <c r="L89" s="12"/>
      <c r="M89" s="12"/>
      <c r="N89" s="16"/>
    </row>
    <row r="90" spans="1:14" ht="15.75" customHeight="1" x14ac:dyDescent="0.15">
      <c r="A90" s="16"/>
      <c r="B90" s="43"/>
      <c r="C90" s="43"/>
      <c r="D90" s="16"/>
      <c r="E90" s="16"/>
      <c r="F90" s="16"/>
      <c r="G90" s="12"/>
      <c r="H90" s="12"/>
      <c r="I90" s="12"/>
      <c r="J90" s="12"/>
      <c r="K90" s="12"/>
      <c r="L90" s="12"/>
      <c r="M90" s="12"/>
      <c r="N90" s="16"/>
    </row>
    <row r="91" spans="1:14" ht="15.75" customHeight="1" x14ac:dyDescent="0.15">
      <c r="A91" s="16"/>
      <c r="B91" s="43"/>
      <c r="C91" s="43"/>
      <c r="D91" s="16"/>
      <c r="E91" s="16"/>
      <c r="F91" s="16"/>
      <c r="G91" s="12"/>
      <c r="H91" s="12"/>
      <c r="I91" s="12"/>
      <c r="J91" s="12"/>
      <c r="K91" s="12"/>
      <c r="L91" s="12"/>
      <c r="M91" s="12"/>
      <c r="N91" s="16"/>
    </row>
    <row r="92" spans="1:14" ht="15.75" customHeight="1" x14ac:dyDescent="0.15">
      <c r="A92" s="16"/>
      <c r="B92" s="43"/>
      <c r="C92" s="43"/>
      <c r="D92" s="16"/>
      <c r="E92" s="16"/>
      <c r="F92" s="16"/>
      <c r="G92" s="12"/>
      <c r="H92" s="12"/>
      <c r="I92" s="12"/>
      <c r="J92" s="12"/>
      <c r="K92" s="12"/>
      <c r="L92" s="12"/>
      <c r="M92" s="12"/>
      <c r="N92" s="16"/>
    </row>
    <row r="93" spans="1:14" ht="15.75" customHeight="1" x14ac:dyDescent="0.15">
      <c r="A93" s="16"/>
      <c r="B93" s="43"/>
      <c r="C93" s="43"/>
      <c r="D93" s="16"/>
      <c r="E93" s="16"/>
      <c r="F93" s="16"/>
      <c r="G93" s="12"/>
      <c r="H93" s="12"/>
      <c r="I93" s="12"/>
      <c r="J93" s="12"/>
      <c r="K93" s="12"/>
      <c r="L93" s="12"/>
      <c r="M93" s="12"/>
      <c r="N93" s="16"/>
    </row>
    <row r="94" spans="1:14" ht="15.75" customHeight="1" x14ac:dyDescent="0.15">
      <c r="A94" s="16"/>
      <c r="B94" s="43"/>
      <c r="C94" s="43"/>
      <c r="D94" s="16"/>
      <c r="E94" s="16"/>
      <c r="F94" s="16"/>
      <c r="G94" s="12"/>
      <c r="H94" s="12"/>
      <c r="I94" s="12"/>
      <c r="J94" s="12"/>
      <c r="K94" s="12"/>
      <c r="L94" s="12"/>
      <c r="M94" s="12"/>
      <c r="N94" s="16"/>
    </row>
    <row r="95" spans="1:14" ht="15.75" customHeight="1" x14ac:dyDescent="0.15">
      <c r="A95" s="16"/>
      <c r="B95" s="43"/>
      <c r="C95" s="43"/>
      <c r="D95" s="16"/>
      <c r="E95" s="16"/>
      <c r="F95" s="16"/>
      <c r="G95" s="12"/>
      <c r="H95" s="12"/>
      <c r="I95" s="12"/>
      <c r="J95" s="12"/>
      <c r="K95" s="12"/>
      <c r="L95" s="12"/>
      <c r="M95" s="12"/>
      <c r="N95" s="16"/>
    </row>
    <row r="96" spans="1:14" ht="15.75" customHeight="1" x14ac:dyDescent="0.15">
      <c r="A96" s="16"/>
      <c r="B96" s="43"/>
      <c r="C96" s="43"/>
      <c r="D96" s="16"/>
      <c r="E96" s="16"/>
      <c r="F96" s="16"/>
      <c r="G96" s="12"/>
      <c r="H96" s="12"/>
      <c r="I96" s="12"/>
      <c r="J96" s="12"/>
      <c r="K96" s="12"/>
      <c r="L96" s="12"/>
      <c r="M96" s="12"/>
      <c r="N96" s="16"/>
    </row>
    <row r="97" spans="1:14" ht="15.75" customHeight="1" x14ac:dyDescent="0.15">
      <c r="A97" s="16"/>
      <c r="B97" s="43"/>
      <c r="C97" s="43"/>
      <c r="D97" s="16"/>
      <c r="E97" s="16"/>
      <c r="F97" s="16"/>
      <c r="G97" s="12"/>
      <c r="H97" s="12"/>
      <c r="I97" s="12"/>
      <c r="J97" s="12"/>
      <c r="K97" s="12"/>
      <c r="L97" s="12"/>
      <c r="M97" s="12"/>
      <c r="N97" s="16"/>
    </row>
    <row r="98" spans="1:14" ht="15.75" customHeight="1" x14ac:dyDescent="0.15">
      <c r="A98" s="16"/>
      <c r="B98" s="43"/>
      <c r="C98" s="43"/>
      <c r="D98" s="16"/>
      <c r="E98" s="16"/>
      <c r="F98" s="16"/>
      <c r="G98" s="12"/>
      <c r="H98" s="12"/>
      <c r="I98" s="12"/>
      <c r="J98" s="12"/>
      <c r="K98" s="12"/>
      <c r="L98" s="12"/>
      <c r="M98" s="12"/>
      <c r="N98" s="16"/>
    </row>
    <row r="99" spans="1:14" ht="15.75" customHeight="1" x14ac:dyDescent="0.15">
      <c r="A99" s="16"/>
      <c r="B99" s="43"/>
      <c r="C99" s="43"/>
      <c r="D99" s="16"/>
      <c r="E99" s="16"/>
      <c r="F99" s="16"/>
      <c r="G99" s="12"/>
      <c r="H99" s="12"/>
      <c r="I99" s="12"/>
      <c r="J99" s="12"/>
      <c r="K99" s="12"/>
      <c r="L99" s="12"/>
      <c r="M99" s="12"/>
      <c r="N99" s="16"/>
    </row>
    <row r="100" spans="1:14" ht="15.75" customHeight="1" x14ac:dyDescent="0.15">
      <c r="A100" s="16"/>
      <c r="B100" s="43"/>
      <c r="C100" s="43"/>
      <c r="D100" s="16"/>
      <c r="E100" s="16"/>
      <c r="F100" s="16"/>
      <c r="G100" s="12"/>
      <c r="H100" s="12"/>
      <c r="I100" s="12"/>
      <c r="J100" s="12"/>
      <c r="K100" s="12"/>
      <c r="L100" s="12"/>
      <c r="M100" s="12"/>
      <c r="N100" s="16"/>
    </row>
    <row r="101" spans="1:14" ht="15.75" customHeight="1" x14ac:dyDescent="0.15">
      <c r="A101" s="16"/>
      <c r="B101" s="43"/>
      <c r="C101" s="43"/>
      <c r="D101" s="16"/>
      <c r="E101" s="16"/>
      <c r="F101" s="16"/>
      <c r="G101" s="12"/>
      <c r="H101" s="12"/>
      <c r="I101" s="12"/>
      <c r="J101" s="12"/>
      <c r="K101" s="12"/>
      <c r="L101" s="12"/>
      <c r="M101" s="12"/>
      <c r="N101" s="16"/>
    </row>
    <row r="102" spans="1:14" ht="15.75" customHeight="1" x14ac:dyDescent="0.15">
      <c r="A102" s="16"/>
      <c r="B102" s="43"/>
      <c r="C102" s="43"/>
      <c r="D102" s="16"/>
      <c r="E102" s="16"/>
      <c r="F102" s="16"/>
      <c r="G102" s="12"/>
      <c r="H102" s="12"/>
      <c r="I102" s="12"/>
      <c r="J102" s="12"/>
      <c r="K102" s="12"/>
      <c r="L102" s="12"/>
      <c r="M102" s="12"/>
      <c r="N102" s="16"/>
    </row>
    <row r="103" spans="1:14" ht="15.75" customHeight="1" x14ac:dyDescent="0.15">
      <c r="A103" s="16"/>
      <c r="B103" s="43"/>
      <c r="C103" s="43"/>
      <c r="D103" s="16"/>
      <c r="E103" s="16"/>
      <c r="F103" s="16"/>
      <c r="G103" s="12"/>
      <c r="H103" s="12"/>
      <c r="I103" s="12"/>
      <c r="J103" s="12"/>
      <c r="K103" s="12"/>
      <c r="L103" s="12"/>
      <c r="M103" s="12"/>
      <c r="N103" s="16"/>
    </row>
    <row r="104" spans="1:14" ht="15.75" customHeight="1" x14ac:dyDescent="0.15">
      <c r="A104" s="16"/>
      <c r="B104" s="43"/>
      <c r="C104" s="43"/>
      <c r="D104" s="16"/>
      <c r="E104" s="16"/>
      <c r="F104" s="16"/>
      <c r="G104" s="12"/>
      <c r="H104" s="12"/>
      <c r="I104" s="12"/>
      <c r="J104" s="12"/>
      <c r="K104" s="12"/>
      <c r="L104" s="12"/>
      <c r="M104" s="12"/>
      <c r="N104" s="16"/>
    </row>
    <row r="105" spans="1:14" ht="15.75" customHeight="1" x14ac:dyDescent="0.15">
      <c r="A105" s="16"/>
      <c r="B105" s="43"/>
      <c r="C105" s="43"/>
      <c r="D105" s="16"/>
      <c r="E105" s="16"/>
      <c r="F105" s="16"/>
      <c r="G105" s="12"/>
      <c r="H105" s="12"/>
      <c r="I105" s="12"/>
      <c r="J105" s="12"/>
      <c r="K105" s="12"/>
      <c r="L105" s="12"/>
      <c r="M105" s="12"/>
      <c r="N105" s="16"/>
    </row>
    <row r="106" spans="1:14" ht="15.75" customHeight="1" x14ac:dyDescent="0.15">
      <c r="A106" s="16"/>
      <c r="B106" s="43"/>
      <c r="C106" s="43"/>
      <c r="D106" s="16"/>
      <c r="E106" s="16"/>
      <c r="F106" s="16"/>
      <c r="G106" s="12"/>
      <c r="H106" s="12"/>
      <c r="I106" s="12"/>
      <c r="J106" s="12"/>
      <c r="K106" s="12"/>
      <c r="L106" s="12"/>
      <c r="M106" s="12"/>
      <c r="N106" s="16"/>
    </row>
    <row r="107" spans="1:14" ht="15.75" customHeight="1" x14ac:dyDescent="0.15">
      <c r="A107" s="16"/>
      <c r="B107" s="43"/>
      <c r="C107" s="43"/>
      <c r="D107" s="16"/>
      <c r="E107" s="16"/>
      <c r="F107" s="16"/>
      <c r="G107" s="12"/>
      <c r="H107" s="12"/>
      <c r="I107" s="12"/>
      <c r="J107" s="12"/>
      <c r="K107" s="12"/>
      <c r="L107" s="12"/>
      <c r="M107" s="12"/>
      <c r="N107" s="16"/>
    </row>
    <row r="108" spans="1:14" ht="15.75" customHeight="1" x14ac:dyDescent="0.15">
      <c r="A108" s="16"/>
      <c r="B108" s="43"/>
      <c r="C108" s="43"/>
      <c r="D108" s="16"/>
      <c r="E108" s="16"/>
      <c r="F108" s="16"/>
      <c r="G108" s="12"/>
      <c r="H108" s="12"/>
      <c r="I108" s="12"/>
      <c r="J108" s="12"/>
      <c r="K108" s="12"/>
      <c r="L108" s="12"/>
      <c r="M108" s="12"/>
      <c r="N108" s="16"/>
    </row>
    <row r="109" spans="1:14" ht="15.75" customHeight="1" x14ac:dyDescent="0.15">
      <c r="A109" s="16"/>
      <c r="B109" s="43"/>
      <c r="C109" s="43"/>
      <c r="D109" s="16"/>
      <c r="E109" s="16"/>
      <c r="F109" s="16"/>
      <c r="G109" s="12"/>
      <c r="H109" s="12"/>
      <c r="I109" s="12"/>
      <c r="J109" s="12"/>
      <c r="K109" s="12"/>
      <c r="L109" s="12"/>
      <c r="M109" s="12"/>
      <c r="N109" s="16"/>
    </row>
    <row r="110" spans="1:14" ht="15.75" customHeight="1" x14ac:dyDescent="0.15">
      <c r="A110" s="16"/>
      <c r="B110" s="43"/>
      <c r="C110" s="43"/>
      <c r="D110" s="16"/>
      <c r="E110" s="16"/>
      <c r="F110" s="16"/>
      <c r="G110" s="12"/>
      <c r="H110" s="12"/>
      <c r="I110" s="12"/>
      <c r="J110" s="12"/>
      <c r="K110" s="12"/>
      <c r="L110" s="12"/>
      <c r="M110" s="12"/>
      <c r="N110" s="16"/>
    </row>
    <row r="111" spans="1:14" ht="15.75" customHeight="1" x14ac:dyDescent="0.15">
      <c r="A111" s="16"/>
      <c r="B111" s="43"/>
      <c r="C111" s="43"/>
      <c r="D111" s="16"/>
      <c r="E111" s="16"/>
      <c r="F111" s="16"/>
      <c r="G111" s="12"/>
      <c r="H111" s="12"/>
      <c r="I111" s="12"/>
      <c r="J111" s="12"/>
      <c r="K111" s="12"/>
      <c r="L111" s="12"/>
      <c r="M111" s="12"/>
      <c r="N111" s="16"/>
    </row>
    <row r="112" spans="1:14" ht="15.75" customHeight="1" x14ac:dyDescent="0.15">
      <c r="A112" s="16"/>
      <c r="B112" s="43"/>
      <c r="C112" s="43"/>
      <c r="D112" s="16"/>
      <c r="E112" s="16"/>
      <c r="F112" s="16"/>
      <c r="G112" s="12"/>
      <c r="H112" s="12"/>
      <c r="I112" s="12"/>
      <c r="J112" s="12"/>
      <c r="K112" s="12"/>
      <c r="L112" s="12"/>
      <c r="M112" s="12"/>
      <c r="N112" s="16"/>
    </row>
    <row r="113" spans="1:14" ht="15.75" customHeight="1" x14ac:dyDescent="0.15">
      <c r="A113" s="16"/>
      <c r="B113" s="43"/>
      <c r="C113" s="43"/>
      <c r="D113" s="16"/>
      <c r="E113" s="16"/>
      <c r="F113" s="16"/>
      <c r="G113" s="12"/>
      <c r="H113" s="12"/>
      <c r="I113" s="12"/>
      <c r="J113" s="12"/>
      <c r="K113" s="12"/>
      <c r="L113" s="12"/>
      <c r="M113" s="12"/>
      <c r="N113" s="16"/>
    </row>
    <row r="114" spans="1:14" ht="15.75" customHeight="1" x14ac:dyDescent="0.15">
      <c r="A114" s="16"/>
      <c r="B114" s="43"/>
      <c r="C114" s="43"/>
      <c r="D114" s="16"/>
      <c r="E114" s="16"/>
      <c r="F114" s="16"/>
      <c r="G114" s="12"/>
      <c r="H114" s="12"/>
      <c r="I114" s="12"/>
      <c r="J114" s="12"/>
      <c r="K114" s="12"/>
      <c r="L114" s="12"/>
      <c r="M114" s="12"/>
      <c r="N114" s="16"/>
    </row>
    <row r="115" spans="1:14" ht="15.75" customHeight="1" x14ac:dyDescent="0.15">
      <c r="A115" s="16"/>
      <c r="B115" s="43"/>
      <c r="C115" s="43"/>
      <c r="D115" s="16"/>
      <c r="E115" s="16"/>
      <c r="F115" s="16"/>
      <c r="G115" s="12"/>
      <c r="H115" s="12"/>
      <c r="I115" s="12"/>
      <c r="J115" s="12"/>
      <c r="K115" s="12"/>
      <c r="L115" s="12"/>
      <c r="M115" s="12"/>
      <c r="N115" s="16"/>
    </row>
    <row r="116" spans="1:14" ht="15.75" customHeight="1" x14ac:dyDescent="0.15">
      <c r="A116" s="16"/>
      <c r="B116" s="43"/>
      <c r="C116" s="43"/>
      <c r="D116" s="16"/>
      <c r="E116" s="16"/>
      <c r="F116" s="16"/>
      <c r="G116" s="12"/>
      <c r="H116" s="12"/>
      <c r="I116" s="12"/>
      <c r="J116" s="12"/>
      <c r="K116" s="12"/>
      <c r="L116" s="12"/>
      <c r="M116" s="12"/>
      <c r="N116" s="16"/>
    </row>
    <row r="117" spans="1:14" ht="15.75" customHeight="1" x14ac:dyDescent="0.15">
      <c r="A117" s="16"/>
      <c r="B117" s="43"/>
      <c r="C117" s="43"/>
      <c r="D117" s="16"/>
      <c r="E117" s="16"/>
      <c r="F117" s="16"/>
      <c r="G117" s="12"/>
      <c r="H117" s="12"/>
      <c r="I117" s="12"/>
      <c r="J117" s="12"/>
      <c r="K117" s="12"/>
      <c r="L117" s="12"/>
      <c r="M117" s="12"/>
      <c r="N117" s="16"/>
    </row>
    <row r="118" spans="1:14" ht="15.75" customHeight="1" x14ac:dyDescent="0.15">
      <c r="A118" s="16"/>
      <c r="B118" s="43"/>
      <c r="C118" s="43"/>
      <c r="D118" s="16"/>
      <c r="E118" s="16"/>
      <c r="F118" s="16"/>
      <c r="G118" s="12"/>
      <c r="H118" s="12"/>
      <c r="I118" s="12"/>
      <c r="J118" s="12"/>
      <c r="K118" s="12"/>
      <c r="L118" s="12"/>
      <c r="M118" s="12"/>
      <c r="N118" s="16"/>
    </row>
    <row r="119" spans="1:14" ht="15.75" customHeight="1" x14ac:dyDescent="0.15">
      <c r="A119" s="16"/>
      <c r="B119" s="43"/>
      <c r="C119" s="43"/>
      <c r="D119" s="16"/>
      <c r="E119" s="16"/>
      <c r="F119" s="16"/>
      <c r="G119" s="12"/>
      <c r="H119" s="12"/>
      <c r="I119" s="12"/>
      <c r="J119" s="12"/>
      <c r="K119" s="12"/>
      <c r="L119" s="12"/>
      <c r="M119" s="12"/>
      <c r="N119" s="16"/>
    </row>
    <row r="120" spans="1:14" ht="15.75" customHeight="1" x14ac:dyDescent="0.15">
      <c r="A120" s="16"/>
      <c r="B120" s="43"/>
      <c r="C120" s="43"/>
      <c r="D120" s="16"/>
      <c r="E120" s="16"/>
      <c r="F120" s="16"/>
      <c r="G120" s="12"/>
      <c r="H120" s="12"/>
      <c r="I120" s="12"/>
      <c r="J120" s="12"/>
      <c r="K120" s="12"/>
      <c r="L120" s="12"/>
      <c r="M120" s="12"/>
      <c r="N120" s="16"/>
    </row>
    <row r="121" spans="1:14" ht="15.75" customHeight="1" x14ac:dyDescent="0.15">
      <c r="A121" s="16"/>
      <c r="B121" s="43"/>
      <c r="C121" s="43"/>
      <c r="D121" s="16"/>
      <c r="E121" s="16"/>
      <c r="F121" s="16"/>
      <c r="G121" s="12"/>
      <c r="H121" s="12"/>
      <c r="I121" s="12"/>
      <c r="J121" s="12"/>
      <c r="K121" s="12"/>
      <c r="L121" s="12"/>
      <c r="M121" s="12"/>
      <c r="N121" s="16"/>
    </row>
    <row r="122" spans="1:14" ht="15.75" customHeight="1" x14ac:dyDescent="0.15">
      <c r="A122" s="16"/>
      <c r="B122" s="43"/>
      <c r="C122" s="43"/>
      <c r="D122" s="16"/>
      <c r="E122" s="16"/>
      <c r="F122" s="16"/>
      <c r="G122" s="12"/>
      <c r="H122" s="12"/>
      <c r="I122" s="12"/>
      <c r="J122" s="12"/>
      <c r="K122" s="12"/>
      <c r="L122" s="12"/>
      <c r="M122" s="12"/>
      <c r="N122" s="16"/>
    </row>
    <row r="123" spans="1:14" ht="15.75" customHeight="1" x14ac:dyDescent="0.15">
      <c r="A123" s="16"/>
      <c r="B123" s="43"/>
      <c r="C123" s="43"/>
      <c r="D123" s="16"/>
      <c r="E123" s="16"/>
      <c r="F123" s="16"/>
      <c r="G123" s="12"/>
      <c r="H123" s="12"/>
      <c r="I123" s="12"/>
      <c r="J123" s="12"/>
      <c r="K123" s="12"/>
      <c r="L123" s="12"/>
      <c r="M123" s="12"/>
      <c r="N123" s="16"/>
    </row>
    <row r="124" spans="1:14" ht="15.75" customHeight="1" x14ac:dyDescent="0.15">
      <c r="A124" s="16"/>
      <c r="B124" s="43"/>
      <c r="C124" s="43"/>
      <c r="D124" s="16"/>
      <c r="E124" s="16"/>
      <c r="F124" s="16"/>
      <c r="G124" s="12"/>
      <c r="H124" s="12"/>
      <c r="I124" s="12"/>
      <c r="J124" s="12"/>
      <c r="K124" s="12"/>
      <c r="L124" s="12"/>
      <c r="M124" s="12"/>
      <c r="N124" s="16"/>
    </row>
    <row r="125" spans="1:14" ht="15.75" customHeight="1" x14ac:dyDescent="0.15">
      <c r="A125" s="16"/>
      <c r="B125" s="43"/>
      <c r="C125" s="43"/>
      <c r="D125" s="16"/>
      <c r="E125" s="16"/>
      <c r="F125" s="16"/>
      <c r="G125" s="12"/>
      <c r="H125" s="12"/>
      <c r="I125" s="12"/>
      <c r="J125" s="12"/>
      <c r="K125" s="12"/>
      <c r="L125" s="12"/>
      <c r="M125" s="12"/>
      <c r="N125" s="16"/>
    </row>
    <row r="126" spans="1:14" ht="15.75" customHeight="1" x14ac:dyDescent="0.15">
      <c r="A126" s="16"/>
      <c r="B126" s="43"/>
      <c r="C126" s="43"/>
      <c r="D126" s="16"/>
      <c r="E126" s="16"/>
      <c r="F126" s="16"/>
      <c r="G126" s="12"/>
      <c r="H126" s="12"/>
      <c r="I126" s="12"/>
      <c r="J126" s="12"/>
      <c r="K126" s="12"/>
      <c r="L126" s="12"/>
      <c r="M126" s="12"/>
      <c r="N126" s="16"/>
    </row>
    <row r="127" spans="1:14" ht="15.75" customHeight="1" x14ac:dyDescent="0.15">
      <c r="A127" s="16"/>
      <c r="B127" s="43"/>
      <c r="C127" s="43"/>
      <c r="D127" s="16"/>
      <c r="E127" s="16"/>
      <c r="F127" s="16"/>
      <c r="G127" s="12"/>
      <c r="H127" s="12"/>
      <c r="I127" s="12"/>
      <c r="J127" s="12"/>
      <c r="K127" s="12"/>
      <c r="L127" s="12"/>
      <c r="M127" s="12"/>
      <c r="N127" s="16"/>
    </row>
    <row r="128" spans="1:14" ht="15.75" customHeight="1" x14ac:dyDescent="0.15">
      <c r="A128" s="16"/>
      <c r="B128" s="43"/>
      <c r="C128" s="43"/>
      <c r="D128" s="16"/>
      <c r="E128" s="16"/>
      <c r="F128" s="16"/>
      <c r="G128" s="12"/>
      <c r="H128" s="12"/>
      <c r="I128" s="12"/>
      <c r="J128" s="12"/>
      <c r="K128" s="12"/>
      <c r="L128" s="12"/>
      <c r="M128" s="12"/>
      <c r="N128" s="16"/>
    </row>
    <row r="129" spans="1:14" ht="15.75" customHeight="1" x14ac:dyDescent="0.15">
      <c r="A129" s="16"/>
      <c r="B129" s="43"/>
      <c r="C129" s="43"/>
      <c r="D129" s="16"/>
      <c r="E129" s="16"/>
      <c r="F129" s="16"/>
      <c r="G129" s="12"/>
      <c r="H129" s="12"/>
      <c r="I129" s="12"/>
      <c r="J129" s="12"/>
      <c r="K129" s="12"/>
      <c r="L129" s="12"/>
      <c r="M129" s="12"/>
      <c r="N129" s="16"/>
    </row>
    <row r="130" spans="1:14" ht="15.75" customHeight="1" x14ac:dyDescent="0.15">
      <c r="A130" s="16"/>
      <c r="B130" s="43"/>
      <c r="C130" s="43"/>
      <c r="D130" s="16"/>
      <c r="E130" s="16"/>
      <c r="F130" s="16"/>
      <c r="G130" s="12"/>
      <c r="H130" s="12"/>
      <c r="I130" s="12"/>
      <c r="J130" s="12"/>
      <c r="K130" s="12"/>
      <c r="L130" s="12"/>
      <c r="M130" s="12"/>
      <c r="N130" s="16"/>
    </row>
    <row r="131" spans="1:14" ht="15.75" customHeight="1" x14ac:dyDescent="0.15">
      <c r="A131" s="16"/>
      <c r="B131" s="43"/>
      <c r="C131" s="43"/>
      <c r="D131" s="16"/>
      <c r="E131" s="16"/>
      <c r="F131" s="16"/>
      <c r="G131" s="12"/>
      <c r="H131" s="12"/>
      <c r="I131" s="12"/>
      <c r="J131" s="12"/>
      <c r="K131" s="12"/>
      <c r="L131" s="12"/>
      <c r="M131" s="12"/>
      <c r="N131" s="16"/>
    </row>
    <row r="132" spans="1:14" ht="15.75" customHeight="1" x14ac:dyDescent="0.15">
      <c r="A132" s="16"/>
      <c r="B132" s="43"/>
      <c r="C132" s="43"/>
      <c r="D132" s="16"/>
      <c r="E132" s="16"/>
      <c r="F132" s="16"/>
      <c r="G132" s="12"/>
      <c r="H132" s="12"/>
      <c r="I132" s="12"/>
      <c r="J132" s="12"/>
      <c r="K132" s="12"/>
      <c r="L132" s="12"/>
      <c r="M132" s="12"/>
      <c r="N132" s="16"/>
    </row>
    <row r="133" spans="1:14" ht="15.75" customHeight="1" x14ac:dyDescent="0.15">
      <c r="A133" s="16"/>
      <c r="B133" s="43"/>
      <c r="C133" s="43"/>
      <c r="D133" s="16"/>
      <c r="E133" s="16"/>
      <c r="F133" s="16"/>
      <c r="G133" s="12"/>
      <c r="H133" s="12"/>
      <c r="I133" s="12"/>
      <c r="J133" s="12"/>
      <c r="K133" s="12"/>
      <c r="L133" s="12"/>
      <c r="M133" s="12"/>
      <c r="N133" s="16"/>
    </row>
    <row r="134" spans="1:14" ht="15.75" customHeight="1" x14ac:dyDescent="0.15">
      <c r="A134" s="16"/>
      <c r="B134" s="43"/>
      <c r="C134" s="43"/>
      <c r="D134" s="16"/>
      <c r="E134" s="16"/>
      <c r="F134" s="16"/>
      <c r="G134" s="12"/>
      <c r="H134" s="12"/>
      <c r="I134" s="12"/>
      <c r="J134" s="12"/>
      <c r="K134" s="12"/>
      <c r="L134" s="12"/>
      <c r="M134" s="12"/>
      <c r="N134" s="16"/>
    </row>
    <row r="135" spans="1:14" ht="15.75" customHeight="1" x14ac:dyDescent="0.15">
      <c r="A135" s="16"/>
      <c r="B135" s="43"/>
      <c r="C135" s="43"/>
      <c r="D135" s="16"/>
      <c r="E135" s="16"/>
      <c r="F135" s="16"/>
      <c r="G135" s="12"/>
      <c r="H135" s="12"/>
      <c r="I135" s="12"/>
      <c r="J135" s="12"/>
      <c r="K135" s="12"/>
      <c r="L135" s="12"/>
      <c r="M135" s="12"/>
      <c r="N135" s="16"/>
    </row>
    <row r="136" spans="1:14" ht="15.75" customHeight="1" x14ac:dyDescent="0.15">
      <c r="A136" s="16"/>
      <c r="B136" s="43"/>
      <c r="C136" s="43"/>
      <c r="D136" s="16"/>
      <c r="E136" s="16"/>
      <c r="F136" s="16"/>
      <c r="G136" s="12"/>
      <c r="H136" s="12"/>
      <c r="I136" s="12"/>
      <c r="J136" s="12"/>
      <c r="K136" s="12"/>
      <c r="L136" s="12"/>
      <c r="M136" s="12"/>
      <c r="N136" s="16"/>
    </row>
    <row r="137" spans="1:14" ht="15.75" customHeight="1" x14ac:dyDescent="0.15">
      <c r="A137" s="16"/>
      <c r="B137" s="43"/>
      <c r="C137" s="43"/>
      <c r="D137" s="16"/>
      <c r="E137" s="16"/>
      <c r="F137" s="16"/>
      <c r="G137" s="12"/>
      <c r="H137" s="12"/>
      <c r="I137" s="12"/>
      <c r="J137" s="12"/>
      <c r="K137" s="12"/>
      <c r="L137" s="12"/>
      <c r="M137" s="12"/>
      <c r="N137" s="16"/>
    </row>
    <row r="138" spans="1:14" ht="15.75" customHeight="1" x14ac:dyDescent="0.15">
      <c r="A138" s="16"/>
      <c r="B138" s="43"/>
      <c r="C138" s="43"/>
      <c r="D138" s="16"/>
      <c r="E138" s="16"/>
      <c r="F138" s="16"/>
      <c r="G138" s="12"/>
      <c r="H138" s="12"/>
      <c r="I138" s="12"/>
      <c r="J138" s="12"/>
      <c r="K138" s="12"/>
      <c r="L138" s="12"/>
      <c r="M138" s="12"/>
      <c r="N138" s="16"/>
    </row>
    <row r="139" spans="1:14" ht="15.75" customHeight="1" x14ac:dyDescent="0.15">
      <c r="A139" s="16"/>
      <c r="B139" s="43"/>
      <c r="C139" s="43"/>
      <c r="D139" s="16"/>
      <c r="E139" s="16"/>
      <c r="F139" s="16"/>
      <c r="G139" s="12"/>
      <c r="H139" s="12"/>
      <c r="I139" s="12"/>
      <c r="J139" s="12"/>
      <c r="K139" s="12"/>
      <c r="L139" s="12"/>
      <c r="M139" s="12"/>
      <c r="N139" s="16"/>
    </row>
    <row r="140" spans="1:14" ht="15.75" customHeight="1" x14ac:dyDescent="0.15">
      <c r="A140" s="16"/>
      <c r="B140" s="43"/>
      <c r="C140" s="43"/>
      <c r="D140" s="16"/>
      <c r="E140" s="16"/>
      <c r="F140" s="16"/>
      <c r="G140" s="12"/>
      <c r="H140" s="12"/>
      <c r="I140" s="12"/>
      <c r="J140" s="12"/>
      <c r="K140" s="12"/>
      <c r="L140" s="12"/>
      <c r="M140" s="12"/>
      <c r="N140" s="16"/>
    </row>
    <row r="141" spans="1:14" ht="15.75" customHeight="1" x14ac:dyDescent="0.15">
      <c r="A141" s="16"/>
      <c r="B141" s="43"/>
      <c r="C141" s="43"/>
      <c r="D141" s="16"/>
      <c r="E141" s="16"/>
      <c r="F141" s="16"/>
      <c r="G141" s="12"/>
      <c r="H141" s="12"/>
      <c r="I141" s="12"/>
      <c r="J141" s="12"/>
      <c r="K141" s="12"/>
      <c r="L141" s="12"/>
      <c r="M141" s="12"/>
      <c r="N141" s="16"/>
    </row>
    <row r="142" spans="1:14" ht="15.75" customHeight="1" x14ac:dyDescent="0.15">
      <c r="A142" s="16"/>
      <c r="B142" s="43"/>
      <c r="C142" s="43"/>
      <c r="D142" s="16"/>
      <c r="E142" s="16"/>
      <c r="F142" s="16"/>
      <c r="G142" s="12"/>
      <c r="H142" s="12"/>
      <c r="I142" s="12"/>
      <c r="J142" s="12"/>
      <c r="K142" s="12"/>
      <c r="L142" s="12"/>
      <c r="M142" s="12"/>
      <c r="N142" s="16"/>
    </row>
    <row r="143" spans="1:14" ht="15.75" customHeight="1" x14ac:dyDescent="0.15">
      <c r="A143" s="16"/>
      <c r="B143" s="43"/>
      <c r="C143" s="43"/>
      <c r="D143" s="16"/>
      <c r="E143" s="16"/>
      <c r="F143" s="16"/>
      <c r="G143" s="12"/>
      <c r="H143" s="12"/>
      <c r="I143" s="12"/>
      <c r="J143" s="12"/>
      <c r="K143" s="12"/>
      <c r="L143" s="12"/>
      <c r="M143" s="12"/>
      <c r="N143" s="16"/>
    </row>
    <row r="144" spans="1:14" ht="15.75" customHeight="1" x14ac:dyDescent="0.15">
      <c r="A144" s="16"/>
      <c r="B144" s="43"/>
      <c r="C144" s="43"/>
      <c r="D144" s="16"/>
      <c r="E144" s="16"/>
      <c r="F144" s="16"/>
      <c r="G144" s="12"/>
      <c r="H144" s="12"/>
      <c r="I144" s="12"/>
      <c r="J144" s="12"/>
      <c r="K144" s="12"/>
      <c r="L144" s="12"/>
      <c r="M144" s="12"/>
      <c r="N144" s="16"/>
    </row>
    <row r="145" spans="1:14" ht="15.75" customHeight="1" x14ac:dyDescent="0.15">
      <c r="A145" s="16"/>
      <c r="B145" s="43"/>
      <c r="C145" s="43"/>
      <c r="D145" s="16"/>
      <c r="E145" s="16"/>
      <c r="F145" s="16"/>
      <c r="G145" s="12"/>
      <c r="H145" s="12"/>
      <c r="I145" s="12"/>
      <c r="J145" s="12"/>
      <c r="K145" s="12"/>
      <c r="L145" s="12"/>
      <c r="M145" s="12"/>
      <c r="N145" s="16"/>
    </row>
    <row r="146" spans="1:14" ht="15.75" customHeight="1" x14ac:dyDescent="0.15">
      <c r="A146" s="16"/>
      <c r="B146" s="43"/>
      <c r="C146" s="43"/>
      <c r="D146" s="16"/>
      <c r="E146" s="16"/>
      <c r="F146" s="16"/>
      <c r="G146" s="12"/>
      <c r="H146" s="12"/>
      <c r="I146" s="12"/>
      <c r="J146" s="12"/>
      <c r="K146" s="12"/>
      <c r="L146" s="12"/>
      <c r="M146" s="12"/>
      <c r="N146" s="16"/>
    </row>
    <row r="147" spans="1:14" ht="15.75" customHeight="1" x14ac:dyDescent="0.15">
      <c r="A147" s="16"/>
      <c r="B147" s="43"/>
      <c r="C147" s="43"/>
      <c r="D147" s="16"/>
      <c r="E147" s="16"/>
      <c r="F147" s="16"/>
      <c r="G147" s="12"/>
      <c r="H147" s="12"/>
      <c r="I147" s="12"/>
      <c r="J147" s="12"/>
      <c r="K147" s="12"/>
      <c r="L147" s="12"/>
      <c r="M147" s="12"/>
      <c r="N147" s="16"/>
    </row>
    <row r="148" spans="1:14" ht="15.75" customHeight="1" x14ac:dyDescent="0.15">
      <c r="A148" s="16"/>
      <c r="B148" s="43"/>
      <c r="C148" s="43"/>
      <c r="D148" s="16"/>
      <c r="E148" s="16"/>
      <c r="F148" s="16"/>
      <c r="G148" s="12"/>
      <c r="H148" s="12"/>
      <c r="I148" s="12"/>
      <c r="J148" s="12"/>
      <c r="K148" s="12"/>
      <c r="L148" s="12"/>
      <c r="M148" s="12"/>
      <c r="N148" s="16"/>
    </row>
    <row r="149" spans="1:14" ht="15.75" customHeight="1" x14ac:dyDescent="0.15">
      <c r="A149" s="16"/>
      <c r="B149" s="43"/>
      <c r="C149" s="43"/>
      <c r="D149" s="16"/>
      <c r="E149" s="16"/>
      <c r="F149" s="16"/>
      <c r="G149" s="12"/>
      <c r="H149" s="12"/>
      <c r="I149" s="12"/>
      <c r="J149" s="12"/>
      <c r="K149" s="12"/>
      <c r="L149" s="12"/>
      <c r="M149" s="12"/>
      <c r="N149" s="16"/>
    </row>
    <row r="150" spans="1:14" ht="15.75" customHeight="1" x14ac:dyDescent="0.15">
      <c r="A150" s="16"/>
      <c r="B150" s="43"/>
      <c r="C150" s="43"/>
      <c r="D150" s="16"/>
      <c r="E150" s="16"/>
      <c r="F150" s="16"/>
      <c r="G150" s="12"/>
      <c r="H150" s="12"/>
      <c r="I150" s="12"/>
      <c r="J150" s="12"/>
      <c r="K150" s="12"/>
      <c r="L150" s="12"/>
      <c r="M150" s="12"/>
      <c r="N150" s="16"/>
    </row>
    <row r="151" spans="1:14" ht="15.75" customHeight="1" x14ac:dyDescent="0.15">
      <c r="A151" s="16"/>
      <c r="B151" s="43"/>
      <c r="C151" s="43"/>
      <c r="D151" s="16"/>
      <c r="E151" s="16"/>
      <c r="F151" s="16"/>
      <c r="G151" s="12"/>
      <c r="H151" s="12"/>
      <c r="I151" s="12"/>
      <c r="J151" s="12"/>
      <c r="K151" s="12"/>
      <c r="L151" s="12"/>
      <c r="M151" s="12"/>
      <c r="N151" s="16"/>
    </row>
    <row r="152" spans="1:14" ht="15.75" customHeight="1" x14ac:dyDescent="0.15">
      <c r="A152" s="16"/>
      <c r="B152" s="43"/>
      <c r="C152" s="43"/>
      <c r="D152" s="16"/>
      <c r="E152" s="16"/>
      <c r="F152" s="16"/>
      <c r="G152" s="12"/>
      <c r="H152" s="12"/>
      <c r="I152" s="12"/>
      <c r="J152" s="12"/>
      <c r="K152" s="12"/>
      <c r="L152" s="12"/>
      <c r="M152" s="12"/>
      <c r="N152" s="16"/>
    </row>
    <row r="153" spans="1:14" ht="15.75" customHeight="1" x14ac:dyDescent="0.15">
      <c r="A153" s="16"/>
      <c r="B153" s="43"/>
      <c r="C153" s="43"/>
      <c r="D153" s="16"/>
      <c r="E153" s="16"/>
      <c r="F153" s="16"/>
      <c r="G153" s="12"/>
      <c r="H153" s="12"/>
      <c r="I153" s="12"/>
      <c r="J153" s="12"/>
      <c r="K153" s="12"/>
      <c r="L153" s="12"/>
      <c r="M153" s="12"/>
      <c r="N153" s="16"/>
    </row>
    <row r="154" spans="1:14" ht="15.75" customHeight="1" x14ac:dyDescent="0.15">
      <c r="A154" s="16"/>
      <c r="B154" s="43"/>
      <c r="C154" s="43"/>
      <c r="D154" s="16"/>
      <c r="E154" s="16"/>
      <c r="F154" s="16"/>
      <c r="G154" s="12"/>
      <c r="H154" s="12"/>
      <c r="I154" s="12"/>
      <c r="J154" s="12"/>
      <c r="K154" s="12"/>
      <c r="L154" s="12"/>
      <c r="M154" s="12"/>
      <c r="N154" s="16"/>
    </row>
    <row r="155" spans="1:14" ht="15.75" customHeight="1" x14ac:dyDescent="0.15">
      <c r="A155" s="16"/>
      <c r="B155" s="43"/>
      <c r="C155" s="43"/>
      <c r="D155" s="16"/>
      <c r="E155" s="16"/>
      <c r="F155" s="16"/>
      <c r="G155" s="12"/>
      <c r="H155" s="12"/>
      <c r="I155" s="12"/>
      <c r="J155" s="12"/>
      <c r="K155" s="12"/>
      <c r="L155" s="12"/>
      <c r="M155" s="12"/>
      <c r="N155" s="16"/>
    </row>
    <row r="156" spans="1:14" ht="15.75" customHeight="1" x14ac:dyDescent="0.15">
      <c r="A156" s="16"/>
      <c r="B156" s="43"/>
      <c r="C156" s="43"/>
      <c r="D156" s="16"/>
      <c r="E156" s="16"/>
      <c r="F156" s="16"/>
      <c r="G156" s="12"/>
      <c r="H156" s="12"/>
      <c r="I156" s="12"/>
      <c r="J156" s="12"/>
      <c r="K156" s="12"/>
      <c r="L156" s="12"/>
      <c r="M156" s="12"/>
      <c r="N156" s="16"/>
    </row>
    <row r="157" spans="1:14" ht="15.75" customHeight="1" x14ac:dyDescent="0.15">
      <c r="A157" s="16"/>
      <c r="B157" s="43"/>
      <c r="C157" s="43"/>
      <c r="D157" s="16"/>
      <c r="E157" s="16"/>
      <c r="F157" s="16"/>
      <c r="G157" s="12"/>
      <c r="H157" s="12"/>
      <c r="I157" s="12"/>
      <c r="J157" s="12"/>
      <c r="K157" s="12"/>
      <c r="L157" s="12"/>
      <c r="M157" s="12"/>
      <c r="N157" s="16"/>
    </row>
    <row r="158" spans="1:14" ht="15.75" customHeight="1" x14ac:dyDescent="0.15">
      <c r="A158" s="16"/>
      <c r="B158" s="43"/>
      <c r="C158" s="43"/>
      <c r="D158" s="16"/>
      <c r="E158" s="16"/>
      <c r="F158" s="16"/>
      <c r="G158" s="12"/>
      <c r="H158" s="12"/>
      <c r="I158" s="12"/>
      <c r="J158" s="12"/>
      <c r="K158" s="12"/>
      <c r="L158" s="12"/>
      <c r="M158" s="12"/>
      <c r="N158" s="16"/>
    </row>
    <row r="159" spans="1:14" ht="15.75" customHeight="1" x14ac:dyDescent="0.15">
      <c r="A159" s="16"/>
      <c r="B159" s="43"/>
      <c r="C159" s="43"/>
      <c r="D159" s="16"/>
      <c r="E159" s="16"/>
      <c r="F159" s="16"/>
      <c r="G159" s="12"/>
      <c r="H159" s="12"/>
      <c r="I159" s="12"/>
      <c r="J159" s="12"/>
      <c r="K159" s="12"/>
      <c r="L159" s="12"/>
      <c r="M159" s="12"/>
      <c r="N159" s="16"/>
    </row>
    <row r="160" spans="1:14" ht="15.75" customHeight="1" x14ac:dyDescent="0.15">
      <c r="A160" s="16"/>
      <c r="B160" s="43"/>
      <c r="C160" s="43"/>
      <c r="D160" s="16"/>
      <c r="E160" s="16"/>
      <c r="F160" s="16"/>
      <c r="G160" s="12"/>
      <c r="H160" s="12"/>
      <c r="I160" s="12"/>
      <c r="J160" s="12"/>
      <c r="K160" s="12"/>
      <c r="L160" s="12"/>
      <c r="M160" s="12"/>
      <c r="N160" s="16"/>
    </row>
    <row r="161" spans="1:14" ht="15.75" customHeight="1" x14ac:dyDescent="0.15">
      <c r="A161" s="16"/>
      <c r="B161" s="43"/>
      <c r="C161" s="43"/>
      <c r="D161" s="16"/>
      <c r="E161" s="16"/>
      <c r="F161" s="16"/>
      <c r="G161" s="12"/>
      <c r="H161" s="12"/>
      <c r="I161" s="12"/>
      <c r="J161" s="12"/>
      <c r="K161" s="12"/>
      <c r="L161" s="12"/>
      <c r="M161" s="12"/>
      <c r="N161" s="16"/>
    </row>
    <row r="162" spans="1:14" ht="15.75" customHeight="1" x14ac:dyDescent="0.15">
      <c r="A162" s="16"/>
      <c r="B162" s="43"/>
      <c r="C162" s="43"/>
      <c r="D162" s="16"/>
      <c r="E162" s="16"/>
      <c r="F162" s="16"/>
      <c r="G162" s="12"/>
      <c r="H162" s="12"/>
      <c r="I162" s="12"/>
      <c r="J162" s="12"/>
      <c r="K162" s="12"/>
      <c r="L162" s="12"/>
      <c r="M162" s="12"/>
      <c r="N162" s="16"/>
    </row>
    <row r="163" spans="1:14" ht="15.75" customHeight="1" x14ac:dyDescent="0.15">
      <c r="A163" s="16"/>
      <c r="B163" s="43"/>
      <c r="C163" s="43"/>
      <c r="D163" s="16"/>
      <c r="E163" s="16"/>
      <c r="F163" s="16"/>
      <c r="G163" s="12"/>
      <c r="H163" s="12"/>
      <c r="I163" s="12"/>
      <c r="J163" s="12"/>
      <c r="K163" s="12"/>
      <c r="L163" s="12"/>
      <c r="M163" s="12"/>
      <c r="N163" s="16"/>
    </row>
    <row r="164" spans="1:14" ht="15.75" customHeight="1" x14ac:dyDescent="0.15">
      <c r="A164" s="16"/>
      <c r="B164" s="43"/>
      <c r="C164" s="43"/>
      <c r="D164" s="16"/>
      <c r="E164" s="16"/>
      <c r="F164" s="16"/>
      <c r="G164" s="12"/>
      <c r="H164" s="12"/>
      <c r="I164" s="12"/>
      <c r="J164" s="12"/>
      <c r="K164" s="12"/>
      <c r="L164" s="12"/>
      <c r="M164" s="12"/>
      <c r="N164" s="16"/>
    </row>
    <row r="165" spans="1:14" ht="15.75" customHeight="1" x14ac:dyDescent="0.15">
      <c r="A165" s="16"/>
      <c r="B165" s="43"/>
      <c r="C165" s="43"/>
      <c r="D165" s="16"/>
      <c r="E165" s="16"/>
      <c r="F165" s="16"/>
      <c r="G165" s="12"/>
      <c r="H165" s="12"/>
      <c r="I165" s="12"/>
      <c r="J165" s="12"/>
      <c r="K165" s="12"/>
      <c r="L165" s="12"/>
      <c r="M165" s="12"/>
      <c r="N165" s="16"/>
    </row>
    <row r="166" spans="1:14" ht="15.75" customHeight="1" x14ac:dyDescent="0.15">
      <c r="A166" s="16"/>
      <c r="B166" s="43"/>
      <c r="C166" s="43"/>
      <c r="D166" s="16"/>
      <c r="E166" s="16"/>
      <c r="F166" s="16"/>
      <c r="G166" s="12"/>
      <c r="H166" s="12"/>
      <c r="I166" s="12"/>
      <c r="J166" s="12"/>
      <c r="K166" s="12"/>
      <c r="L166" s="12"/>
      <c r="M166" s="12"/>
      <c r="N166" s="16"/>
    </row>
    <row r="167" spans="1:14" ht="15.75" customHeight="1" x14ac:dyDescent="0.15">
      <c r="A167" s="16"/>
      <c r="B167" s="43"/>
      <c r="C167" s="43"/>
      <c r="D167" s="16"/>
      <c r="E167" s="16"/>
      <c r="F167" s="16"/>
      <c r="G167" s="12"/>
      <c r="H167" s="12"/>
      <c r="I167" s="12"/>
      <c r="J167" s="12"/>
      <c r="K167" s="12"/>
      <c r="L167" s="12"/>
      <c r="M167" s="12"/>
      <c r="N167" s="16"/>
    </row>
    <row r="168" spans="1:14" ht="15.75" customHeight="1" x14ac:dyDescent="0.15">
      <c r="A168" s="16"/>
      <c r="B168" s="43"/>
      <c r="C168" s="43"/>
      <c r="D168" s="16"/>
      <c r="E168" s="16"/>
      <c r="F168" s="16"/>
      <c r="G168" s="12"/>
      <c r="H168" s="12"/>
      <c r="I168" s="12"/>
      <c r="J168" s="12"/>
      <c r="K168" s="12"/>
      <c r="L168" s="12"/>
      <c r="M168" s="12"/>
      <c r="N168" s="16"/>
    </row>
    <row r="169" spans="1:14" ht="15.75" customHeight="1" x14ac:dyDescent="0.15">
      <c r="A169" s="16"/>
      <c r="B169" s="43"/>
      <c r="C169" s="43"/>
      <c r="D169" s="16"/>
      <c r="E169" s="16"/>
      <c r="F169" s="16"/>
      <c r="G169" s="12"/>
      <c r="H169" s="12"/>
      <c r="I169" s="12"/>
      <c r="J169" s="12"/>
      <c r="K169" s="12"/>
      <c r="L169" s="12"/>
      <c r="M169" s="12"/>
      <c r="N169" s="16"/>
    </row>
    <row r="170" spans="1:14" ht="15.75" customHeight="1" x14ac:dyDescent="0.15">
      <c r="A170" s="16"/>
      <c r="B170" s="43"/>
      <c r="C170" s="43"/>
      <c r="D170" s="16"/>
      <c r="E170" s="16"/>
      <c r="F170" s="16"/>
      <c r="G170" s="12"/>
      <c r="H170" s="12"/>
      <c r="I170" s="12"/>
      <c r="J170" s="12"/>
      <c r="K170" s="12"/>
      <c r="L170" s="12"/>
      <c r="M170" s="12"/>
      <c r="N170" s="16"/>
    </row>
    <row r="171" spans="1:14" ht="15.75" customHeight="1" x14ac:dyDescent="0.15">
      <c r="A171" s="16"/>
      <c r="B171" s="43"/>
      <c r="C171" s="43"/>
      <c r="D171" s="16"/>
      <c r="E171" s="16"/>
      <c r="F171" s="16"/>
      <c r="G171" s="12"/>
      <c r="H171" s="12"/>
      <c r="I171" s="12"/>
      <c r="J171" s="12"/>
      <c r="K171" s="12"/>
      <c r="L171" s="12"/>
      <c r="M171" s="12"/>
      <c r="N171" s="16"/>
    </row>
    <row r="172" spans="1:14" ht="15.75" customHeight="1" x14ac:dyDescent="0.15">
      <c r="A172" s="16"/>
      <c r="B172" s="43"/>
      <c r="C172" s="43"/>
      <c r="D172" s="16"/>
      <c r="E172" s="16"/>
      <c r="F172" s="16"/>
      <c r="G172" s="12"/>
      <c r="H172" s="12"/>
      <c r="I172" s="12"/>
      <c r="J172" s="12"/>
      <c r="K172" s="12"/>
      <c r="L172" s="12"/>
      <c r="M172" s="12"/>
      <c r="N172" s="16"/>
    </row>
    <row r="173" spans="1:14" ht="15.75" customHeight="1" x14ac:dyDescent="0.15">
      <c r="A173" s="16"/>
      <c r="B173" s="43"/>
      <c r="C173" s="43"/>
      <c r="D173" s="16"/>
      <c r="E173" s="16"/>
      <c r="F173" s="16"/>
      <c r="G173" s="12"/>
      <c r="H173" s="12"/>
      <c r="I173" s="12"/>
      <c r="J173" s="12"/>
      <c r="K173" s="12"/>
      <c r="L173" s="12"/>
      <c r="M173" s="12"/>
      <c r="N173" s="16"/>
    </row>
    <row r="174" spans="1:14" ht="15.75" customHeight="1" x14ac:dyDescent="0.15">
      <c r="A174" s="16"/>
      <c r="B174" s="43"/>
      <c r="C174" s="43"/>
      <c r="D174" s="16"/>
      <c r="E174" s="16"/>
      <c r="F174" s="16"/>
      <c r="G174" s="12"/>
      <c r="H174" s="12"/>
      <c r="I174" s="12"/>
      <c r="J174" s="12"/>
      <c r="K174" s="12"/>
      <c r="L174" s="12"/>
      <c r="M174" s="12"/>
      <c r="N174" s="16"/>
    </row>
    <row r="175" spans="1:14" ht="15.75" customHeight="1" x14ac:dyDescent="0.15">
      <c r="A175" s="16"/>
      <c r="B175" s="43"/>
      <c r="C175" s="43"/>
      <c r="D175" s="16"/>
      <c r="E175" s="16"/>
      <c r="F175" s="16"/>
      <c r="G175" s="12"/>
      <c r="H175" s="12"/>
      <c r="I175" s="12"/>
      <c r="J175" s="12"/>
      <c r="K175" s="12"/>
      <c r="L175" s="12"/>
      <c r="M175" s="12"/>
      <c r="N175" s="16"/>
    </row>
    <row r="176" spans="1:14" ht="15.75" customHeight="1" x14ac:dyDescent="0.15">
      <c r="A176" s="16"/>
      <c r="B176" s="43"/>
      <c r="C176" s="43"/>
      <c r="D176" s="16"/>
      <c r="E176" s="16"/>
      <c r="F176" s="16"/>
      <c r="G176" s="12"/>
      <c r="H176" s="12"/>
      <c r="I176" s="12"/>
      <c r="J176" s="12"/>
      <c r="K176" s="12"/>
      <c r="L176" s="12"/>
      <c r="M176" s="12"/>
      <c r="N176" s="16"/>
    </row>
    <row r="177" spans="1:14" ht="15.75" customHeight="1" x14ac:dyDescent="0.15">
      <c r="A177" s="16"/>
      <c r="B177" s="43"/>
      <c r="C177" s="43"/>
      <c r="D177" s="16"/>
      <c r="E177" s="16"/>
      <c r="F177" s="16"/>
      <c r="G177" s="12"/>
      <c r="H177" s="12"/>
      <c r="I177" s="12"/>
      <c r="J177" s="12"/>
      <c r="K177" s="12"/>
      <c r="L177" s="12"/>
      <c r="M177" s="12"/>
      <c r="N177" s="16"/>
    </row>
    <row r="178" spans="1:14" ht="15.75" customHeight="1" x14ac:dyDescent="0.15">
      <c r="A178" s="16"/>
      <c r="B178" s="43"/>
      <c r="C178" s="43"/>
      <c r="D178" s="16"/>
      <c r="E178" s="16"/>
      <c r="F178" s="16"/>
      <c r="G178" s="12"/>
      <c r="H178" s="12"/>
      <c r="I178" s="12"/>
      <c r="J178" s="12"/>
      <c r="K178" s="12"/>
      <c r="L178" s="12"/>
      <c r="M178" s="12"/>
      <c r="N178" s="16"/>
    </row>
    <row r="179" spans="1:14" ht="15.75" customHeight="1" x14ac:dyDescent="0.15">
      <c r="A179" s="16"/>
      <c r="B179" s="43"/>
      <c r="C179" s="43"/>
      <c r="D179" s="16"/>
      <c r="E179" s="16"/>
      <c r="F179" s="16"/>
      <c r="G179" s="12"/>
      <c r="H179" s="12"/>
      <c r="I179" s="12"/>
      <c r="J179" s="12"/>
      <c r="K179" s="12"/>
      <c r="L179" s="12"/>
      <c r="M179" s="12"/>
      <c r="N179" s="16"/>
    </row>
    <row r="180" spans="1:14" ht="15.75" customHeight="1" x14ac:dyDescent="0.15">
      <c r="A180" s="16"/>
      <c r="B180" s="43"/>
      <c r="C180" s="43"/>
      <c r="D180" s="16"/>
      <c r="E180" s="16"/>
      <c r="F180" s="16"/>
      <c r="G180" s="12"/>
      <c r="H180" s="12"/>
      <c r="I180" s="12"/>
      <c r="J180" s="12"/>
      <c r="K180" s="12"/>
      <c r="L180" s="12"/>
      <c r="M180" s="12"/>
      <c r="N180" s="16"/>
    </row>
    <row r="181" spans="1:14" ht="15.75" customHeight="1" x14ac:dyDescent="0.15">
      <c r="A181" s="16"/>
      <c r="B181" s="43"/>
      <c r="C181" s="43"/>
      <c r="D181" s="16"/>
      <c r="E181" s="16"/>
      <c r="F181" s="16"/>
      <c r="G181" s="12"/>
      <c r="H181" s="12"/>
      <c r="I181" s="12"/>
      <c r="J181" s="12"/>
      <c r="K181" s="12"/>
      <c r="L181" s="12"/>
      <c r="M181" s="12"/>
      <c r="N181" s="16"/>
    </row>
    <row r="182" spans="1:14" ht="15.75" customHeight="1" x14ac:dyDescent="0.15">
      <c r="A182" s="16"/>
      <c r="B182" s="43"/>
      <c r="C182" s="43"/>
      <c r="D182" s="16"/>
      <c r="E182" s="16"/>
      <c r="F182" s="16"/>
      <c r="G182" s="12"/>
      <c r="H182" s="12"/>
      <c r="I182" s="12"/>
      <c r="J182" s="12"/>
      <c r="K182" s="12"/>
      <c r="L182" s="12"/>
      <c r="M182" s="12"/>
      <c r="N182" s="16"/>
    </row>
    <row r="183" spans="1:14" ht="15.75" customHeight="1" x14ac:dyDescent="0.15">
      <c r="A183" s="16"/>
      <c r="B183" s="43"/>
      <c r="C183" s="43"/>
      <c r="D183" s="16"/>
      <c r="E183" s="16"/>
      <c r="F183" s="16"/>
      <c r="G183" s="12"/>
      <c r="H183" s="12"/>
      <c r="I183" s="12"/>
      <c r="J183" s="12"/>
      <c r="K183" s="12"/>
      <c r="L183" s="12"/>
      <c r="M183" s="12"/>
      <c r="N183" s="16"/>
    </row>
    <row r="184" spans="1:14" ht="15.75" customHeight="1" x14ac:dyDescent="0.15">
      <c r="A184" s="16"/>
      <c r="B184" s="43"/>
      <c r="C184" s="43"/>
      <c r="D184" s="16"/>
      <c r="E184" s="16"/>
      <c r="F184" s="16"/>
      <c r="G184" s="12"/>
      <c r="H184" s="12"/>
      <c r="I184" s="12"/>
      <c r="J184" s="12"/>
      <c r="K184" s="12"/>
      <c r="L184" s="12"/>
      <c r="M184" s="12"/>
      <c r="N184" s="16"/>
    </row>
    <row r="185" spans="1:14" ht="15.75" customHeight="1" x14ac:dyDescent="0.15">
      <c r="A185" s="16"/>
      <c r="B185" s="43"/>
      <c r="C185" s="43"/>
      <c r="D185" s="16"/>
      <c r="E185" s="16"/>
      <c r="F185" s="16"/>
      <c r="G185" s="12"/>
      <c r="H185" s="12"/>
      <c r="I185" s="12"/>
      <c r="J185" s="12"/>
      <c r="K185" s="12"/>
      <c r="L185" s="12"/>
      <c r="M185" s="12"/>
      <c r="N185" s="16"/>
    </row>
    <row r="186" spans="1:14" ht="15.75" customHeight="1" x14ac:dyDescent="0.15">
      <c r="A186" s="16"/>
      <c r="B186" s="43"/>
      <c r="C186" s="43"/>
      <c r="D186" s="16"/>
      <c r="E186" s="16"/>
      <c r="F186" s="16"/>
      <c r="G186" s="12"/>
      <c r="H186" s="12"/>
      <c r="I186" s="12"/>
      <c r="J186" s="12"/>
      <c r="K186" s="12"/>
      <c r="L186" s="12"/>
      <c r="M186" s="12"/>
      <c r="N186" s="16"/>
    </row>
    <row r="187" spans="1:14" ht="15.75" customHeight="1" x14ac:dyDescent="0.15">
      <c r="A187" s="16"/>
      <c r="B187" s="43"/>
      <c r="C187" s="43"/>
      <c r="D187" s="16"/>
      <c r="E187" s="16"/>
      <c r="F187" s="16"/>
      <c r="G187" s="12"/>
      <c r="H187" s="12"/>
      <c r="I187" s="12"/>
      <c r="J187" s="12"/>
      <c r="K187" s="12"/>
      <c r="L187" s="12"/>
      <c r="M187" s="12"/>
      <c r="N187" s="16"/>
    </row>
    <row r="188" spans="1:14" ht="15.75" customHeight="1" x14ac:dyDescent="0.15">
      <c r="A188" s="16"/>
      <c r="B188" s="43"/>
      <c r="C188" s="43"/>
      <c r="D188" s="16"/>
      <c r="E188" s="16"/>
      <c r="F188" s="16"/>
      <c r="G188" s="12"/>
      <c r="H188" s="12"/>
      <c r="I188" s="12"/>
      <c r="J188" s="12"/>
      <c r="K188" s="12"/>
      <c r="L188" s="12"/>
      <c r="M188" s="12"/>
      <c r="N188" s="16"/>
    </row>
    <row r="189" spans="1:14" ht="15.75" customHeight="1" x14ac:dyDescent="0.15">
      <c r="A189" s="16"/>
      <c r="B189" s="43"/>
      <c r="C189" s="43"/>
      <c r="D189" s="16"/>
      <c r="E189" s="16"/>
      <c r="F189" s="16"/>
      <c r="G189" s="12"/>
      <c r="H189" s="12"/>
      <c r="I189" s="12"/>
      <c r="J189" s="12"/>
      <c r="K189" s="12"/>
      <c r="L189" s="12"/>
      <c r="M189" s="12"/>
      <c r="N189" s="16"/>
    </row>
    <row r="190" spans="1:14" ht="15.75" customHeight="1" x14ac:dyDescent="0.15">
      <c r="A190" s="16"/>
      <c r="B190" s="43"/>
      <c r="C190" s="43"/>
      <c r="D190" s="16"/>
      <c r="E190" s="16"/>
      <c r="F190" s="16"/>
      <c r="G190" s="12"/>
      <c r="H190" s="12"/>
      <c r="I190" s="12"/>
      <c r="J190" s="12"/>
      <c r="K190" s="12"/>
      <c r="L190" s="12"/>
      <c r="M190" s="12"/>
      <c r="N190" s="16"/>
    </row>
    <row r="191" spans="1:14" ht="15.75" customHeight="1" x14ac:dyDescent="0.15">
      <c r="A191" s="16"/>
      <c r="B191" s="43"/>
      <c r="C191" s="43"/>
      <c r="D191" s="16"/>
      <c r="E191" s="16"/>
      <c r="F191" s="16"/>
      <c r="G191" s="12"/>
      <c r="H191" s="12"/>
      <c r="I191" s="12"/>
      <c r="J191" s="12"/>
      <c r="K191" s="12"/>
      <c r="L191" s="12"/>
      <c r="M191" s="12"/>
      <c r="N191" s="16"/>
    </row>
    <row r="192" spans="1:14" ht="15.75" customHeight="1" x14ac:dyDescent="0.15">
      <c r="A192" s="16"/>
      <c r="B192" s="43"/>
      <c r="C192" s="43"/>
      <c r="D192" s="16"/>
      <c r="E192" s="16"/>
      <c r="F192" s="16"/>
      <c r="G192" s="12"/>
      <c r="H192" s="12"/>
      <c r="I192" s="12"/>
      <c r="J192" s="12"/>
      <c r="K192" s="12"/>
      <c r="L192" s="12"/>
      <c r="M192" s="12"/>
      <c r="N192" s="16"/>
    </row>
    <row r="193" spans="1:14" ht="15.75" customHeight="1" x14ac:dyDescent="0.15">
      <c r="A193" s="16"/>
      <c r="B193" s="43"/>
      <c r="C193" s="43"/>
      <c r="D193" s="16"/>
      <c r="E193" s="16"/>
      <c r="F193" s="16"/>
      <c r="G193" s="12"/>
      <c r="H193" s="12"/>
      <c r="I193" s="12"/>
      <c r="J193" s="12"/>
      <c r="K193" s="12"/>
      <c r="L193" s="12"/>
      <c r="M193" s="12"/>
      <c r="N193" s="16"/>
    </row>
    <row r="194" spans="1:14" ht="15.75" customHeight="1" x14ac:dyDescent="0.15">
      <c r="A194" s="16"/>
      <c r="B194" s="43"/>
      <c r="C194" s="43"/>
      <c r="D194" s="16"/>
      <c r="E194" s="16"/>
      <c r="F194" s="16"/>
      <c r="G194" s="12"/>
      <c r="H194" s="12"/>
      <c r="I194" s="12"/>
      <c r="J194" s="12"/>
      <c r="K194" s="12"/>
      <c r="L194" s="12"/>
      <c r="M194" s="12"/>
      <c r="N194" s="16"/>
    </row>
    <row r="195" spans="1:14" ht="15.75" customHeight="1" x14ac:dyDescent="0.15">
      <c r="A195" s="16"/>
      <c r="B195" s="43"/>
      <c r="C195" s="43"/>
      <c r="D195" s="16"/>
      <c r="E195" s="16"/>
      <c r="F195" s="16"/>
      <c r="G195" s="12"/>
      <c r="H195" s="12"/>
      <c r="I195" s="12"/>
      <c r="J195" s="12"/>
      <c r="K195" s="12"/>
      <c r="L195" s="12"/>
      <c r="M195" s="12"/>
      <c r="N195" s="16"/>
    </row>
    <row r="196" spans="1:14" ht="15.75" customHeight="1" x14ac:dyDescent="0.15">
      <c r="A196" s="16"/>
      <c r="B196" s="43"/>
      <c r="C196" s="43"/>
      <c r="D196" s="16"/>
      <c r="E196" s="16"/>
      <c r="F196" s="16"/>
      <c r="G196" s="12"/>
      <c r="H196" s="12"/>
      <c r="I196" s="12"/>
      <c r="J196" s="12"/>
      <c r="K196" s="12"/>
      <c r="L196" s="12"/>
      <c r="M196" s="12"/>
      <c r="N196" s="16"/>
    </row>
    <row r="197" spans="1:14" ht="15.75" customHeight="1" x14ac:dyDescent="0.15">
      <c r="A197" s="16"/>
      <c r="B197" s="43"/>
      <c r="C197" s="43"/>
      <c r="D197" s="16"/>
      <c r="E197" s="16"/>
      <c r="F197" s="16"/>
      <c r="G197" s="12"/>
      <c r="H197" s="12"/>
      <c r="I197" s="12"/>
      <c r="J197" s="12"/>
      <c r="K197" s="12"/>
      <c r="L197" s="12"/>
      <c r="M197" s="12"/>
      <c r="N197" s="16"/>
    </row>
    <row r="198" spans="1:14" ht="15.75" customHeight="1" x14ac:dyDescent="0.15">
      <c r="A198" s="16"/>
      <c r="B198" s="43"/>
      <c r="C198" s="43"/>
      <c r="D198" s="16"/>
      <c r="E198" s="16"/>
      <c r="F198" s="16"/>
      <c r="G198" s="12"/>
      <c r="H198" s="12"/>
      <c r="I198" s="12"/>
      <c r="J198" s="12"/>
      <c r="K198" s="12"/>
      <c r="L198" s="12"/>
      <c r="M198" s="12"/>
      <c r="N198" s="16"/>
    </row>
    <row r="199" spans="1:14" ht="15.75" customHeight="1" x14ac:dyDescent="0.15">
      <c r="A199" s="16"/>
      <c r="B199" s="43"/>
      <c r="C199" s="43"/>
      <c r="D199" s="16"/>
      <c r="E199" s="16"/>
      <c r="F199" s="16"/>
      <c r="G199" s="12"/>
      <c r="H199" s="12"/>
      <c r="I199" s="12"/>
      <c r="J199" s="12"/>
      <c r="K199" s="12"/>
      <c r="L199" s="12"/>
      <c r="M199" s="12"/>
      <c r="N199" s="16"/>
    </row>
    <row r="200" spans="1:14" ht="15.75" customHeight="1" x14ac:dyDescent="0.15">
      <c r="A200" s="16"/>
      <c r="B200" s="43"/>
      <c r="C200" s="43"/>
      <c r="D200" s="16"/>
      <c r="E200" s="16"/>
      <c r="F200" s="16"/>
      <c r="G200" s="12"/>
      <c r="H200" s="12"/>
      <c r="I200" s="12"/>
      <c r="J200" s="12"/>
      <c r="K200" s="12"/>
      <c r="L200" s="12"/>
      <c r="M200" s="12"/>
      <c r="N200" s="16"/>
    </row>
    <row r="201" spans="1:14" ht="15.75" customHeight="1" x14ac:dyDescent="0.15">
      <c r="A201" s="16"/>
      <c r="B201" s="43"/>
      <c r="C201" s="43"/>
      <c r="D201" s="16"/>
      <c r="E201" s="16"/>
      <c r="F201" s="16"/>
      <c r="G201" s="12"/>
      <c r="H201" s="12"/>
      <c r="I201" s="12"/>
      <c r="J201" s="12"/>
      <c r="K201" s="12"/>
      <c r="L201" s="12"/>
      <c r="M201" s="12"/>
      <c r="N201" s="16"/>
    </row>
    <row r="202" spans="1:14" ht="15.75" customHeight="1" x14ac:dyDescent="0.15">
      <c r="A202" s="16"/>
      <c r="B202" s="43"/>
      <c r="C202" s="43"/>
      <c r="D202" s="16"/>
      <c r="E202" s="16"/>
      <c r="F202" s="16"/>
      <c r="G202" s="12"/>
      <c r="H202" s="12"/>
      <c r="I202" s="12"/>
      <c r="J202" s="12"/>
      <c r="K202" s="12"/>
      <c r="L202" s="12"/>
      <c r="M202" s="12"/>
      <c r="N202" s="16"/>
    </row>
    <row r="203" spans="1:14" ht="15.75" customHeight="1" x14ac:dyDescent="0.15">
      <c r="A203" s="16"/>
      <c r="B203" s="43"/>
      <c r="C203" s="43"/>
      <c r="D203" s="16"/>
      <c r="E203" s="16"/>
      <c r="F203" s="16"/>
      <c r="G203" s="12"/>
      <c r="H203" s="12"/>
      <c r="I203" s="12"/>
      <c r="J203" s="12"/>
      <c r="K203" s="12"/>
      <c r="L203" s="12"/>
      <c r="M203" s="12"/>
      <c r="N203" s="16"/>
    </row>
    <row r="204" spans="1:14" ht="15.75" customHeight="1" x14ac:dyDescent="0.15">
      <c r="A204" s="16"/>
      <c r="B204" s="43"/>
      <c r="C204" s="43"/>
      <c r="D204" s="16"/>
      <c r="E204" s="16"/>
      <c r="F204" s="16"/>
      <c r="G204" s="12"/>
      <c r="H204" s="12"/>
      <c r="I204" s="12"/>
      <c r="J204" s="12"/>
      <c r="K204" s="12"/>
      <c r="L204" s="12"/>
      <c r="M204" s="12"/>
      <c r="N204" s="16"/>
    </row>
    <row r="205" spans="1:14" ht="15.75" customHeight="1" x14ac:dyDescent="0.15">
      <c r="A205" s="16"/>
      <c r="B205" s="43"/>
      <c r="C205" s="43"/>
      <c r="D205" s="16"/>
      <c r="E205" s="16"/>
      <c r="F205" s="16"/>
      <c r="G205" s="12"/>
      <c r="H205" s="12"/>
      <c r="I205" s="12"/>
      <c r="J205" s="12"/>
      <c r="K205" s="12"/>
      <c r="L205" s="12"/>
      <c r="M205" s="12"/>
      <c r="N205" s="16"/>
    </row>
    <row r="206" spans="1:14" ht="15.75" customHeight="1" x14ac:dyDescent="0.15">
      <c r="A206" s="16"/>
      <c r="B206" s="43"/>
      <c r="C206" s="43"/>
      <c r="D206" s="16"/>
      <c r="E206" s="16"/>
      <c r="F206" s="16"/>
      <c r="G206" s="12"/>
      <c r="H206" s="12"/>
      <c r="I206" s="12"/>
      <c r="J206" s="12"/>
      <c r="K206" s="12"/>
      <c r="L206" s="12"/>
      <c r="M206" s="12"/>
      <c r="N206" s="16"/>
    </row>
    <row r="207" spans="1:14" ht="15.75" customHeight="1" x14ac:dyDescent="0.15">
      <c r="A207" s="16"/>
      <c r="B207" s="43"/>
      <c r="C207" s="43"/>
      <c r="D207" s="16"/>
      <c r="E207" s="16"/>
      <c r="F207" s="16"/>
      <c r="G207" s="12"/>
      <c r="H207" s="12"/>
      <c r="I207" s="12"/>
      <c r="J207" s="12"/>
      <c r="K207" s="12"/>
      <c r="L207" s="12"/>
      <c r="M207" s="12"/>
      <c r="N207" s="16"/>
    </row>
    <row r="208" spans="1:14" ht="15.75" customHeight="1" x14ac:dyDescent="0.15">
      <c r="A208" s="16"/>
      <c r="B208" s="43"/>
      <c r="C208" s="43"/>
      <c r="D208" s="16"/>
      <c r="E208" s="16"/>
      <c r="F208" s="16"/>
      <c r="G208" s="12"/>
      <c r="H208" s="12"/>
      <c r="I208" s="12"/>
      <c r="J208" s="12"/>
      <c r="K208" s="12"/>
      <c r="L208" s="12"/>
      <c r="M208" s="12"/>
      <c r="N208" s="16"/>
    </row>
    <row r="209" spans="1:14" ht="15.75" customHeight="1" x14ac:dyDescent="0.15">
      <c r="A209" s="16"/>
      <c r="B209" s="43"/>
      <c r="C209" s="43"/>
      <c r="D209" s="16"/>
      <c r="E209" s="16"/>
      <c r="F209" s="16"/>
      <c r="G209" s="12"/>
      <c r="H209" s="12"/>
      <c r="I209" s="12"/>
      <c r="J209" s="12"/>
      <c r="K209" s="12"/>
      <c r="L209" s="12"/>
      <c r="M209" s="12"/>
      <c r="N209" s="16"/>
    </row>
    <row r="210" spans="1:14" ht="15.75" customHeight="1" x14ac:dyDescent="0.15">
      <c r="A210" s="16"/>
      <c r="B210" s="43"/>
      <c r="C210" s="43"/>
      <c r="D210" s="16"/>
      <c r="E210" s="16"/>
      <c r="F210" s="16"/>
      <c r="G210" s="12"/>
      <c r="H210" s="12"/>
      <c r="I210" s="12"/>
      <c r="J210" s="12"/>
      <c r="K210" s="12"/>
      <c r="L210" s="12"/>
      <c r="M210" s="12"/>
      <c r="N210" s="16"/>
    </row>
    <row r="211" spans="1:14" ht="15.75" customHeight="1" x14ac:dyDescent="0.15">
      <c r="A211" s="16"/>
      <c r="B211" s="43"/>
      <c r="C211" s="43"/>
      <c r="D211" s="16"/>
      <c r="E211" s="16"/>
      <c r="F211" s="16"/>
      <c r="G211" s="12"/>
      <c r="H211" s="12"/>
      <c r="I211" s="12"/>
      <c r="J211" s="12"/>
      <c r="K211" s="12"/>
      <c r="L211" s="12"/>
      <c r="M211" s="12"/>
      <c r="N211" s="16"/>
    </row>
    <row r="212" spans="1:14" ht="15.75" customHeight="1" x14ac:dyDescent="0.15">
      <c r="A212" s="16"/>
      <c r="B212" s="43"/>
      <c r="C212" s="43"/>
      <c r="D212" s="16"/>
      <c r="E212" s="16"/>
      <c r="F212" s="16"/>
      <c r="G212" s="12"/>
      <c r="H212" s="12"/>
      <c r="I212" s="12"/>
      <c r="J212" s="12"/>
      <c r="K212" s="12"/>
      <c r="L212" s="12"/>
      <c r="M212" s="12"/>
      <c r="N212" s="16"/>
    </row>
    <row r="213" spans="1:14" ht="15.75" customHeight="1" x14ac:dyDescent="0.15">
      <c r="A213" s="16"/>
      <c r="B213" s="43"/>
      <c r="C213" s="43"/>
      <c r="D213" s="16"/>
      <c r="E213" s="16"/>
      <c r="F213" s="16"/>
      <c r="G213" s="12"/>
      <c r="H213" s="12"/>
      <c r="I213" s="12"/>
      <c r="J213" s="12"/>
      <c r="K213" s="12"/>
      <c r="L213" s="12"/>
      <c r="M213" s="12"/>
      <c r="N213" s="16"/>
    </row>
    <row r="214" spans="1:14" ht="15.75" customHeight="1" x14ac:dyDescent="0.15">
      <c r="A214" s="16"/>
      <c r="B214" s="43"/>
      <c r="C214" s="43"/>
      <c r="D214" s="16"/>
      <c r="E214" s="16"/>
      <c r="F214" s="16"/>
      <c r="G214" s="12"/>
      <c r="H214" s="12"/>
      <c r="I214" s="12"/>
      <c r="J214" s="12"/>
      <c r="K214" s="12"/>
      <c r="L214" s="12"/>
      <c r="M214" s="12"/>
      <c r="N214" s="16"/>
    </row>
    <row r="215" spans="1:14" ht="15.75" customHeight="1" x14ac:dyDescent="0.15">
      <c r="A215" s="16"/>
      <c r="B215" s="43"/>
      <c r="C215" s="43"/>
      <c r="D215" s="16"/>
      <c r="E215" s="16"/>
      <c r="F215" s="16"/>
      <c r="G215" s="12"/>
      <c r="H215" s="12"/>
      <c r="I215" s="12"/>
      <c r="J215" s="12"/>
      <c r="K215" s="12"/>
      <c r="L215" s="12"/>
      <c r="M215" s="12"/>
      <c r="N215" s="16"/>
    </row>
    <row r="216" spans="1:14" ht="15.75" customHeight="1" x14ac:dyDescent="0.15">
      <c r="A216" s="16"/>
      <c r="B216" s="43"/>
      <c r="C216" s="43"/>
      <c r="D216" s="16"/>
      <c r="E216" s="16"/>
      <c r="F216" s="16"/>
      <c r="G216" s="12"/>
      <c r="H216" s="12"/>
      <c r="I216" s="12"/>
      <c r="J216" s="12"/>
      <c r="K216" s="12"/>
      <c r="L216" s="12"/>
      <c r="M216" s="12"/>
      <c r="N216" s="16"/>
    </row>
    <row r="217" spans="1:14" ht="15.75" customHeight="1" x14ac:dyDescent="0.15">
      <c r="A217" s="16"/>
      <c r="B217" s="43"/>
      <c r="C217" s="43"/>
      <c r="D217" s="16"/>
      <c r="E217" s="16"/>
      <c r="F217" s="16"/>
      <c r="G217" s="12"/>
      <c r="H217" s="12"/>
      <c r="I217" s="12"/>
      <c r="J217" s="12"/>
      <c r="K217" s="12"/>
      <c r="L217" s="12"/>
      <c r="M217" s="12"/>
      <c r="N217" s="16"/>
    </row>
    <row r="218" spans="1:14" ht="15.75" customHeight="1" x14ac:dyDescent="0.15">
      <c r="A218" s="16"/>
      <c r="B218" s="43"/>
      <c r="C218" s="43"/>
      <c r="D218" s="16"/>
      <c r="E218" s="16"/>
      <c r="F218" s="16"/>
      <c r="G218" s="12"/>
      <c r="H218" s="12"/>
      <c r="I218" s="12"/>
      <c r="J218" s="12"/>
      <c r="K218" s="12"/>
      <c r="L218" s="12"/>
      <c r="M218" s="12"/>
      <c r="N218" s="16"/>
    </row>
    <row r="219" spans="1:14" ht="15.75" customHeight="1" x14ac:dyDescent="0.15">
      <c r="A219" s="16"/>
      <c r="B219" s="43"/>
      <c r="C219" s="43"/>
      <c r="D219" s="16"/>
      <c r="E219" s="16"/>
      <c r="F219" s="16"/>
      <c r="G219" s="12"/>
      <c r="H219" s="12"/>
      <c r="I219" s="12"/>
      <c r="J219" s="12"/>
      <c r="K219" s="12"/>
      <c r="L219" s="12"/>
      <c r="M219" s="12"/>
      <c r="N219" s="16"/>
    </row>
    <row r="220" spans="1:14" ht="15.75" customHeight="1" x14ac:dyDescent="0.15">
      <c r="A220" s="16"/>
      <c r="B220" s="43"/>
      <c r="C220" s="43"/>
      <c r="D220" s="16"/>
      <c r="E220" s="16"/>
      <c r="F220" s="16"/>
      <c r="G220" s="12"/>
      <c r="H220" s="12"/>
      <c r="I220" s="12"/>
      <c r="J220" s="12"/>
      <c r="K220" s="12"/>
      <c r="L220" s="12"/>
      <c r="M220" s="12"/>
      <c r="N220" s="16"/>
    </row>
    <row r="221" spans="1:14" ht="15.75" customHeight="1" x14ac:dyDescent="0.15">
      <c r="A221" s="16"/>
      <c r="B221" s="43"/>
      <c r="C221" s="43"/>
      <c r="D221" s="16"/>
      <c r="E221" s="16"/>
      <c r="F221" s="16"/>
      <c r="G221" s="12"/>
      <c r="H221" s="12"/>
      <c r="I221" s="12"/>
      <c r="J221" s="12"/>
      <c r="K221" s="12"/>
      <c r="L221" s="12"/>
      <c r="M221" s="12"/>
      <c r="N221" s="16"/>
    </row>
    <row r="222" spans="1:14" ht="15.75" customHeight="1" x14ac:dyDescent="0.15">
      <c r="A222" s="16"/>
      <c r="B222" s="43"/>
      <c r="C222" s="43"/>
      <c r="D222" s="16"/>
      <c r="E222" s="16"/>
      <c r="F222" s="16"/>
      <c r="G222" s="12"/>
      <c r="H222" s="12"/>
      <c r="I222" s="12"/>
      <c r="J222" s="12"/>
      <c r="K222" s="12"/>
      <c r="L222" s="12"/>
      <c r="M222" s="12"/>
      <c r="N222" s="16"/>
    </row>
    <row r="223" spans="1:14" ht="15.75" customHeight="1" x14ac:dyDescent="0.15">
      <c r="A223" s="16"/>
      <c r="B223" s="43"/>
      <c r="C223" s="43"/>
      <c r="D223" s="16"/>
      <c r="E223" s="16"/>
      <c r="F223" s="16"/>
      <c r="G223" s="12"/>
      <c r="H223" s="12"/>
      <c r="I223" s="12"/>
      <c r="J223" s="12"/>
      <c r="K223" s="12"/>
      <c r="L223" s="12"/>
      <c r="M223" s="12"/>
      <c r="N223" s="16"/>
    </row>
    <row r="224" spans="1:14" ht="15.75" customHeight="1" x14ac:dyDescent="0.15">
      <c r="A224" s="16"/>
      <c r="B224" s="43"/>
      <c r="C224" s="43"/>
      <c r="D224" s="16"/>
      <c r="E224" s="16"/>
      <c r="F224" s="16"/>
      <c r="G224" s="12"/>
      <c r="H224" s="12"/>
      <c r="I224" s="12"/>
      <c r="J224" s="12"/>
      <c r="K224" s="12"/>
      <c r="L224" s="12"/>
      <c r="M224" s="12"/>
      <c r="N224" s="16"/>
    </row>
    <row r="225" spans="1:14" ht="15.75" customHeight="1" x14ac:dyDescent="0.15">
      <c r="A225" s="16"/>
      <c r="B225" s="43"/>
      <c r="C225" s="43"/>
      <c r="D225" s="16"/>
      <c r="E225" s="16"/>
      <c r="F225" s="16"/>
      <c r="G225" s="12"/>
      <c r="H225" s="12"/>
      <c r="I225" s="12"/>
      <c r="J225" s="12"/>
      <c r="K225" s="12"/>
      <c r="L225" s="12"/>
      <c r="M225" s="12"/>
      <c r="N225" s="16"/>
    </row>
    <row r="226" spans="1:14" ht="15.75" customHeight="1" x14ac:dyDescent="0.15">
      <c r="A226" s="16"/>
      <c r="B226" s="43"/>
      <c r="C226" s="43"/>
      <c r="D226" s="16"/>
      <c r="E226" s="16"/>
      <c r="F226" s="16"/>
      <c r="G226" s="12"/>
      <c r="H226" s="12"/>
      <c r="I226" s="12"/>
      <c r="J226" s="12"/>
      <c r="K226" s="12"/>
      <c r="L226" s="12"/>
      <c r="M226" s="12"/>
      <c r="N226" s="16"/>
    </row>
    <row r="227" spans="1:14" ht="15.75" customHeight="1" x14ac:dyDescent="0.15">
      <c r="A227" s="16"/>
      <c r="B227" s="43"/>
      <c r="C227" s="43"/>
      <c r="D227" s="16"/>
      <c r="E227" s="16"/>
      <c r="F227" s="16"/>
      <c r="G227" s="12"/>
      <c r="H227" s="12"/>
      <c r="I227" s="12"/>
      <c r="J227" s="12"/>
      <c r="K227" s="12"/>
      <c r="L227" s="12"/>
      <c r="M227" s="12"/>
      <c r="N227" s="16"/>
    </row>
    <row r="228" spans="1:14" ht="15.75" customHeight="1" x14ac:dyDescent="0.15">
      <c r="A228" s="16"/>
      <c r="B228" s="43"/>
      <c r="C228" s="43"/>
      <c r="D228" s="16"/>
      <c r="E228" s="16"/>
      <c r="F228" s="16"/>
      <c r="G228" s="12"/>
      <c r="H228" s="12"/>
      <c r="I228" s="12"/>
      <c r="J228" s="12"/>
      <c r="K228" s="12"/>
      <c r="L228" s="12"/>
      <c r="M228" s="12"/>
      <c r="N228" s="16"/>
    </row>
    <row r="229" spans="1:14" ht="15.75" customHeight="1" x14ac:dyDescent="0.15">
      <c r="A229" s="16"/>
      <c r="B229" s="43"/>
      <c r="C229" s="43"/>
      <c r="D229" s="16"/>
      <c r="E229" s="16"/>
      <c r="F229" s="16"/>
      <c r="G229" s="12"/>
      <c r="H229" s="12"/>
      <c r="I229" s="12"/>
      <c r="J229" s="12"/>
      <c r="K229" s="12"/>
      <c r="L229" s="12"/>
      <c r="M229" s="12"/>
      <c r="N229" s="16"/>
    </row>
    <row r="230" spans="1:14" ht="15.75" customHeight="1" x14ac:dyDescent="0.15">
      <c r="A230" s="16"/>
      <c r="B230" s="43"/>
      <c r="C230" s="43"/>
      <c r="D230" s="16"/>
      <c r="E230" s="16"/>
      <c r="F230" s="16"/>
      <c r="G230" s="12"/>
      <c r="H230" s="12"/>
      <c r="I230" s="12"/>
      <c r="J230" s="12"/>
      <c r="K230" s="12"/>
      <c r="L230" s="12"/>
      <c r="M230" s="12"/>
      <c r="N230" s="16"/>
    </row>
    <row r="231" spans="1:14" ht="15.75" customHeight="1" x14ac:dyDescent="0.15">
      <c r="A231" s="16"/>
      <c r="B231" s="43"/>
      <c r="C231" s="43"/>
      <c r="D231" s="16"/>
      <c r="E231" s="16"/>
      <c r="F231" s="16"/>
      <c r="G231" s="12"/>
      <c r="H231" s="12"/>
      <c r="I231" s="12"/>
      <c r="J231" s="12"/>
      <c r="K231" s="12"/>
      <c r="L231" s="12"/>
      <c r="M231" s="12"/>
      <c r="N231" s="16"/>
    </row>
    <row r="232" spans="1:14" ht="15.75" customHeight="1" x14ac:dyDescent="0.15">
      <c r="A232" s="16"/>
      <c r="B232" s="43"/>
      <c r="C232" s="43"/>
      <c r="D232" s="16"/>
      <c r="E232" s="16"/>
      <c r="F232" s="16"/>
      <c r="G232" s="12"/>
      <c r="H232" s="12"/>
      <c r="I232" s="12"/>
      <c r="J232" s="12"/>
      <c r="K232" s="12"/>
      <c r="L232" s="12"/>
      <c r="M232" s="12"/>
      <c r="N232" s="16"/>
    </row>
    <row r="233" spans="1:14" ht="15.75" customHeight="1" x14ac:dyDescent="0.15">
      <c r="A233" s="16"/>
      <c r="B233" s="43"/>
      <c r="C233" s="43"/>
      <c r="D233" s="16"/>
      <c r="E233" s="16"/>
      <c r="F233" s="16"/>
      <c r="G233" s="12"/>
      <c r="H233" s="12"/>
      <c r="I233" s="12"/>
      <c r="J233" s="12"/>
      <c r="K233" s="12"/>
      <c r="L233" s="12"/>
      <c r="M233" s="12"/>
      <c r="N233" s="16"/>
    </row>
    <row r="234" spans="1:14" ht="15.75" customHeight="1" x14ac:dyDescent="0.15">
      <c r="A234" s="16"/>
      <c r="B234" s="43"/>
      <c r="C234" s="43"/>
      <c r="D234" s="16"/>
      <c r="E234" s="16"/>
      <c r="F234" s="16"/>
      <c r="G234" s="12"/>
      <c r="H234" s="12"/>
      <c r="I234" s="12"/>
      <c r="J234" s="12"/>
      <c r="K234" s="12"/>
      <c r="L234" s="12"/>
      <c r="M234" s="12"/>
      <c r="N234" s="16"/>
    </row>
    <row r="235" spans="1:14" ht="15.75" customHeight="1" x14ac:dyDescent="0.15">
      <c r="A235" s="16"/>
      <c r="B235" s="43"/>
      <c r="C235" s="43"/>
      <c r="D235" s="16"/>
      <c r="E235" s="16"/>
      <c r="F235" s="16"/>
      <c r="G235" s="12"/>
      <c r="H235" s="12"/>
      <c r="I235" s="12"/>
      <c r="J235" s="12"/>
      <c r="K235" s="12"/>
      <c r="L235" s="12"/>
      <c r="M235" s="12"/>
      <c r="N235" s="16"/>
    </row>
    <row r="236" spans="1:14" ht="15.75" customHeight="1" x14ac:dyDescent="0.15">
      <c r="A236" s="16"/>
      <c r="B236" s="43"/>
      <c r="C236" s="43"/>
      <c r="D236" s="16"/>
      <c r="E236" s="16"/>
      <c r="F236" s="16"/>
      <c r="G236" s="12"/>
      <c r="H236" s="12"/>
      <c r="I236" s="12"/>
      <c r="J236" s="12"/>
      <c r="K236" s="12"/>
      <c r="L236" s="12"/>
      <c r="M236" s="12"/>
      <c r="N236" s="16"/>
    </row>
    <row r="237" spans="1:14" ht="15.75" customHeight="1" x14ac:dyDescent="0.15">
      <c r="A237" s="16"/>
      <c r="B237" s="43"/>
      <c r="C237" s="43"/>
      <c r="D237" s="16"/>
      <c r="E237" s="16"/>
      <c r="F237" s="16"/>
      <c r="G237" s="12"/>
      <c r="H237" s="12"/>
      <c r="I237" s="12"/>
      <c r="J237" s="12"/>
      <c r="K237" s="12"/>
      <c r="L237" s="12"/>
      <c r="M237" s="12"/>
      <c r="N237" s="16"/>
    </row>
    <row r="238" spans="1:14" ht="15.75" customHeight="1" x14ac:dyDescent="0.15">
      <c r="A238" s="16"/>
      <c r="B238" s="43"/>
      <c r="C238" s="43"/>
      <c r="D238" s="16"/>
      <c r="E238" s="16"/>
      <c r="F238" s="16"/>
      <c r="G238" s="12"/>
      <c r="H238" s="12"/>
      <c r="I238" s="12"/>
      <c r="J238" s="12"/>
      <c r="K238" s="12"/>
      <c r="L238" s="12"/>
      <c r="M238" s="12"/>
      <c r="N238" s="16"/>
    </row>
    <row r="239" spans="1:14" ht="15.75" customHeight="1" x14ac:dyDescent="0.15">
      <c r="A239" s="16"/>
      <c r="B239" s="43"/>
      <c r="C239" s="43"/>
      <c r="D239" s="16"/>
      <c r="E239" s="16"/>
      <c r="F239" s="16"/>
      <c r="G239" s="12"/>
      <c r="H239" s="12"/>
      <c r="I239" s="12"/>
      <c r="J239" s="12"/>
      <c r="K239" s="12"/>
      <c r="L239" s="12"/>
      <c r="M239" s="12"/>
      <c r="N239" s="16"/>
    </row>
    <row r="240" spans="1:14" ht="15.75" customHeight="1" x14ac:dyDescent="0.15">
      <c r="A240" s="16"/>
      <c r="B240" s="43"/>
      <c r="C240" s="43"/>
      <c r="D240" s="16"/>
      <c r="E240" s="16"/>
      <c r="F240" s="16"/>
      <c r="G240" s="12"/>
      <c r="H240" s="12"/>
      <c r="I240" s="12"/>
      <c r="J240" s="12"/>
      <c r="K240" s="12"/>
      <c r="L240" s="12"/>
      <c r="M240" s="12"/>
      <c r="N240" s="16"/>
    </row>
    <row r="241" spans="1:14" ht="15.75" customHeight="1" x14ac:dyDescent="0.15">
      <c r="A241" s="16"/>
      <c r="B241" s="43"/>
      <c r="C241" s="43"/>
      <c r="D241" s="16"/>
      <c r="E241" s="16"/>
      <c r="F241" s="16"/>
      <c r="G241" s="12"/>
      <c r="H241" s="12"/>
      <c r="I241" s="12"/>
      <c r="J241" s="12"/>
      <c r="K241" s="12"/>
      <c r="L241" s="12"/>
      <c r="M241" s="12"/>
      <c r="N241" s="16"/>
    </row>
    <row r="242" spans="1:14" ht="15.75" customHeight="1" x14ac:dyDescent="0.15">
      <c r="A242" s="16"/>
      <c r="B242" s="43"/>
      <c r="C242" s="43"/>
      <c r="D242" s="16"/>
      <c r="E242" s="16"/>
      <c r="F242" s="16"/>
      <c r="G242" s="12"/>
      <c r="H242" s="12"/>
      <c r="I242" s="12"/>
      <c r="J242" s="12"/>
      <c r="K242" s="12"/>
      <c r="L242" s="12"/>
      <c r="M242" s="12"/>
      <c r="N242" s="16"/>
    </row>
    <row r="243" spans="1:14" ht="15.75" customHeight="1" x14ac:dyDescent="0.15"/>
    <row r="244" spans="1:14" ht="15.75" customHeight="1" x14ac:dyDescent="0.15"/>
    <row r="245" spans="1:14" ht="15.75" customHeight="1" x14ac:dyDescent="0.15"/>
    <row r="246" spans="1:14" ht="15.75" customHeight="1" x14ac:dyDescent="0.15"/>
    <row r="247" spans="1:14" ht="15.75" customHeight="1" x14ac:dyDescent="0.15"/>
    <row r="248" spans="1:14" ht="15.75" customHeight="1" x14ac:dyDescent="0.15"/>
    <row r="249" spans="1:14" ht="15.75" customHeight="1" x14ac:dyDescent="0.15"/>
    <row r="250" spans="1:14" ht="15.75" customHeight="1" x14ac:dyDescent="0.15"/>
    <row r="251" spans="1:14" ht="15.75" customHeight="1" x14ac:dyDescent="0.15"/>
    <row r="252" spans="1:14" ht="15.75" customHeight="1" x14ac:dyDescent="0.15"/>
    <row r="253" spans="1:14" ht="15.75" customHeight="1" x14ac:dyDescent="0.15"/>
    <row r="254" spans="1:14" ht="15.75" customHeight="1" x14ac:dyDescent="0.15"/>
    <row r="255" spans="1:14" ht="15.75" customHeight="1" x14ac:dyDescent="0.15"/>
    <row r="256" spans="1:14"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hyperlinks>
    <hyperlink ref="A2" r:id="rId1" xr:uid="{00000000-0004-0000-0B00-000000000000}"/>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N1000"/>
  <sheetViews>
    <sheetView workbookViewId="0"/>
  </sheetViews>
  <sheetFormatPr baseColWidth="10" defaultColWidth="14.5" defaultRowHeight="15" customHeight="1" x14ac:dyDescent="0.15"/>
  <cols>
    <col min="1" max="1" width="16.6640625" customWidth="1"/>
    <col min="2" max="2" width="16.1640625" customWidth="1"/>
    <col min="3" max="3" width="22" customWidth="1"/>
    <col min="4" max="4" width="13.5" customWidth="1"/>
    <col min="5" max="6" width="14.5" customWidth="1"/>
    <col min="7" max="7" width="9.1640625" customWidth="1"/>
    <col min="8" max="8" width="35.5" customWidth="1"/>
    <col min="9" max="9" width="17.1640625" customWidth="1"/>
    <col min="10" max="10" width="6.5" customWidth="1"/>
    <col min="11" max="11" width="24.83203125" customWidth="1"/>
    <col min="12" max="12" width="13.5" customWidth="1"/>
    <col min="13" max="13" width="6.5" customWidth="1"/>
    <col min="14" max="14" width="70.5" customWidth="1"/>
  </cols>
  <sheetData>
    <row r="1" spans="1:14" ht="15.75" customHeight="1" x14ac:dyDescent="0.15">
      <c r="A1" s="38" t="s">
        <v>511</v>
      </c>
      <c r="B1" s="39"/>
      <c r="C1" s="39"/>
      <c r="D1" s="131"/>
      <c r="E1" s="131"/>
      <c r="F1" s="3"/>
      <c r="G1" s="40"/>
      <c r="H1" s="38" t="s">
        <v>512</v>
      </c>
      <c r="I1" s="40"/>
      <c r="J1" s="40"/>
      <c r="K1" s="40"/>
      <c r="L1" s="40"/>
      <c r="M1" s="40"/>
      <c r="N1" s="2"/>
    </row>
    <row r="2" spans="1:14" ht="30" customHeight="1" x14ac:dyDescent="0.2">
      <c r="A2" s="129" t="s">
        <v>513</v>
      </c>
      <c r="B2" s="43"/>
      <c r="C2" s="43"/>
      <c r="D2" s="15"/>
      <c r="E2" s="15"/>
      <c r="F2" s="16"/>
      <c r="G2" s="12"/>
      <c r="H2" s="101" t="s">
        <v>73</v>
      </c>
      <c r="I2" s="102"/>
      <c r="J2" s="12"/>
      <c r="K2" s="44" t="s">
        <v>74</v>
      </c>
      <c r="L2" s="45"/>
      <c r="M2" s="12"/>
      <c r="N2" s="44" t="s">
        <v>76</v>
      </c>
    </row>
    <row r="3" spans="1:14" ht="30" customHeight="1" x14ac:dyDescent="0.2">
      <c r="A3" s="7" t="s">
        <v>18</v>
      </c>
      <c r="B3" s="7" t="s">
        <v>77</v>
      </c>
      <c r="C3" s="7" t="s">
        <v>78</v>
      </c>
      <c r="D3" s="132" t="s">
        <v>79</v>
      </c>
      <c r="E3" s="132" t="s">
        <v>80</v>
      </c>
      <c r="F3" s="48" t="s">
        <v>81</v>
      </c>
      <c r="G3" s="12"/>
      <c r="H3" s="103" t="s">
        <v>82</v>
      </c>
      <c r="I3" s="104" t="s">
        <v>83</v>
      </c>
      <c r="J3" s="12"/>
      <c r="K3" s="103" t="s">
        <v>514</v>
      </c>
      <c r="L3" s="104" t="s">
        <v>515</v>
      </c>
      <c r="M3" s="12"/>
      <c r="N3" s="12" t="s">
        <v>516</v>
      </c>
    </row>
    <row r="4" spans="1:14" ht="30" customHeight="1" x14ac:dyDescent="0.2">
      <c r="A4" s="16">
        <v>0</v>
      </c>
      <c r="B4" s="133" t="s">
        <v>83</v>
      </c>
      <c r="C4" s="133" t="s">
        <v>517</v>
      </c>
      <c r="D4" s="15">
        <v>1.99</v>
      </c>
      <c r="E4" s="15">
        <v>0</v>
      </c>
      <c r="F4" s="15">
        <f t="shared" ref="F4:F105" si="0">IFERROR(D4+E4,"error")</f>
        <v>1.99</v>
      </c>
      <c r="G4" s="12"/>
      <c r="H4" s="106" t="s">
        <v>91</v>
      </c>
      <c r="I4" s="107">
        <v>2000000</v>
      </c>
      <c r="J4" s="12"/>
      <c r="K4" s="106" t="s">
        <v>518</v>
      </c>
      <c r="L4" s="107">
        <v>2</v>
      </c>
      <c r="M4" s="12"/>
      <c r="N4" s="12" t="s">
        <v>519</v>
      </c>
    </row>
    <row r="5" spans="1:14" ht="30" customHeight="1" x14ac:dyDescent="0.2">
      <c r="A5" s="16">
        <v>1</v>
      </c>
      <c r="B5" s="133"/>
      <c r="C5" s="133" t="s">
        <v>520</v>
      </c>
      <c r="D5" s="15">
        <v>0</v>
      </c>
      <c r="E5" s="15">
        <v>0</v>
      </c>
      <c r="F5" s="15">
        <f t="shared" si="0"/>
        <v>0</v>
      </c>
      <c r="G5" s="12"/>
      <c r="H5" s="106" t="s">
        <v>97</v>
      </c>
      <c r="I5" s="108">
        <v>4.99</v>
      </c>
      <c r="J5" s="12"/>
      <c r="K5" s="109" t="s">
        <v>521</v>
      </c>
      <c r="L5" s="108">
        <v>1.99</v>
      </c>
      <c r="M5" s="12"/>
      <c r="N5" s="22" t="s">
        <v>522</v>
      </c>
    </row>
    <row r="6" spans="1:14" ht="30" customHeight="1" x14ac:dyDescent="0.2">
      <c r="A6" s="16">
        <v>2</v>
      </c>
      <c r="B6" s="133"/>
      <c r="C6" s="133" t="s">
        <v>523</v>
      </c>
      <c r="D6" s="15">
        <v>0</v>
      </c>
      <c r="E6" s="15">
        <v>0</v>
      </c>
      <c r="F6" s="15">
        <f t="shared" si="0"/>
        <v>0</v>
      </c>
      <c r="G6" s="12"/>
      <c r="H6" s="134" t="s">
        <v>524</v>
      </c>
      <c r="I6" s="135">
        <f>I5/I4</f>
        <v>2.4950000000000003E-6</v>
      </c>
      <c r="J6" s="12"/>
      <c r="K6" s="112" t="s">
        <v>525</v>
      </c>
      <c r="L6" s="113">
        <f>IF(L4="N/A","N/A",L5/L4)</f>
        <v>0.995</v>
      </c>
      <c r="M6" s="12"/>
      <c r="N6" s="51" t="s">
        <v>526</v>
      </c>
    </row>
    <row r="7" spans="1:14" ht="30" customHeight="1" x14ac:dyDescent="0.2">
      <c r="A7" s="16">
        <v>3</v>
      </c>
      <c r="B7" s="133"/>
      <c r="C7" s="133" t="s">
        <v>527</v>
      </c>
      <c r="D7" s="15">
        <v>0</v>
      </c>
      <c r="E7" s="15">
        <v>0</v>
      </c>
      <c r="F7" s="15">
        <f t="shared" si="0"/>
        <v>0</v>
      </c>
      <c r="G7" s="12"/>
      <c r="H7" s="116"/>
      <c r="I7" s="117"/>
      <c r="J7" s="12"/>
      <c r="K7" s="112" t="s">
        <v>528</v>
      </c>
      <c r="L7" s="113">
        <f>L6/24</f>
        <v>4.1458333333333333E-2</v>
      </c>
      <c r="M7" s="12"/>
      <c r="N7" s="15"/>
    </row>
    <row r="8" spans="1:14" ht="30" customHeight="1" x14ac:dyDescent="0.2">
      <c r="A8" s="16">
        <v>4</v>
      </c>
      <c r="B8" s="133"/>
      <c r="C8" s="133" t="s">
        <v>529</v>
      </c>
      <c r="D8" s="15">
        <v>0</v>
      </c>
      <c r="E8" s="15">
        <v>0</v>
      </c>
      <c r="F8" s="15">
        <f t="shared" si="0"/>
        <v>0</v>
      </c>
      <c r="G8" s="12"/>
      <c r="H8" s="103" t="s">
        <v>110</v>
      </c>
      <c r="I8" s="104" t="s">
        <v>454</v>
      </c>
      <c r="J8" s="12"/>
      <c r="K8" s="120"/>
      <c r="L8" s="120"/>
      <c r="M8" s="12"/>
      <c r="N8" s="136"/>
    </row>
    <row r="9" spans="1:14" ht="30" customHeight="1" x14ac:dyDescent="0.2">
      <c r="A9" s="16">
        <v>5</v>
      </c>
      <c r="B9" s="133" t="s">
        <v>530</v>
      </c>
      <c r="C9" s="133" t="s">
        <v>531</v>
      </c>
      <c r="D9" s="15">
        <v>0</v>
      </c>
      <c r="E9" s="15">
        <f>8*L19</f>
        <v>0.44333333333333336</v>
      </c>
      <c r="F9" s="15">
        <f t="shared" si="0"/>
        <v>0.44333333333333336</v>
      </c>
      <c r="G9" s="12"/>
      <c r="H9" s="106" t="s">
        <v>117</v>
      </c>
      <c r="I9" s="107">
        <v>500</v>
      </c>
      <c r="J9" s="12"/>
      <c r="K9" s="103" t="s">
        <v>532</v>
      </c>
      <c r="L9" s="104" t="s">
        <v>533</v>
      </c>
      <c r="M9" s="12"/>
      <c r="N9" s="15"/>
    </row>
    <row r="10" spans="1:14" ht="30" customHeight="1" x14ac:dyDescent="0.2">
      <c r="A10" s="16">
        <v>6</v>
      </c>
      <c r="B10" s="133"/>
      <c r="C10" s="133" t="s">
        <v>534</v>
      </c>
      <c r="D10" s="15">
        <v>0</v>
      </c>
      <c r="E10" s="15">
        <v>0</v>
      </c>
      <c r="F10" s="15">
        <f t="shared" si="0"/>
        <v>0</v>
      </c>
      <c r="G10" s="12"/>
      <c r="H10" s="109" t="s">
        <v>121</v>
      </c>
      <c r="I10" s="110">
        <v>4.99</v>
      </c>
      <c r="J10" s="12"/>
      <c r="K10" s="106" t="s">
        <v>518</v>
      </c>
      <c r="L10" s="107">
        <v>3</v>
      </c>
      <c r="M10" s="12"/>
      <c r="N10" s="15"/>
    </row>
    <row r="11" spans="1:14" ht="30" customHeight="1" x14ac:dyDescent="0.2">
      <c r="A11" s="16">
        <v>7</v>
      </c>
      <c r="B11" s="133"/>
      <c r="C11" s="133" t="s">
        <v>535</v>
      </c>
      <c r="D11" s="15">
        <v>0</v>
      </c>
      <c r="E11" s="15">
        <v>0</v>
      </c>
      <c r="F11" s="15">
        <f t="shared" si="0"/>
        <v>0</v>
      </c>
      <c r="G11" s="12"/>
      <c r="H11" s="112" t="s">
        <v>104</v>
      </c>
      <c r="I11" s="114">
        <f>IF(I9="N/A","N/A",I10/I9)</f>
        <v>9.980000000000001E-3</v>
      </c>
      <c r="J11" s="12"/>
      <c r="K11" s="109" t="s">
        <v>521</v>
      </c>
      <c r="L11" s="108">
        <v>1.99</v>
      </c>
      <c r="M11" s="12"/>
      <c r="N11" s="15"/>
    </row>
    <row r="12" spans="1:14" ht="30" customHeight="1" x14ac:dyDescent="0.2">
      <c r="A12" s="16">
        <v>8</v>
      </c>
      <c r="B12" s="133"/>
      <c r="C12" s="133" t="s">
        <v>83</v>
      </c>
      <c r="D12" s="15">
        <v>0</v>
      </c>
      <c r="E12" s="15">
        <v>1.19</v>
      </c>
      <c r="F12" s="15">
        <f t="shared" si="0"/>
        <v>1.19</v>
      </c>
      <c r="G12" s="12"/>
      <c r="H12" s="106"/>
      <c r="I12" s="110"/>
      <c r="J12" s="12"/>
      <c r="K12" s="112" t="s">
        <v>525</v>
      </c>
      <c r="L12" s="113">
        <f>IF(L10="N/A","N/A",L11/L10)</f>
        <v>0.66333333333333333</v>
      </c>
      <c r="M12" s="12"/>
      <c r="N12" s="15"/>
    </row>
    <row r="13" spans="1:14" ht="30" customHeight="1" x14ac:dyDescent="0.2">
      <c r="A13" s="16">
        <v>9</v>
      </c>
      <c r="B13" s="133"/>
      <c r="C13" s="133" t="s">
        <v>536</v>
      </c>
      <c r="D13" s="15">
        <v>0</v>
      </c>
      <c r="E13" s="15">
        <v>0</v>
      </c>
      <c r="F13" s="15">
        <f t="shared" si="0"/>
        <v>0</v>
      </c>
      <c r="G13" s="12"/>
      <c r="H13" s="49" t="s">
        <v>236</v>
      </c>
      <c r="I13" s="50" t="s">
        <v>111</v>
      </c>
      <c r="J13" s="12"/>
      <c r="K13" s="112" t="s">
        <v>528</v>
      </c>
      <c r="L13" s="113">
        <f>L12/24</f>
        <v>2.763888888888889E-2</v>
      </c>
      <c r="M13" s="12"/>
      <c r="N13" s="34"/>
    </row>
    <row r="14" spans="1:14" ht="30" customHeight="1" x14ac:dyDescent="0.2">
      <c r="A14" s="16">
        <v>10</v>
      </c>
      <c r="B14" s="133" t="s">
        <v>537</v>
      </c>
      <c r="C14" s="133" t="s">
        <v>538</v>
      </c>
      <c r="D14" s="15">
        <v>0</v>
      </c>
      <c r="E14" s="15">
        <f>240*I11</f>
        <v>2.3952000000000004</v>
      </c>
      <c r="F14" s="15">
        <f t="shared" si="0"/>
        <v>2.3952000000000004</v>
      </c>
      <c r="G14" s="12"/>
      <c r="H14" s="52" t="s">
        <v>117</v>
      </c>
      <c r="I14" s="53" t="s">
        <v>111</v>
      </c>
      <c r="J14" s="12"/>
      <c r="K14" s="120"/>
      <c r="L14" s="120"/>
      <c r="M14" s="12"/>
      <c r="N14" s="66"/>
    </row>
    <row r="15" spans="1:14" ht="30" customHeight="1" x14ac:dyDescent="0.2">
      <c r="A15" s="16">
        <v>11</v>
      </c>
      <c r="B15" s="133"/>
      <c r="C15" s="133" t="s">
        <v>539</v>
      </c>
      <c r="D15" s="15">
        <v>0</v>
      </c>
      <c r="E15" s="15">
        <v>0</v>
      </c>
      <c r="F15" s="15">
        <f t="shared" si="0"/>
        <v>0</v>
      </c>
      <c r="G15" s="12"/>
      <c r="H15" s="52" t="s">
        <v>139</v>
      </c>
      <c r="I15" s="54" t="s">
        <v>111</v>
      </c>
      <c r="J15" s="12"/>
      <c r="K15" s="103" t="s">
        <v>540</v>
      </c>
      <c r="L15" s="104" t="s">
        <v>541</v>
      </c>
      <c r="M15" s="12"/>
      <c r="N15" s="16"/>
    </row>
    <row r="16" spans="1:14" ht="30" customHeight="1" x14ac:dyDescent="0.2">
      <c r="A16" s="16">
        <v>12</v>
      </c>
      <c r="B16" s="133"/>
      <c r="C16" s="133" t="s">
        <v>542</v>
      </c>
      <c r="D16" s="15">
        <v>0</v>
      </c>
      <c r="E16" s="15">
        <f>16*L7</f>
        <v>0.66333333333333333</v>
      </c>
      <c r="F16" s="15">
        <f t="shared" si="0"/>
        <v>0.66333333333333333</v>
      </c>
      <c r="G16" s="12"/>
      <c r="H16" s="58" t="s">
        <v>104</v>
      </c>
      <c r="I16" s="60" t="str">
        <f>IF(I14="N/A","N/A",I15/I14)</f>
        <v>N/A</v>
      </c>
      <c r="J16" s="12"/>
      <c r="K16" s="106" t="s">
        <v>518</v>
      </c>
      <c r="L16" s="107">
        <v>3</v>
      </c>
      <c r="M16" s="12"/>
      <c r="N16" s="16"/>
    </row>
    <row r="17" spans="1:14" ht="30" customHeight="1" x14ac:dyDescent="0.2">
      <c r="A17" s="16">
        <v>13</v>
      </c>
      <c r="B17" s="133"/>
      <c r="C17" s="133" t="s">
        <v>534</v>
      </c>
      <c r="D17" s="15">
        <v>0</v>
      </c>
      <c r="E17" s="15">
        <v>0</v>
      </c>
      <c r="F17" s="15">
        <f t="shared" si="0"/>
        <v>0</v>
      </c>
      <c r="G17" s="12"/>
      <c r="J17" s="12"/>
      <c r="K17" s="109" t="s">
        <v>521</v>
      </c>
      <c r="L17" s="108">
        <v>3.99</v>
      </c>
      <c r="M17" s="12"/>
      <c r="N17" s="16"/>
    </row>
    <row r="18" spans="1:14" ht="30" customHeight="1" x14ac:dyDescent="0.2">
      <c r="A18" s="16">
        <v>14</v>
      </c>
      <c r="B18" s="133"/>
      <c r="C18" s="133" t="s">
        <v>543</v>
      </c>
      <c r="D18" s="15">
        <v>0</v>
      </c>
      <c r="E18" s="15">
        <v>0</v>
      </c>
      <c r="F18" s="15">
        <f t="shared" si="0"/>
        <v>0</v>
      </c>
      <c r="G18" s="12"/>
      <c r="J18" s="12"/>
      <c r="K18" s="112" t="s">
        <v>525</v>
      </c>
      <c r="L18" s="113">
        <f>IF(L16="N/A","N/A",L17/L16)</f>
        <v>1.33</v>
      </c>
      <c r="M18" s="12"/>
      <c r="N18" s="16"/>
    </row>
    <row r="19" spans="1:14" ht="30" customHeight="1" x14ac:dyDescent="0.2">
      <c r="A19" s="16">
        <v>15</v>
      </c>
      <c r="B19" s="133" t="s">
        <v>83</v>
      </c>
      <c r="C19" s="133" t="s">
        <v>544</v>
      </c>
      <c r="D19" s="15">
        <v>2.99</v>
      </c>
      <c r="E19" s="15">
        <v>0.99</v>
      </c>
      <c r="F19" s="15">
        <f t="shared" si="0"/>
        <v>3.9800000000000004</v>
      </c>
      <c r="G19" s="12"/>
      <c r="J19" s="12"/>
      <c r="K19" s="112" t="s">
        <v>528</v>
      </c>
      <c r="L19" s="113">
        <f>L18/24</f>
        <v>5.541666666666667E-2</v>
      </c>
      <c r="M19" s="12"/>
      <c r="N19" s="16"/>
    </row>
    <row r="20" spans="1:14" ht="30" customHeight="1" x14ac:dyDescent="0.2">
      <c r="A20" s="16">
        <v>16</v>
      </c>
      <c r="B20" s="133"/>
      <c r="C20" s="133" t="s">
        <v>545</v>
      </c>
      <c r="D20" s="15">
        <v>0</v>
      </c>
      <c r="E20" s="15">
        <v>0</v>
      </c>
      <c r="F20" s="15">
        <f t="shared" si="0"/>
        <v>0</v>
      </c>
      <c r="G20" s="12"/>
      <c r="J20" s="12"/>
      <c r="K20" s="12"/>
      <c r="L20" s="12"/>
      <c r="M20" s="12"/>
      <c r="N20" s="16"/>
    </row>
    <row r="21" spans="1:14" ht="30" customHeight="1" x14ac:dyDescent="0.2">
      <c r="A21" s="16">
        <v>17</v>
      </c>
      <c r="B21" s="133"/>
      <c r="C21" s="133" t="s">
        <v>546</v>
      </c>
      <c r="D21" s="15">
        <v>0</v>
      </c>
      <c r="E21" s="15">
        <v>0</v>
      </c>
      <c r="F21" s="15">
        <f t="shared" si="0"/>
        <v>0</v>
      </c>
      <c r="G21" s="12"/>
      <c r="J21" s="68"/>
      <c r="K21" s="58" t="s">
        <v>168</v>
      </c>
      <c r="L21" s="60">
        <f>AVERAGE(L5,L11,L17)</f>
        <v>2.6566666666666667</v>
      </c>
      <c r="M21" s="68"/>
      <c r="N21" s="16"/>
    </row>
    <row r="22" spans="1:14" ht="30" customHeight="1" x14ac:dyDescent="0.2">
      <c r="A22" s="16">
        <v>18</v>
      </c>
      <c r="B22" s="133"/>
      <c r="C22" s="133" t="s">
        <v>547</v>
      </c>
      <c r="D22" s="15">
        <v>0</v>
      </c>
      <c r="E22" s="15">
        <v>0</v>
      </c>
      <c r="F22" s="15">
        <f t="shared" si="0"/>
        <v>0</v>
      </c>
      <c r="G22" s="12"/>
      <c r="J22" s="68"/>
      <c r="K22" s="68"/>
      <c r="L22" s="68"/>
      <c r="M22" s="68"/>
      <c r="N22" s="16"/>
    </row>
    <row r="23" spans="1:14" ht="30" customHeight="1" x14ac:dyDescent="0.2">
      <c r="A23" s="16">
        <v>19</v>
      </c>
      <c r="B23" s="133"/>
      <c r="C23" s="133" t="s">
        <v>83</v>
      </c>
      <c r="D23" s="15">
        <v>0</v>
      </c>
      <c r="E23" s="15">
        <v>2.99</v>
      </c>
      <c r="F23" s="15">
        <f t="shared" si="0"/>
        <v>2.99</v>
      </c>
      <c r="G23" s="12"/>
      <c r="J23" s="68"/>
      <c r="K23" s="68"/>
      <c r="L23" s="68"/>
      <c r="M23" s="68"/>
      <c r="N23" s="16"/>
    </row>
    <row r="24" spans="1:14" ht="30" customHeight="1" x14ac:dyDescent="0.2">
      <c r="A24" s="16">
        <v>20</v>
      </c>
      <c r="B24" s="133" t="s">
        <v>548</v>
      </c>
      <c r="C24" s="133" t="s">
        <v>549</v>
      </c>
      <c r="D24" s="15">
        <v>0</v>
      </c>
      <c r="E24" s="15">
        <v>0</v>
      </c>
      <c r="F24" s="15">
        <f t="shared" si="0"/>
        <v>0</v>
      </c>
      <c r="G24" s="12"/>
      <c r="J24" s="68"/>
      <c r="K24" s="68"/>
      <c r="L24" s="68"/>
      <c r="M24" s="68"/>
      <c r="N24" s="16"/>
    </row>
    <row r="25" spans="1:14" ht="30" customHeight="1" x14ac:dyDescent="0.15">
      <c r="A25" s="16">
        <v>21</v>
      </c>
      <c r="B25" s="43"/>
      <c r="C25" s="43" t="s">
        <v>550</v>
      </c>
      <c r="D25" s="15">
        <v>0</v>
      </c>
      <c r="E25" s="15">
        <v>0</v>
      </c>
      <c r="F25" s="15">
        <f t="shared" si="0"/>
        <v>0</v>
      </c>
      <c r="G25" s="12"/>
      <c r="J25" s="68"/>
      <c r="K25" s="68"/>
      <c r="L25" s="68"/>
      <c r="M25" s="68"/>
      <c r="N25" s="16"/>
    </row>
    <row r="26" spans="1:14" ht="30" customHeight="1" x14ac:dyDescent="0.15">
      <c r="A26" s="16">
        <v>22</v>
      </c>
      <c r="B26" s="43"/>
      <c r="C26" s="43" t="s">
        <v>527</v>
      </c>
      <c r="D26" s="15">
        <v>0</v>
      </c>
      <c r="E26" s="15">
        <v>0</v>
      </c>
      <c r="F26" s="15">
        <f t="shared" si="0"/>
        <v>0</v>
      </c>
      <c r="G26" s="12"/>
      <c r="J26" s="12"/>
      <c r="K26" s="12"/>
      <c r="L26" s="12"/>
      <c r="M26" s="12"/>
      <c r="N26" s="16"/>
    </row>
    <row r="27" spans="1:14" ht="30" customHeight="1" x14ac:dyDescent="0.15">
      <c r="A27" s="16">
        <v>23</v>
      </c>
      <c r="B27" s="43"/>
      <c r="C27" s="43" t="s">
        <v>551</v>
      </c>
      <c r="D27" s="15">
        <v>0</v>
      </c>
      <c r="E27" s="15">
        <v>0</v>
      </c>
      <c r="F27" s="15">
        <f t="shared" si="0"/>
        <v>0</v>
      </c>
      <c r="G27" s="12"/>
      <c r="J27" s="12"/>
      <c r="K27" s="12"/>
      <c r="L27" s="12"/>
      <c r="M27" s="12"/>
      <c r="N27" s="16"/>
    </row>
    <row r="28" spans="1:14" ht="30" customHeight="1" x14ac:dyDescent="0.15">
      <c r="A28" s="16">
        <v>24</v>
      </c>
      <c r="B28" s="43"/>
      <c r="C28" s="43" t="s">
        <v>552</v>
      </c>
      <c r="D28" s="15">
        <v>0</v>
      </c>
      <c r="E28" s="15">
        <f>400*I11</f>
        <v>3.9920000000000004</v>
      </c>
      <c r="F28" s="15">
        <f t="shared" si="0"/>
        <v>3.9920000000000004</v>
      </c>
      <c r="G28" s="12"/>
      <c r="J28" s="12"/>
      <c r="K28" s="12"/>
      <c r="L28" s="12"/>
      <c r="M28" s="12"/>
      <c r="N28" s="16"/>
    </row>
    <row r="29" spans="1:14" ht="30" customHeight="1" x14ac:dyDescent="0.15">
      <c r="A29" s="16">
        <v>25</v>
      </c>
      <c r="B29" s="43" t="s">
        <v>83</v>
      </c>
      <c r="C29" s="43" t="s">
        <v>553</v>
      </c>
      <c r="D29" s="15">
        <v>4.99</v>
      </c>
      <c r="E29" s="15">
        <v>0</v>
      </c>
      <c r="F29" s="15">
        <f t="shared" si="0"/>
        <v>4.99</v>
      </c>
      <c r="G29" s="12"/>
      <c r="J29" s="12"/>
      <c r="K29" s="12"/>
      <c r="L29" s="12"/>
      <c r="M29" s="12"/>
      <c r="N29" s="16"/>
    </row>
    <row r="30" spans="1:14" ht="30" customHeight="1" x14ac:dyDescent="0.2">
      <c r="A30" s="16">
        <v>26</v>
      </c>
      <c r="B30" s="43"/>
      <c r="C30" s="43" t="s">
        <v>554</v>
      </c>
      <c r="D30" s="15">
        <v>0</v>
      </c>
      <c r="E30" s="15">
        <f>16*L13</f>
        <v>0.44222222222222224</v>
      </c>
      <c r="F30" s="15">
        <f t="shared" si="0"/>
        <v>0.44222222222222224</v>
      </c>
      <c r="G30" s="12"/>
      <c r="H30" s="120"/>
      <c r="I30" s="120"/>
      <c r="J30" s="12"/>
      <c r="K30" s="12"/>
      <c r="L30" s="12"/>
      <c r="M30" s="12"/>
      <c r="N30" s="16"/>
    </row>
    <row r="31" spans="1:14" ht="30" customHeight="1" x14ac:dyDescent="0.2">
      <c r="A31" s="16">
        <v>27</v>
      </c>
      <c r="B31" s="43"/>
      <c r="C31" s="43" t="s">
        <v>555</v>
      </c>
      <c r="D31" s="15">
        <v>0</v>
      </c>
      <c r="E31" s="15">
        <v>0</v>
      </c>
      <c r="F31" s="15">
        <f t="shared" si="0"/>
        <v>0</v>
      </c>
      <c r="G31" s="12"/>
      <c r="H31" s="120"/>
      <c r="I31" s="120"/>
      <c r="J31" s="12"/>
      <c r="K31" s="12"/>
      <c r="L31" s="12"/>
      <c r="M31" s="12"/>
      <c r="N31" s="16"/>
    </row>
    <row r="32" spans="1:14" ht="30" customHeight="1" x14ac:dyDescent="0.2">
      <c r="A32" s="16">
        <v>28</v>
      </c>
      <c r="B32" s="43"/>
      <c r="C32" s="43" t="s">
        <v>556</v>
      </c>
      <c r="D32" s="15">
        <v>0</v>
      </c>
      <c r="E32" s="15">
        <v>0</v>
      </c>
      <c r="F32" s="15">
        <f t="shared" si="0"/>
        <v>0</v>
      </c>
      <c r="G32" s="12"/>
      <c r="H32" s="120"/>
      <c r="I32" s="120"/>
      <c r="J32" s="12"/>
      <c r="K32" s="12"/>
      <c r="L32" s="12"/>
      <c r="M32" s="12"/>
      <c r="N32" s="16"/>
    </row>
    <row r="33" spans="1:14" ht="30" customHeight="1" x14ac:dyDescent="0.2">
      <c r="A33" s="16">
        <v>29</v>
      </c>
      <c r="B33" s="43"/>
      <c r="C33" s="43" t="s">
        <v>83</v>
      </c>
      <c r="D33" s="15">
        <v>0</v>
      </c>
      <c r="E33" s="15">
        <v>2.99</v>
      </c>
      <c r="F33" s="15">
        <f t="shared" si="0"/>
        <v>2.99</v>
      </c>
      <c r="G33" s="12"/>
      <c r="H33" s="120"/>
      <c r="I33" s="120"/>
      <c r="J33" s="12"/>
      <c r="K33" s="12"/>
      <c r="L33" s="12"/>
      <c r="M33" s="12"/>
      <c r="N33" s="16"/>
    </row>
    <row r="34" spans="1:14" ht="30" customHeight="1" x14ac:dyDescent="0.2">
      <c r="A34" s="16">
        <v>30</v>
      </c>
      <c r="B34" s="43" t="s">
        <v>557</v>
      </c>
      <c r="C34" s="43" t="s">
        <v>558</v>
      </c>
      <c r="D34" s="15">
        <v>0</v>
      </c>
      <c r="E34" s="15">
        <v>0</v>
      </c>
      <c r="F34" s="15">
        <f t="shared" si="0"/>
        <v>0</v>
      </c>
      <c r="G34" s="12"/>
      <c r="H34" s="120"/>
      <c r="I34" s="120"/>
      <c r="J34" s="12"/>
      <c r="K34" s="12"/>
      <c r="L34" s="12"/>
      <c r="M34" s="12"/>
      <c r="N34" s="16"/>
    </row>
    <row r="35" spans="1:14" ht="30" customHeight="1" x14ac:dyDescent="0.2">
      <c r="A35" s="16">
        <v>31</v>
      </c>
      <c r="B35" s="43"/>
      <c r="C35" s="43" t="s">
        <v>534</v>
      </c>
      <c r="D35" s="15">
        <v>0</v>
      </c>
      <c r="E35" s="15">
        <v>0</v>
      </c>
      <c r="F35" s="15">
        <f t="shared" si="0"/>
        <v>0</v>
      </c>
      <c r="G35" s="12"/>
      <c r="H35" s="120"/>
      <c r="I35" s="120"/>
      <c r="J35" s="12"/>
      <c r="K35" s="12"/>
      <c r="L35" s="12"/>
      <c r="M35" s="12"/>
      <c r="N35" s="16"/>
    </row>
    <row r="36" spans="1:14" ht="30" customHeight="1" x14ac:dyDescent="0.2">
      <c r="A36" s="16">
        <v>32</v>
      </c>
      <c r="B36" s="43"/>
      <c r="C36" s="43" t="s">
        <v>545</v>
      </c>
      <c r="D36" s="15">
        <v>0</v>
      </c>
      <c r="E36" s="15">
        <v>0</v>
      </c>
      <c r="F36" s="15">
        <f t="shared" si="0"/>
        <v>0</v>
      </c>
      <c r="G36" s="12"/>
      <c r="H36" s="41"/>
      <c r="I36" s="120"/>
      <c r="J36" s="12"/>
      <c r="K36" s="12"/>
      <c r="L36" s="12"/>
      <c r="M36" s="12"/>
      <c r="N36" s="16"/>
    </row>
    <row r="37" spans="1:14" ht="30" customHeight="1" x14ac:dyDescent="0.2">
      <c r="A37" s="16">
        <v>33</v>
      </c>
      <c r="B37" s="43"/>
      <c r="C37" s="43" t="s">
        <v>83</v>
      </c>
      <c r="D37" s="15">
        <v>0</v>
      </c>
      <c r="E37" s="15">
        <v>2.99</v>
      </c>
      <c r="F37" s="15">
        <f t="shared" si="0"/>
        <v>2.99</v>
      </c>
      <c r="G37" s="12"/>
      <c r="H37" s="120"/>
      <c r="I37" s="120"/>
      <c r="J37" s="12"/>
      <c r="K37" s="12"/>
      <c r="L37" s="12"/>
      <c r="M37" s="12"/>
      <c r="N37" s="16"/>
    </row>
    <row r="38" spans="1:14" ht="30" customHeight="1" x14ac:dyDescent="0.2">
      <c r="A38" s="16">
        <v>34</v>
      </c>
      <c r="B38" s="43"/>
      <c r="C38" s="43" t="s">
        <v>559</v>
      </c>
      <c r="D38" s="15">
        <v>0</v>
      </c>
      <c r="E38" s="15">
        <v>0</v>
      </c>
      <c r="F38" s="15">
        <f t="shared" si="0"/>
        <v>0</v>
      </c>
      <c r="G38" s="12"/>
      <c r="H38" s="120"/>
      <c r="I38" s="120"/>
      <c r="J38" s="12"/>
      <c r="K38" s="12"/>
      <c r="L38" s="12"/>
      <c r="M38" s="12"/>
      <c r="N38" s="16"/>
    </row>
    <row r="39" spans="1:14" ht="30" customHeight="1" x14ac:dyDescent="0.2">
      <c r="A39" s="16">
        <v>35</v>
      </c>
      <c r="B39" s="43" t="s">
        <v>83</v>
      </c>
      <c r="C39" s="43" t="s">
        <v>560</v>
      </c>
      <c r="D39" s="15">
        <v>7.99</v>
      </c>
      <c r="E39" s="15">
        <v>0</v>
      </c>
      <c r="F39" s="15">
        <f t="shared" si="0"/>
        <v>7.99</v>
      </c>
      <c r="G39" s="12"/>
      <c r="H39" s="120"/>
      <c r="I39" s="120"/>
      <c r="J39" s="12"/>
      <c r="K39" s="12"/>
      <c r="L39" s="12"/>
      <c r="M39" s="12"/>
      <c r="N39" s="16"/>
    </row>
    <row r="40" spans="1:14" ht="30" customHeight="1" x14ac:dyDescent="0.2">
      <c r="A40" s="16">
        <v>36</v>
      </c>
      <c r="B40" s="43"/>
      <c r="C40" s="43" t="s">
        <v>561</v>
      </c>
      <c r="D40" s="15">
        <v>0</v>
      </c>
      <c r="E40" s="15">
        <v>0</v>
      </c>
      <c r="F40" s="15">
        <f t="shared" si="0"/>
        <v>0</v>
      </c>
      <c r="G40" s="12"/>
      <c r="H40" s="120"/>
      <c r="I40" s="120"/>
      <c r="J40" s="12"/>
      <c r="K40" s="12"/>
      <c r="L40" s="12"/>
      <c r="M40" s="12"/>
      <c r="N40" s="16"/>
    </row>
    <row r="41" spans="1:14" ht="30" customHeight="1" x14ac:dyDescent="0.2">
      <c r="A41" s="16">
        <v>37</v>
      </c>
      <c r="B41" s="43"/>
      <c r="C41" s="43" t="s">
        <v>562</v>
      </c>
      <c r="D41" s="15">
        <v>0</v>
      </c>
      <c r="E41" s="15">
        <v>0</v>
      </c>
      <c r="F41" s="15">
        <f t="shared" si="0"/>
        <v>0</v>
      </c>
      <c r="G41" s="12"/>
      <c r="H41" s="120"/>
      <c r="I41" s="120"/>
      <c r="J41" s="12"/>
      <c r="K41" s="12"/>
      <c r="L41" s="12"/>
      <c r="M41" s="12"/>
      <c r="N41" s="16"/>
    </row>
    <row r="42" spans="1:14" ht="30" customHeight="1" x14ac:dyDescent="0.2">
      <c r="A42" s="16">
        <v>38</v>
      </c>
      <c r="B42" s="43"/>
      <c r="C42" s="43" t="s">
        <v>83</v>
      </c>
      <c r="D42" s="15">
        <v>0</v>
      </c>
      <c r="E42" s="15">
        <v>5.99</v>
      </c>
      <c r="F42" s="15">
        <f t="shared" si="0"/>
        <v>5.99</v>
      </c>
      <c r="G42" s="12"/>
      <c r="H42" s="120"/>
      <c r="I42" s="120"/>
      <c r="J42" s="12"/>
      <c r="K42" s="12"/>
      <c r="L42" s="12"/>
      <c r="M42" s="12"/>
      <c r="N42" s="16"/>
    </row>
    <row r="43" spans="1:14" ht="30" customHeight="1" x14ac:dyDescent="0.2">
      <c r="A43" s="16">
        <v>39</v>
      </c>
      <c r="B43" s="43"/>
      <c r="C43" s="43" t="s">
        <v>556</v>
      </c>
      <c r="D43" s="15">
        <v>0</v>
      </c>
      <c r="E43" s="15">
        <v>0</v>
      </c>
      <c r="F43" s="15">
        <f t="shared" si="0"/>
        <v>0</v>
      </c>
      <c r="G43" s="12"/>
      <c r="H43" s="120"/>
      <c r="I43" s="120"/>
      <c r="J43" s="12"/>
      <c r="K43" s="12"/>
      <c r="L43" s="12"/>
      <c r="M43" s="12"/>
      <c r="N43" s="16"/>
    </row>
    <row r="44" spans="1:14" ht="30" customHeight="1" x14ac:dyDescent="0.2">
      <c r="A44" s="16">
        <v>40</v>
      </c>
      <c r="B44" s="43" t="s">
        <v>563</v>
      </c>
      <c r="C44" s="43" t="s">
        <v>564</v>
      </c>
      <c r="D44" s="15">
        <v>0</v>
      </c>
      <c r="E44" s="15">
        <v>0</v>
      </c>
      <c r="F44" s="15">
        <f t="shared" si="0"/>
        <v>0</v>
      </c>
      <c r="G44" s="12"/>
      <c r="H44" s="120"/>
      <c r="I44" s="120"/>
      <c r="J44" s="12"/>
      <c r="K44" s="12"/>
      <c r="L44" s="12"/>
      <c r="M44" s="12"/>
      <c r="N44" s="16"/>
    </row>
    <row r="45" spans="1:14" ht="30" customHeight="1" x14ac:dyDescent="0.2">
      <c r="A45" s="16">
        <v>41</v>
      </c>
      <c r="B45" s="43"/>
      <c r="C45" s="43" t="s">
        <v>565</v>
      </c>
      <c r="D45" s="15">
        <v>0</v>
      </c>
      <c r="E45" s="15">
        <f>36*L13</f>
        <v>0.995</v>
      </c>
      <c r="F45" s="15">
        <f t="shared" si="0"/>
        <v>0.995</v>
      </c>
      <c r="G45" s="12"/>
      <c r="H45" s="120"/>
      <c r="I45" s="120"/>
      <c r="J45" s="12"/>
      <c r="K45" s="12"/>
      <c r="L45" s="12"/>
      <c r="M45" s="12"/>
      <c r="N45" s="16"/>
    </row>
    <row r="46" spans="1:14" ht="30" customHeight="1" x14ac:dyDescent="0.2">
      <c r="A46" s="16">
        <v>42</v>
      </c>
      <c r="B46" s="43"/>
      <c r="C46" s="43" t="s">
        <v>551</v>
      </c>
      <c r="D46" s="15">
        <v>0</v>
      </c>
      <c r="E46" s="15">
        <v>0</v>
      </c>
      <c r="F46" s="15">
        <f t="shared" si="0"/>
        <v>0</v>
      </c>
      <c r="G46" s="12"/>
      <c r="H46" s="120"/>
      <c r="I46" s="120"/>
      <c r="J46" s="12"/>
      <c r="K46" s="12"/>
      <c r="L46" s="12"/>
      <c r="M46" s="12"/>
      <c r="N46" s="16"/>
    </row>
    <row r="47" spans="1:14" ht="30" customHeight="1" x14ac:dyDescent="0.2">
      <c r="A47" s="16">
        <v>43</v>
      </c>
      <c r="B47" s="43"/>
      <c r="C47" s="43" t="s">
        <v>566</v>
      </c>
      <c r="D47" s="15">
        <v>0</v>
      </c>
      <c r="E47" s="15">
        <f>800*I11</f>
        <v>7.9840000000000009</v>
      </c>
      <c r="F47" s="15">
        <f t="shared" si="0"/>
        <v>7.9840000000000009</v>
      </c>
      <c r="G47" s="12"/>
      <c r="H47" s="120"/>
      <c r="I47" s="120"/>
      <c r="J47" s="12"/>
      <c r="K47" s="12"/>
      <c r="L47" s="12"/>
      <c r="M47" s="12"/>
      <c r="N47" s="16"/>
    </row>
    <row r="48" spans="1:14" ht="30" customHeight="1" x14ac:dyDescent="0.2">
      <c r="A48" s="16">
        <v>44</v>
      </c>
      <c r="B48" s="43"/>
      <c r="C48" s="43" t="s">
        <v>567</v>
      </c>
      <c r="D48" s="15">
        <v>0</v>
      </c>
      <c r="E48" s="15">
        <v>0</v>
      </c>
      <c r="F48" s="15">
        <f t="shared" si="0"/>
        <v>0</v>
      </c>
      <c r="G48" s="12"/>
      <c r="H48" s="120"/>
      <c r="I48" s="120"/>
      <c r="J48" s="12"/>
      <c r="K48" s="12"/>
      <c r="L48" s="12"/>
      <c r="M48" s="12"/>
      <c r="N48" s="16"/>
    </row>
    <row r="49" spans="1:14" ht="30" customHeight="1" x14ac:dyDescent="0.2">
      <c r="A49" s="16">
        <v>45</v>
      </c>
      <c r="B49" s="43" t="s">
        <v>83</v>
      </c>
      <c r="C49" s="43" t="s">
        <v>568</v>
      </c>
      <c r="D49" s="15">
        <v>9.99</v>
      </c>
      <c r="E49" s="15">
        <v>0</v>
      </c>
      <c r="F49" s="15">
        <f t="shared" si="0"/>
        <v>9.99</v>
      </c>
      <c r="G49" s="12"/>
      <c r="H49" s="120"/>
      <c r="I49" s="120"/>
      <c r="J49" s="12"/>
      <c r="K49" s="12"/>
      <c r="L49" s="12"/>
      <c r="M49" s="12"/>
      <c r="N49" s="16"/>
    </row>
    <row r="50" spans="1:14" ht="30" customHeight="1" x14ac:dyDescent="0.2">
      <c r="A50" s="16">
        <v>46</v>
      </c>
      <c r="B50" s="43"/>
      <c r="C50" s="43" t="s">
        <v>569</v>
      </c>
      <c r="D50" s="15">
        <v>0</v>
      </c>
      <c r="E50" s="15">
        <v>0</v>
      </c>
      <c r="F50" s="15">
        <f t="shared" si="0"/>
        <v>0</v>
      </c>
      <c r="G50" s="12"/>
      <c r="H50" s="120"/>
      <c r="I50" s="120"/>
      <c r="J50" s="12"/>
      <c r="K50" s="12"/>
      <c r="L50" s="12"/>
      <c r="M50" s="12"/>
      <c r="N50" s="16"/>
    </row>
    <row r="51" spans="1:14" ht="30" customHeight="1" x14ac:dyDescent="0.2">
      <c r="A51" s="16">
        <v>47</v>
      </c>
      <c r="B51" s="43"/>
      <c r="C51" s="43" t="s">
        <v>570</v>
      </c>
      <c r="D51" s="15">
        <v>0</v>
      </c>
      <c r="E51" s="15">
        <v>0</v>
      </c>
      <c r="F51" s="15">
        <f t="shared" si="0"/>
        <v>0</v>
      </c>
      <c r="G51" s="12"/>
      <c r="H51" s="120"/>
      <c r="I51" s="120"/>
      <c r="J51" s="12"/>
      <c r="K51" s="12"/>
      <c r="L51" s="12"/>
      <c r="M51" s="12"/>
      <c r="N51" s="16"/>
    </row>
    <row r="52" spans="1:14" ht="30" customHeight="1" x14ac:dyDescent="0.2">
      <c r="A52" s="16">
        <v>48</v>
      </c>
      <c r="B52" s="43"/>
      <c r="C52" s="43" t="s">
        <v>571</v>
      </c>
      <c r="D52" s="15">
        <v>0</v>
      </c>
      <c r="E52" s="15">
        <v>0</v>
      </c>
      <c r="F52" s="15">
        <f t="shared" si="0"/>
        <v>0</v>
      </c>
      <c r="G52" s="12"/>
      <c r="H52" s="120"/>
      <c r="I52" s="120"/>
      <c r="J52" s="12"/>
      <c r="K52" s="12"/>
      <c r="L52" s="12"/>
      <c r="M52" s="12"/>
      <c r="N52" s="16"/>
    </row>
    <row r="53" spans="1:14" ht="30" customHeight="1" x14ac:dyDescent="0.2">
      <c r="A53" s="16">
        <v>49</v>
      </c>
      <c r="B53" s="43"/>
      <c r="C53" s="43" t="s">
        <v>572</v>
      </c>
      <c r="D53" s="15">
        <v>0</v>
      </c>
      <c r="E53" s="15">
        <f>36*L7</f>
        <v>1.4924999999999999</v>
      </c>
      <c r="F53" s="15">
        <f t="shared" si="0"/>
        <v>1.4924999999999999</v>
      </c>
      <c r="G53" s="12"/>
      <c r="H53" s="120"/>
      <c r="I53" s="120"/>
      <c r="J53" s="12"/>
      <c r="K53" s="12"/>
      <c r="L53" s="12"/>
      <c r="M53" s="12"/>
      <c r="N53" s="16"/>
    </row>
    <row r="54" spans="1:14" ht="30" customHeight="1" x14ac:dyDescent="0.2">
      <c r="A54" s="16">
        <v>50</v>
      </c>
      <c r="B54" s="43" t="s">
        <v>573</v>
      </c>
      <c r="C54" s="43" t="s">
        <v>574</v>
      </c>
      <c r="D54" s="15">
        <f>10.99</f>
        <v>10.99</v>
      </c>
      <c r="E54" s="15">
        <v>0</v>
      </c>
      <c r="F54" s="15">
        <f t="shared" si="0"/>
        <v>10.99</v>
      </c>
      <c r="G54" s="12"/>
      <c r="H54" s="120"/>
      <c r="I54" s="120"/>
      <c r="J54" s="12"/>
      <c r="K54" s="12"/>
      <c r="L54" s="12"/>
      <c r="M54" s="12"/>
      <c r="N54" s="16"/>
    </row>
    <row r="55" spans="1:14" ht="30" customHeight="1" x14ac:dyDescent="0.2">
      <c r="A55" s="16">
        <v>51</v>
      </c>
      <c r="B55" s="43"/>
      <c r="C55" s="43" t="s">
        <v>83</v>
      </c>
      <c r="D55" s="15">
        <v>0</v>
      </c>
      <c r="E55" s="15">
        <v>5.99</v>
      </c>
      <c r="F55" s="15">
        <f t="shared" si="0"/>
        <v>5.99</v>
      </c>
      <c r="G55" s="12"/>
      <c r="H55" s="120"/>
      <c r="I55" s="120"/>
      <c r="J55" s="12"/>
      <c r="K55" s="12"/>
      <c r="L55" s="12"/>
      <c r="M55" s="12"/>
      <c r="N55" s="16"/>
    </row>
    <row r="56" spans="1:14" ht="30" customHeight="1" x14ac:dyDescent="0.2">
      <c r="A56" s="16">
        <v>52</v>
      </c>
      <c r="B56" s="43"/>
      <c r="C56" s="43" t="s">
        <v>575</v>
      </c>
      <c r="D56" s="15">
        <v>0</v>
      </c>
      <c r="E56" s="15">
        <v>0</v>
      </c>
      <c r="F56" s="15">
        <f t="shared" si="0"/>
        <v>0</v>
      </c>
      <c r="G56" s="12"/>
      <c r="H56" s="120"/>
      <c r="I56" s="120"/>
      <c r="J56" s="12"/>
      <c r="K56" s="12"/>
      <c r="L56" s="12"/>
      <c r="M56" s="12"/>
      <c r="N56" s="16"/>
    </row>
    <row r="57" spans="1:14" ht="30" customHeight="1" x14ac:dyDescent="0.2">
      <c r="A57" s="16">
        <v>53</v>
      </c>
      <c r="B57" s="43"/>
      <c r="C57" s="43" t="s">
        <v>576</v>
      </c>
      <c r="D57" s="15">
        <v>0</v>
      </c>
      <c r="E57" s="15">
        <v>0</v>
      </c>
      <c r="F57" s="15">
        <f t="shared" si="0"/>
        <v>0</v>
      </c>
      <c r="G57" s="12"/>
      <c r="H57" s="120"/>
      <c r="I57" s="120"/>
      <c r="J57" s="12"/>
      <c r="K57" s="12"/>
      <c r="L57" s="12"/>
      <c r="M57" s="12"/>
      <c r="N57" s="16"/>
    </row>
    <row r="58" spans="1:14" ht="30" customHeight="1" x14ac:dyDescent="0.2">
      <c r="A58" s="16">
        <v>54</v>
      </c>
      <c r="B58" s="43"/>
      <c r="C58" s="43" t="s">
        <v>577</v>
      </c>
      <c r="D58" s="15">
        <v>0</v>
      </c>
      <c r="E58" s="15">
        <v>1.99</v>
      </c>
      <c r="F58" s="15">
        <f t="shared" si="0"/>
        <v>1.99</v>
      </c>
      <c r="G58" s="12"/>
      <c r="H58" s="120"/>
      <c r="I58" s="120"/>
      <c r="J58" s="12"/>
      <c r="K58" s="12"/>
      <c r="L58" s="12"/>
      <c r="M58" s="12"/>
      <c r="N58" s="16"/>
    </row>
    <row r="59" spans="1:14" ht="30" customHeight="1" x14ac:dyDescent="0.2">
      <c r="A59" s="16">
        <v>55</v>
      </c>
      <c r="B59" s="43" t="s">
        <v>83</v>
      </c>
      <c r="C59" s="43" t="s">
        <v>578</v>
      </c>
      <c r="D59" s="15">
        <v>11.99</v>
      </c>
      <c r="E59" s="15">
        <v>0</v>
      </c>
      <c r="F59" s="15">
        <f t="shared" si="0"/>
        <v>11.99</v>
      </c>
      <c r="G59" s="12"/>
      <c r="H59" s="120"/>
      <c r="I59" s="120"/>
      <c r="J59" s="12"/>
      <c r="K59" s="12"/>
      <c r="L59" s="12"/>
      <c r="M59" s="12"/>
      <c r="N59" s="16"/>
    </row>
    <row r="60" spans="1:14" ht="30" customHeight="1" x14ac:dyDescent="0.2">
      <c r="A60" s="16">
        <v>56</v>
      </c>
      <c r="B60" s="43"/>
      <c r="C60" s="43" t="s">
        <v>559</v>
      </c>
      <c r="D60" s="15">
        <v>0</v>
      </c>
      <c r="E60" s="15">
        <v>0</v>
      </c>
      <c r="F60" s="15">
        <f t="shared" si="0"/>
        <v>0</v>
      </c>
      <c r="G60" s="12"/>
      <c r="H60" s="120"/>
      <c r="I60" s="120"/>
      <c r="J60" s="12"/>
      <c r="K60" s="12"/>
      <c r="L60" s="12"/>
      <c r="M60" s="12"/>
      <c r="N60" s="16"/>
    </row>
    <row r="61" spans="1:14" ht="30" customHeight="1" x14ac:dyDescent="0.2">
      <c r="A61" s="16">
        <v>57</v>
      </c>
      <c r="B61" s="43"/>
      <c r="C61" s="43" t="s">
        <v>579</v>
      </c>
      <c r="D61" s="15">
        <v>0</v>
      </c>
      <c r="E61" s="15">
        <v>0</v>
      </c>
      <c r="F61" s="15">
        <f t="shared" si="0"/>
        <v>0</v>
      </c>
      <c r="G61" s="12"/>
      <c r="H61" s="120"/>
      <c r="I61" s="120"/>
      <c r="J61" s="12"/>
      <c r="K61" s="12"/>
      <c r="L61" s="12"/>
      <c r="M61" s="12"/>
      <c r="N61" s="16"/>
    </row>
    <row r="62" spans="1:14" ht="30" customHeight="1" x14ac:dyDescent="0.2">
      <c r="A62" s="16">
        <v>58</v>
      </c>
      <c r="B62" s="43"/>
      <c r="C62" s="43" t="s">
        <v>580</v>
      </c>
      <c r="D62" s="15">
        <v>0</v>
      </c>
      <c r="E62" s="15">
        <v>0</v>
      </c>
      <c r="F62" s="15">
        <f t="shared" si="0"/>
        <v>0</v>
      </c>
      <c r="G62" s="12"/>
      <c r="H62" s="120"/>
      <c r="I62" s="120"/>
      <c r="J62" s="12"/>
      <c r="K62" s="12"/>
      <c r="L62" s="12"/>
      <c r="M62" s="12"/>
      <c r="N62" s="16"/>
    </row>
    <row r="63" spans="1:14" ht="30" customHeight="1" x14ac:dyDescent="0.2">
      <c r="A63" s="16">
        <v>59</v>
      </c>
      <c r="B63" s="43"/>
      <c r="C63" s="43" t="s">
        <v>83</v>
      </c>
      <c r="D63" s="15">
        <v>0</v>
      </c>
      <c r="E63" s="15">
        <v>5.99</v>
      </c>
      <c r="F63" s="15">
        <f t="shared" si="0"/>
        <v>5.99</v>
      </c>
      <c r="G63" s="12"/>
      <c r="H63" s="120"/>
      <c r="I63" s="120"/>
      <c r="J63" s="12"/>
      <c r="K63" s="12"/>
      <c r="L63" s="12"/>
      <c r="M63" s="12"/>
      <c r="N63" s="16"/>
    </row>
    <row r="64" spans="1:14" ht="30" customHeight="1" x14ac:dyDescent="0.2">
      <c r="A64" s="16">
        <v>60</v>
      </c>
      <c r="B64" s="43" t="s">
        <v>581</v>
      </c>
      <c r="C64" s="43" t="s">
        <v>582</v>
      </c>
      <c r="D64" s="15">
        <v>13.99</v>
      </c>
      <c r="E64" s="15">
        <v>0</v>
      </c>
      <c r="F64" s="15">
        <f t="shared" si="0"/>
        <v>13.99</v>
      </c>
      <c r="G64" s="12"/>
      <c r="H64" s="120"/>
      <c r="I64" s="120"/>
      <c r="J64" s="12"/>
      <c r="K64" s="12"/>
      <c r="L64" s="12"/>
      <c r="M64" s="12"/>
      <c r="N64" s="16"/>
    </row>
    <row r="65" spans="1:14" ht="30" customHeight="1" x14ac:dyDescent="0.2">
      <c r="A65" s="16">
        <v>61</v>
      </c>
      <c r="B65" s="43"/>
      <c r="C65" s="43" t="s">
        <v>583</v>
      </c>
      <c r="D65" s="15">
        <v>0</v>
      </c>
      <c r="E65" s="15">
        <v>0</v>
      </c>
      <c r="F65" s="15">
        <f t="shared" si="0"/>
        <v>0</v>
      </c>
      <c r="G65" s="12"/>
      <c r="H65" s="120"/>
      <c r="I65" s="120"/>
      <c r="J65" s="12"/>
      <c r="K65" s="12"/>
      <c r="L65" s="12"/>
      <c r="M65" s="12"/>
      <c r="N65" s="16"/>
    </row>
    <row r="66" spans="1:14" ht="30" customHeight="1" x14ac:dyDescent="0.2">
      <c r="A66" s="16">
        <v>62</v>
      </c>
      <c r="B66" s="43"/>
      <c r="C66" s="43" t="s">
        <v>553</v>
      </c>
      <c r="D66" s="15">
        <v>0</v>
      </c>
      <c r="E66" s="15">
        <v>0</v>
      </c>
      <c r="F66" s="15">
        <f t="shared" si="0"/>
        <v>0</v>
      </c>
      <c r="G66" s="12"/>
      <c r="H66" s="120"/>
      <c r="I66" s="120"/>
      <c r="J66" s="12"/>
      <c r="K66" s="12"/>
      <c r="L66" s="12"/>
      <c r="M66" s="12"/>
      <c r="N66" s="16"/>
    </row>
    <row r="67" spans="1:14" ht="30" customHeight="1" x14ac:dyDescent="0.2">
      <c r="A67" s="16">
        <v>63</v>
      </c>
      <c r="B67" s="43"/>
      <c r="C67" s="43" t="s">
        <v>584</v>
      </c>
      <c r="D67" s="15">
        <v>0</v>
      </c>
      <c r="E67" s="15">
        <v>0</v>
      </c>
      <c r="F67" s="15">
        <f t="shared" si="0"/>
        <v>0</v>
      </c>
      <c r="G67" s="12"/>
      <c r="H67" s="120"/>
      <c r="I67" s="120"/>
      <c r="J67" s="12"/>
      <c r="K67" s="12"/>
      <c r="L67" s="12"/>
      <c r="M67" s="12"/>
      <c r="N67" s="16"/>
    </row>
    <row r="68" spans="1:14" ht="30" customHeight="1" x14ac:dyDescent="0.15">
      <c r="A68" s="16">
        <v>64</v>
      </c>
      <c r="B68" s="43"/>
      <c r="C68" s="43" t="s">
        <v>585</v>
      </c>
      <c r="D68" s="15">
        <v>0</v>
      </c>
      <c r="E68" s="15">
        <v>0</v>
      </c>
      <c r="F68" s="15">
        <f t="shared" si="0"/>
        <v>0</v>
      </c>
      <c r="G68" s="12"/>
      <c r="H68" s="12"/>
      <c r="I68" s="12"/>
      <c r="J68" s="12"/>
      <c r="K68" s="12"/>
      <c r="L68" s="12"/>
      <c r="M68" s="12"/>
      <c r="N68" s="16"/>
    </row>
    <row r="69" spans="1:14" ht="30" customHeight="1" x14ac:dyDescent="0.15">
      <c r="A69" s="16">
        <v>65</v>
      </c>
      <c r="B69" s="43" t="s">
        <v>83</v>
      </c>
      <c r="C69" s="43" t="s">
        <v>586</v>
      </c>
      <c r="D69" s="15">
        <v>15.99</v>
      </c>
      <c r="E69" s="15">
        <v>0</v>
      </c>
      <c r="F69" s="15">
        <f t="shared" si="0"/>
        <v>15.99</v>
      </c>
      <c r="G69" s="12"/>
      <c r="H69" s="12"/>
      <c r="I69" s="12"/>
      <c r="J69" s="12"/>
      <c r="K69" s="12"/>
      <c r="L69" s="12"/>
      <c r="M69" s="12"/>
      <c r="N69" s="16"/>
    </row>
    <row r="70" spans="1:14" ht="30" customHeight="1" x14ac:dyDescent="0.15">
      <c r="A70" s="16">
        <v>66</v>
      </c>
      <c r="B70" s="43"/>
      <c r="C70" s="43" t="s">
        <v>587</v>
      </c>
      <c r="D70" s="15">
        <v>0</v>
      </c>
      <c r="E70" s="15">
        <f>2*L12</f>
        <v>1.3266666666666667</v>
      </c>
      <c r="F70" s="15">
        <f t="shared" si="0"/>
        <v>1.3266666666666667</v>
      </c>
      <c r="G70" s="12"/>
      <c r="H70" s="12"/>
      <c r="I70" s="12"/>
      <c r="J70" s="12"/>
      <c r="K70" s="12"/>
      <c r="L70" s="12"/>
      <c r="M70" s="12"/>
      <c r="N70" s="16"/>
    </row>
    <row r="71" spans="1:14" ht="30" customHeight="1" x14ac:dyDescent="0.15">
      <c r="A71" s="16">
        <v>67</v>
      </c>
      <c r="B71" s="43"/>
      <c r="C71" s="43" t="s">
        <v>588</v>
      </c>
      <c r="D71" s="15">
        <v>0</v>
      </c>
      <c r="E71" s="15">
        <v>0</v>
      </c>
      <c r="F71" s="15">
        <f t="shared" si="0"/>
        <v>0</v>
      </c>
      <c r="G71" s="12"/>
      <c r="H71" s="12"/>
      <c r="I71" s="12"/>
      <c r="J71" s="12"/>
      <c r="K71" s="12"/>
      <c r="L71" s="12"/>
      <c r="M71" s="12"/>
      <c r="N71" s="16"/>
    </row>
    <row r="72" spans="1:14" ht="30" customHeight="1" x14ac:dyDescent="0.15">
      <c r="A72" s="16">
        <v>68</v>
      </c>
      <c r="B72" s="43"/>
      <c r="C72" s="43" t="s">
        <v>589</v>
      </c>
      <c r="D72" s="15">
        <v>0</v>
      </c>
      <c r="E72" s="15">
        <v>0</v>
      </c>
      <c r="F72" s="15">
        <f t="shared" si="0"/>
        <v>0</v>
      </c>
      <c r="G72" s="12"/>
      <c r="H72" s="12"/>
      <c r="I72" s="12"/>
      <c r="J72" s="12"/>
      <c r="K72" s="12"/>
      <c r="L72" s="12"/>
      <c r="M72" s="12"/>
      <c r="N72" s="16"/>
    </row>
    <row r="73" spans="1:14" ht="30" customHeight="1" x14ac:dyDescent="0.15">
      <c r="A73" s="16">
        <v>69</v>
      </c>
      <c r="B73" s="43"/>
      <c r="C73" s="43" t="s">
        <v>590</v>
      </c>
      <c r="D73" s="15">
        <v>0</v>
      </c>
      <c r="E73" s="15">
        <v>0</v>
      </c>
      <c r="F73" s="15">
        <f t="shared" si="0"/>
        <v>0</v>
      </c>
      <c r="G73" s="12"/>
      <c r="H73" s="12"/>
      <c r="I73" s="12"/>
      <c r="J73" s="12"/>
      <c r="K73" s="12"/>
      <c r="L73" s="12"/>
      <c r="M73" s="12"/>
      <c r="N73" s="16"/>
    </row>
    <row r="74" spans="1:14" ht="30" customHeight="1" x14ac:dyDescent="0.15">
      <c r="A74" s="16">
        <v>70</v>
      </c>
      <c r="B74" s="43" t="s">
        <v>591</v>
      </c>
      <c r="C74" s="43" t="s">
        <v>592</v>
      </c>
      <c r="D74" s="15">
        <v>0</v>
      </c>
      <c r="E74" s="15">
        <f>1600*I11</f>
        <v>15.968000000000002</v>
      </c>
      <c r="F74" s="15">
        <f t="shared" si="0"/>
        <v>15.968000000000002</v>
      </c>
      <c r="G74" s="12"/>
      <c r="H74" s="12"/>
      <c r="I74" s="12"/>
      <c r="J74" s="12"/>
      <c r="K74" s="12"/>
      <c r="L74" s="12"/>
      <c r="M74" s="12"/>
      <c r="N74" s="16"/>
    </row>
    <row r="75" spans="1:14" ht="30" customHeight="1" x14ac:dyDescent="0.15">
      <c r="A75" s="16">
        <v>71</v>
      </c>
      <c r="B75" s="43"/>
      <c r="C75" s="43" t="s">
        <v>83</v>
      </c>
      <c r="D75" s="15">
        <v>0</v>
      </c>
      <c r="E75" s="15">
        <v>11.99</v>
      </c>
      <c r="F75" s="15">
        <f t="shared" si="0"/>
        <v>11.99</v>
      </c>
      <c r="G75" s="12"/>
      <c r="H75" s="12"/>
      <c r="I75" s="12"/>
      <c r="J75" s="12"/>
      <c r="K75" s="12"/>
      <c r="L75" s="12"/>
      <c r="M75" s="12"/>
      <c r="N75" s="16"/>
    </row>
    <row r="76" spans="1:14" ht="30" customHeight="1" x14ac:dyDescent="0.15">
      <c r="A76" s="16">
        <v>72</v>
      </c>
      <c r="B76" s="43"/>
      <c r="C76" s="43" t="s">
        <v>593</v>
      </c>
      <c r="D76" s="15">
        <v>0</v>
      </c>
      <c r="E76" s="15">
        <v>0</v>
      </c>
      <c r="F76" s="15">
        <f t="shared" si="0"/>
        <v>0</v>
      </c>
      <c r="G76" s="12"/>
      <c r="H76" s="12"/>
      <c r="I76" s="12"/>
      <c r="J76" s="12"/>
      <c r="K76" s="12"/>
      <c r="L76" s="12"/>
      <c r="M76" s="12"/>
      <c r="N76" s="16"/>
    </row>
    <row r="77" spans="1:14" ht="30" customHeight="1" x14ac:dyDescent="0.15">
      <c r="A77" s="16">
        <v>73</v>
      </c>
      <c r="B77" s="43"/>
      <c r="C77" s="43" t="s">
        <v>584</v>
      </c>
      <c r="D77" s="15">
        <v>0</v>
      </c>
      <c r="E77" s="15">
        <v>0</v>
      </c>
      <c r="F77" s="15">
        <f t="shared" si="0"/>
        <v>0</v>
      </c>
      <c r="G77" s="12"/>
      <c r="H77" s="12"/>
      <c r="I77" s="12"/>
      <c r="J77" s="12"/>
      <c r="K77" s="12"/>
      <c r="L77" s="12"/>
      <c r="M77" s="12"/>
      <c r="N77" s="16"/>
    </row>
    <row r="78" spans="1:14" ht="30" customHeight="1" x14ac:dyDescent="0.15">
      <c r="A78" s="16">
        <v>74</v>
      </c>
      <c r="B78" s="43"/>
      <c r="C78" s="43" t="s">
        <v>589</v>
      </c>
      <c r="D78" s="15">
        <v>0</v>
      </c>
      <c r="E78" s="15">
        <v>0</v>
      </c>
      <c r="F78" s="15">
        <f t="shared" si="0"/>
        <v>0</v>
      </c>
      <c r="G78" s="12"/>
      <c r="H78" s="12"/>
      <c r="I78" s="12"/>
      <c r="J78" s="12"/>
      <c r="K78" s="12"/>
      <c r="L78" s="12"/>
      <c r="M78" s="12"/>
      <c r="N78" s="16"/>
    </row>
    <row r="79" spans="1:14" ht="30" customHeight="1" x14ac:dyDescent="0.15">
      <c r="A79" s="16">
        <v>75</v>
      </c>
      <c r="B79" s="43" t="s">
        <v>83</v>
      </c>
      <c r="C79" s="43" t="s">
        <v>588</v>
      </c>
      <c r="D79" s="15">
        <v>19.989999999999998</v>
      </c>
      <c r="E79" s="15">
        <v>0</v>
      </c>
      <c r="F79" s="15">
        <f t="shared" si="0"/>
        <v>19.989999999999998</v>
      </c>
      <c r="G79" s="12"/>
      <c r="H79" s="12"/>
      <c r="I79" s="12"/>
      <c r="J79" s="12"/>
      <c r="K79" s="12"/>
      <c r="L79" s="12"/>
      <c r="M79" s="12"/>
      <c r="N79" s="16"/>
    </row>
    <row r="80" spans="1:14" ht="30" customHeight="1" x14ac:dyDescent="0.15">
      <c r="A80" s="16">
        <v>76</v>
      </c>
      <c r="B80" s="43"/>
      <c r="C80" s="43" t="s">
        <v>594</v>
      </c>
      <c r="D80" s="15">
        <v>0</v>
      </c>
      <c r="E80" s="15">
        <f>2*L6</f>
        <v>1.99</v>
      </c>
      <c r="F80" s="15">
        <f t="shared" si="0"/>
        <v>1.99</v>
      </c>
      <c r="G80" s="12"/>
      <c r="H80" s="12"/>
      <c r="I80" s="12"/>
      <c r="J80" s="12"/>
      <c r="K80" s="12"/>
      <c r="L80" s="12"/>
      <c r="M80" s="12"/>
      <c r="N80" s="16"/>
    </row>
    <row r="81" spans="1:14" ht="30" customHeight="1" x14ac:dyDescent="0.15">
      <c r="A81" s="16">
        <v>77</v>
      </c>
      <c r="B81" s="43"/>
      <c r="C81" s="43" t="s">
        <v>595</v>
      </c>
      <c r="D81" s="15">
        <v>0</v>
      </c>
      <c r="E81" s="15">
        <v>0</v>
      </c>
      <c r="F81" s="15">
        <f t="shared" si="0"/>
        <v>0</v>
      </c>
      <c r="G81" s="12"/>
      <c r="H81" s="12"/>
      <c r="I81" s="12"/>
      <c r="J81" s="12"/>
      <c r="K81" s="12"/>
      <c r="L81" s="12"/>
      <c r="M81" s="12"/>
      <c r="N81" s="16"/>
    </row>
    <row r="82" spans="1:14" ht="30" customHeight="1" x14ac:dyDescent="0.15">
      <c r="A82" s="16">
        <v>78</v>
      </c>
      <c r="B82" s="43"/>
      <c r="C82" s="43" t="s">
        <v>596</v>
      </c>
      <c r="D82" s="15">
        <v>0</v>
      </c>
      <c r="E82" s="15">
        <v>0</v>
      </c>
      <c r="F82" s="15">
        <f t="shared" si="0"/>
        <v>0</v>
      </c>
      <c r="G82" s="12"/>
      <c r="H82" s="12"/>
      <c r="I82" s="12"/>
      <c r="J82" s="12"/>
      <c r="K82" s="12"/>
      <c r="L82" s="12"/>
      <c r="M82" s="12"/>
      <c r="N82" s="16"/>
    </row>
    <row r="83" spans="1:14" ht="30" customHeight="1" x14ac:dyDescent="0.15">
      <c r="A83" s="16">
        <v>79</v>
      </c>
      <c r="B83" s="43"/>
      <c r="C83" s="43" t="s">
        <v>597</v>
      </c>
      <c r="D83" s="15">
        <v>0</v>
      </c>
      <c r="E83" s="15">
        <v>0</v>
      </c>
      <c r="F83" s="15">
        <f t="shared" si="0"/>
        <v>0</v>
      </c>
      <c r="G83" s="12"/>
      <c r="H83" s="12"/>
      <c r="I83" s="12"/>
      <c r="J83" s="12"/>
      <c r="K83" s="12"/>
      <c r="L83" s="12"/>
      <c r="M83" s="12"/>
      <c r="N83" s="16"/>
    </row>
    <row r="84" spans="1:14" ht="30" customHeight="1" x14ac:dyDescent="0.15">
      <c r="A84" s="16">
        <v>80</v>
      </c>
      <c r="B84" s="43" t="s">
        <v>598</v>
      </c>
      <c r="C84" s="43" t="s">
        <v>599</v>
      </c>
      <c r="D84" s="15">
        <v>0</v>
      </c>
      <c r="E84" s="15">
        <v>0</v>
      </c>
      <c r="F84" s="15">
        <f t="shared" si="0"/>
        <v>0</v>
      </c>
      <c r="G84" s="12"/>
      <c r="H84" s="12"/>
      <c r="I84" s="12"/>
      <c r="J84" s="12"/>
      <c r="K84" s="12"/>
      <c r="L84" s="12"/>
      <c r="M84" s="12"/>
      <c r="N84" s="16"/>
    </row>
    <row r="85" spans="1:14" ht="30" customHeight="1" x14ac:dyDescent="0.15">
      <c r="A85" s="16">
        <v>81</v>
      </c>
      <c r="B85" s="43"/>
      <c r="C85" s="43" t="s">
        <v>83</v>
      </c>
      <c r="D85" s="15">
        <v>0</v>
      </c>
      <c r="E85" s="15">
        <v>11.99</v>
      </c>
      <c r="F85" s="15">
        <f t="shared" si="0"/>
        <v>11.99</v>
      </c>
      <c r="G85" s="12"/>
      <c r="H85" s="12"/>
      <c r="I85" s="12"/>
      <c r="J85" s="12"/>
      <c r="K85" s="12"/>
      <c r="L85" s="12"/>
      <c r="M85" s="12"/>
      <c r="N85" s="16"/>
    </row>
    <row r="86" spans="1:14" ht="30" customHeight="1" x14ac:dyDescent="0.15">
      <c r="A86" s="16">
        <v>82</v>
      </c>
      <c r="B86" s="43"/>
      <c r="C86" s="43" t="s">
        <v>600</v>
      </c>
      <c r="D86" s="15">
        <v>0</v>
      </c>
      <c r="E86" s="15">
        <v>0</v>
      </c>
      <c r="F86" s="15">
        <f t="shared" si="0"/>
        <v>0</v>
      </c>
      <c r="G86" s="12"/>
      <c r="H86" s="12"/>
      <c r="I86" s="12"/>
      <c r="J86" s="12"/>
      <c r="K86" s="12"/>
      <c r="L86" s="12"/>
      <c r="M86" s="12"/>
      <c r="N86" s="16"/>
    </row>
    <row r="87" spans="1:14" ht="30" customHeight="1" x14ac:dyDescent="0.15">
      <c r="A87" s="16">
        <v>83</v>
      </c>
      <c r="B87" s="43"/>
      <c r="C87" s="43" t="s">
        <v>601</v>
      </c>
      <c r="D87" s="15">
        <v>0</v>
      </c>
      <c r="E87" s="15">
        <f>L18*2</f>
        <v>2.66</v>
      </c>
      <c r="F87" s="15">
        <f t="shared" si="0"/>
        <v>2.66</v>
      </c>
      <c r="G87" s="12"/>
      <c r="H87" s="12"/>
      <c r="I87" s="12"/>
      <c r="J87" s="12"/>
      <c r="K87" s="12"/>
      <c r="L87" s="12"/>
      <c r="M87" s="12"/>
      <c r="N87" s="16"/>
    </row>
    <row r="88" spans="1:14" ht="30" customHeight="1" x14ac:dyDescent="0.15">
      <c r="A88" s="16">
        <v>84</v>
      </c>
      <c r="B88" s="43"/>
      <c r="C88" s="43" t="s">
        <v>83</v>
      </c>
      <c r="D88" s="15">
        <v>0</v>
      </c>
      <c r="E88" s="15">
        <v>11.99</v>
      </c>
      <c r="F88" s="15">
        <f t="shared" si="0"/>
        <v>11.99</v>
      </c>
      <c r="G88" s="12"/>
      <c r="H88" s="12"/>
      <c r="I88" s="12"/>
      <c r="J88" s="12"/>
      <c r="K88" s="12"/>
      <c r="L88" s="12"/>
      <c r="M88" s="12"/>
      <c r="N88" s="16"/>
    </row>
    <row r="89" spans="1:14" ht="30" customHeight="1" x14ac:dyDescent="0.15">
      <c r="A89" s="16">
        <v>85</v>
      </c>
      <c r="B89" s="43" t="s">
        <v>83</v>
      </c>
      <c r="C89" s="43" t="s">
        <v>602</v>
      </c>
      <c r="D89" s="15">
        <v>24.99</v>
      </c>
      <c r="E89" s="15">
        <v>0</v>
      </c>
      <c r="F89" s="15">
        <f t="shared" si="0"/>
        <v>24.99</v>
      </c>
      <c r="G89" s="12"/>
      <c r="H89" s="12"/>
      <c r="I89" s="12"/>
      <c r="J89" s="12"/>
      <c r="K89" s="12"/>
      <c r="L89" s="12"/>
      <c r="M89" s="12"/>
      <c r="N89" s="16"/>
    </row>
    <row r="90" spans="1:14" ht="30" customHeight="1" x14ac:dyDescent="0.15">
      <c r="A90" s="16">
        <v>86</v>
      </c>
      <c r="B90" s="43"/>
      <c r="C90" s="43" t="s">
        <v>603</v>
      </c>
      <c r="D90" s="15">
        <v>0</v>
      </c>
      <c r="E90" s="15">
        <v>0</v>
      </c>
      <c r="F90" s="15">
        <f t="shared" si="0"/>
        <v>0</v>
      </c>
      <c r="G90" s="12"/>
      <c r="H90" s="12"/>
      <c r="I90" s="12"/>
      <c r="J90" s="12"/>
      <c r="K90" s="12"/>
      <c r="L90" s="12"/>
      <c r="M90" s="12"/>
      <c r="N90" s="16"/>
    </row>
    <row r="91" spans="1:14" ht="30" customHeight="1" x14ac:dyDescent="0.15">
      <c r="A91" s="16">
        <v>87</v>
      </c>
      <c r="B91" s="43"/>
      <c r="C91" s="43" t="s">
        <v>604</v>
      </c>
      <c r="D91" s="15">
        <v>0</v>
      </c>
      <c r="E91" s="15">
        <v>0</v>
      </c>
      <c r="F91" s="15">
        <f t="shared" si="0"/>
        <v>0</v>
      </c>
      <c r="G91" s="12"/>
      <c r="H91" s="12"/>
      <c r="I91" s="12"/>
      <c r="J91" s="12"/>
      <c r="K91" s="12"/>
      <c r="L91" s="12"/>
      <c r="M91" s="12"/>
      <c r="N91" s="16"/>
    </row>
    <row r="92" spans="1:14" ht="30" customHeight="1" x14ac:dyDescent="0.15">
      <c r="A92" s="16">
        <v>88</v>
      </c>
      <c r="B92" s="43"/>
      <c r="C92" s="43" t="s">
        <v>605</v>
      </c>
      <c r="D92" s="15">
        <v>0</v>
      </c>
      <c r="E92" s="15">
        <v>0</v>
      </c>
      <c r="F92" s="15">
        <f t="shared" si="0"/>
        <v>0</v>
      </c>
      <c r="G92" s="12"/>
      <c r="H92" s="12"/>
      <c r="I92" s="12"/>
      <c r="J92" s="12"/>
      <c r="K92" s="12"/>
      <c r="L92" s="12"/>
      <c r="M92" s="12"/>
      <c r="N92" s="16"/>
    </row>
    <row r="93" spans="1:14" ht="30" customHeight="1" x14ac:dyDescent="0.15">
      <c r="A93" s="16">
        <v>89</v>
      </c>
      <c r="B93" s="43"/>
      <c r="C93" s="43" t="s">
        <v>606</v>
      </c>
      <c r="D93" s="15">
        <v>0</v>
      </c>
      <c r="E93" s="15">
        <v>0</v>
      </c>
      <c r="F93" s="15">
        <f t="shared" si="0"/>
        <v>0</v>
      </c>
      <c r="G93" s="12"/>
      <c r="H93" s="12"/>
      <c r="I93" s="12"/>
      <c r="J93" s="12"/>
      <c r="K93" s="12"/>
      <c r="L93" s="12"/>
      <c r="M93" s="12"/>
      <c r="N93" s="16"/>
    </row>
    <row r="94" spans="1:14" ht="30" customHeight="1" x14ac:dyDescent="0.15">
      <c r="A94" s="16">
        <v>90</v>
      </c>
      <c r="B94" s="43" t="s">
        <v>607</v>
      </c>
      <c r="C94" s="43" t="s">
        <v>608</v>
      </c>
      <c r="D94" s="15">
        <v>24.99</v>
      </c>
      <c r="E94" s="15">
        <v>0</v>
      </c>
      <c r="F94" s="15">
        <f t="shared" si="0"/>
        <v>24.99</v>
      </c>
      <c r="G94" s="12"/>
      <c r="H94" s="12"/>
      <c r="I94" s="12"/>
      <c r="J94" s="12"/>
      <c r="K94" s="12"/>
      <c r="L94" s="12"/>
      <c r="M94" s="12"/>
      <c r="N94" s="16"/>
    </row>
    <row r="95" spans="1:14" ht="30" customHeight="1" x14ac:dyDescent="0.15">
      <c r="A95" s="16">
        <v>91</v>
      </c>
      <c r="B95" s="43"/>
      <c r="C95" s="43" t="s">
        <v>609</v>
      </c>
      <c r="D95" s="15">
        <v>0</v>
      </c>
      <c r="E95" s="15">
        <v>0</v>
      </c>
      <c r="F95" s="15">
        <f t="shared" si="0"/>
        <v>0</v>
      </c>
      <c r="G95" s="12"/>
      <c r="H95" s="12"/>
      <c r="I95" s="12"/>
      <c r="J95" s="12"/>
      <c r="K95" s="12"/>
      <c r="L95" s="12"/>
      <c r="M95" s="12"/>
      <c r="N95" s="16"/>
    </row>
    <row r="96" spans="1:14" ht="30" customHeight="1" x14ac:dyDescent="0.15">
      <c r="A96" s="16">
        <v>92</v>
      </c>
      <c r="B96" s="43"/>
      <c r="C96" s="43" t="s">
        <v>517</v>
      </c>
      <c r="D96" s="15">
        <v>0</v>
      </c>
      <c r="E96" s="15">
        <v>0</v>
      </c>
      <c r="F96" s="15">
        <f t="shared" si="0"/>
        <v>0</v>
      </c>
      <c r="G96" s="12"/>
      <c r="H96" s="12"/>
      <c r="I96" s="12"/>
      <c r="J96" s="12"/>
      <c r="K96" s="12"/>
      <c r="L96" s="12"/>
      <c r="M96" s="12"/>
      <c r="N96" s="16"/>
    </row>
    <row r="97" spans="1:14" ht="30" customHeight="1" x14ac:dyDescent="0.15">
      <c r="A97" s="16">
        <v>93</v>
      </c>
      <c r="B97" s="43"/>
      <c r="C97" s="43" t="s">
        <v>83</v>
      </c>
      <c r="D97" s="15">
        <v>0</v>
      </c>
      <c r="E97" s="15">
        <v>14.99</v>
      </c>
      <c r="F97" s="15">
        <f t="shared" si="0"/>
        <v>14.99</v>
      </c>
      <c r="G97" s="12"/>
      <c r="H97" s="12"/>
      <c r="I97" s="12"/>
      <c r="J97" s="12"/>
      <c r="K97" s="12"/>
      <c r="L97" s="12"/>
      <c r="M97" s="12"/>
      <c r="N97" s="16"/>
    </row>
    <row r="98" spans="1:14" ht="30" customHeight="1" x14ac:dyDescent="0.15">
      <c r="A98" s="16">
        <v>94</v>
      </c>
      <c r="B98" s="43"/>
      <c r="C98" s="43" t="s">
        <v>610</v>
      </c>
      <c r="D98" s="15">
        <v>0</v>
      </c>
      <c r="E98" s="15">
        <v>0</v>
      </c>
      <c r="F98" s="15">
        <f t="shared" si="0"/>
        <v>0</v>
      </c>
      <c r="G98" s="12"/>
      <c r="H98" s="12"/>
      <c r="I98" s="12"/>
      <c r="J98" s="12"/>
      <c r="K98" s="12"/>
      <c r="L98" s="12"/>
      <c r="M98" s="12"/>
      <c r="N98" s="16"/>
    </row>
    <row r="99" spans="1:14" ht="30" customHeight="1" x14ac:dyDescent="0.15">
      <c r="A99" s="16">
        <v>95</v>
      </c>
      <c r="B99" s="43" t="s">
        <v>83</v>
      </c>
      <c r="C99" s="43" t="s">
        <v>611</v>
      </c>
      <c r="D99" s="15">
        <v>29.99</v>
      </c>
      <c r="E99" s="15">
        <v>0</v>
      </c>
      <c r="F99" s="15">
        <f t="shared" si="0"/>
        <v>29.99</v>
      </c>
      <c r="G99" s="12"/>
      <c r="H99" s="12"/>
      <c r="I99" s="12"/>
      <c r="J99" s="12"/>
      <c r="K99" s="12"/>
      <c r="L99" s="12"/>
      <c r="M99" s="12"/>
      <c r="N99" s="16"/>
    </row>
    <row r="100" spans="1:14" ht="30" customHeight="1" x14ac:dyDescent="0.15">
      <c r="A100" s="16">
        <v>96</v>
      </c>
      <c r="B100" s="43"/>
      <c r="C100" s="43" t="s">
        <v>612</v>
      </c>
      <c r="D100" s="15">
        <v>0</v>
      </c>
      <c r="E100" s="15">
        <f>1600*I11</f>
        <v>15.968000000000002</v>
      </c>
      <c r="F100" s="15">
        <f t="shared" si="0"/>
        <v>15.968000000000002</v>
      </c>
      <c r="G100" s="12"/>
      <c r="H100" s="12"/>
      <c r="I100" s="12"/>
      <c r="J100" s="12"/>
      <c r="K100" s="12"/>
      <c r="L100" s="12"/>
      <c r="M100" s="12"/>
      <c r="N100" s="16"/>
    </row>
    <row r="101" spans="1:14" ht="30" customHeight="1" x14ac:dyDescent="0.15">
      <c r="A101" s="16">
        <v>97</v>
      </c>
      <c r="B101" s="43"/>
      <c r="C101" s="43" t="s">
        <v>83</v>
      </c>
      <c r="D101" s="15">
        <v>0</v>
      </c>
      <c r="E101" s="15">
        <v>23.99</v>
      </c>
      <c r="F101" s="15">
        <f t="shared" si="0"/>
        <v>23.99</v>
      </c>
      <c r="G101" s="12"/>
      <c r="H101" s="12"/>
      <c r="I101" s="12"/>
      <c r="J101" s="12"/>
      <c r="K101" s="12"/>
      <c r="L101" s="12"/>
      <c r="M101" s="12"/>
      <c r="N101" s="16"/>
    </row>
    <row r="102" spans="1:14" ht="30" customHeight="1" x14ac:dyDescent="0.15">
      <c r="A102" s="16">
        <v>98</v>
      </c>
      <c r="B102" s="43"/>
      <c r="C102" s="43" t="s">
        <v>613</v>
      </c>
      <c r="D102" s="15">
        <v>0</v>
      </c>
      <c r="E102" s="15">
        <v>0</v>
      </c>
      <c r="F102" s="15">
        <f t="shared" si="0"/>
        <v>0</v>
      </c>
      <c r="G102" s="12"/>
      <c r="H102" s="12"/>
      <c r="I102" s="12"/>
      <c r="J102" s="12"/>
      <c r="K102" s="12"/>
      <c r="L102" s="12"/>
      <c r="M102" s="12"/>
      <c r="N102" s="16"/>
    </row>
    <row r="103" spans="1:14" ht="30" customHeight="1" x14ac:dyDescent="0.15">
      <c r="A103" s="16">
        <v>99</v>
      </c>
      <c r="B103" s="43"/>
      <c r="C103" s="43" t="s">
        <v>614</v>
      </c>
      <c r="D103" s="15">
        <v>0</v>
      </c>
      <c r="E103" s="15">
        <v>0</v>
      </c>
      <c r="F103" s="15">
        <f t="shared" si="0"/>
        <v>0</v>
      </c>
      <c r="G103" s="12"/>
      <c r="H103" s="12"/>
      <c r="I103" s="12"/>
      <c r="J103" s="12"/>
      <c r="K103" s="12"/>
      <c r="L103" s="12"/>
      <c r="M103" s="12"/>
      <c r="N103" s="16"/>
    </row>
    <row r="104" spans="1:14" ht="30" customHeight="1" x14ac:dyDescent="0.15">
      <c r="A104" s="16">
        <v>100</v>
      </c>
      <c r="B104" s="43" t="s">
        <v>615</v>
      </c>
      <c r="C104" s="43" t="s">
        <v>616</v>
      </c>
      <c r="D104" s="15">
        <v>0</v>
      </c>
      <c r="E104" s="15">
        <v>0</v>
      </c>
      <c r="F104" s="15">
        <f t="shared" si="0"/>
        <v>0</v>
      </c>
      <c r="G104" s="12"/>
      <c r="H104" s="12"/>
      <c r="I104" s="12"/>
      <c r="J104" s="12"/>
      <c r="K104" s="12"/>
      <c r="L104" s="12"/>
      <c r="M104" s="12"/>
      <c r="N104" s="16"/>
    </row>
    <row r="105" spans="1:14" ht="30" customHeight="1" x14ac:dyDescent="0.15">
      <c r="A105" s="28" t="s">
        <v>171</v>
      </c>
      <c r="B105" s="43" t="s">
        <v>617</v>
      </c>
      <c r="C105" s="43" t="s">
        <v>617</v>
      </c>
      <c r="D105" s="15">
        <v>0</v>
      </c>
      <c r="E105" s="15">
        <v>0</v>
      </c>
      <c r="F105" s="15">
        <f t="shared" si="0"/>
        <v>0</v>
      </c>
      <c r="G105" s="12"/>
      <c r="H105" s="12"/>
      <c r="I105" s="12"/>
      <c r="J105" s="12"/>
      <c r="K105" s="12"/>
      <c r="L105" s="12"/>
      <c r="M105" s="12"/>
      <c r="N105" s="16"/>
    </row>
    <row r="106" spans="1:14" ht="30" customHeight="1" x14ac:dyDescent="0.15">
      <c r="A106" s="28" t="s">
        <v>81</v>
      </c>
      <c r="B106" s="32"/>
      <c r="C106" s="32"/>
      <c r="D106" s="72">
        <f t="shared" ref="D106:F106" si="1">SUM(D4:D105)</f>
        <v>180.87</v>
      </c>
      <c r="E106" s="72">
        <f t="shared" si="1"/>
        <v>162.38025555555555</v>
      </c>
      <c r="F106" s="72">
        <f t="shared" si="1"/>
        <v>343.25025555555561</v>
      </c>
      <c r="G106" s="12"/>
      <c r="H106" s="12"/>
      <c r="I106" s="12"/>
      <c r="J106" s="12"/>
      <c r="K106" s="12"/>
      <c r="L106" s="12"/>
      <c r="M106" s="12"/>
      <c r="N106" s="16"/>
    </row>
    <row r="107" spans="1:14" ht="30" customHeight="1" x14ac:dyDescent="0.15">
      <c r="A107" s="28" t="s">
        <v>174</v>
      </c>
      <c r="B107" s="32"/>
      <c r="C107" s="32"/>
      <c r="D107" s="34">
        <f t="shared" ref="D107:F107" si="2">AVERAGE(D4:D105)</f>
        <v>1.773235294117647</v>
      </c>
      <c r="E107" s="34">
        <f t="shared" si="2"/>
        <v>1.5919632897603486</v>
      </c>
      <c r="F107" s="34">
        <f t="shared" si="2"/>
        <v>3.3651985838779961</v>
      </c>
      <c r="G107" s="12"/>
      <c r="H107" s="12"/>
      <c r="I107" s="12"/>
      <c r="J107" s="12"/>
      <c r="K107" s="12"/>
      <c r="L107" s="12"/>
      <c r="M107" s="12"/>
      <c r="N107" s="16"/>
    </row>
    <row r="108" spans="1:14" ht="15.75" customHeight="1" x14ac:dyDescent="0.2">
      <c r="A108" s="120"/>
      <c r="B108" s="43"/>
      <c r="C108" s="43"/>
      <c r="D108" s="137"/>
      <c r="E108" s="137"/>
      <c r="F108" s="120"/>
      <c r="G108" s="12"/>
      <c r="H108" s="12"/>
      <c r="I108" s="12"/>
      <c r="J108" s="12"/>
      <c r="K108" s="12"/>
      <c r="L108" s="12"/>
      <c r="M108" s="12"/>
      <c r="N108" s="16"/>
    </row>
    <row r="109" spans="1:14" ht="15.75" customHeight="1" x14ac:dyDescent="0.15">
      <c r="A109" s="16"/>
      <c r="B109" s="43"/>
      <c r="C109" s="43"/>
      <c r="D109" s="15"/>
      <c r="E109" s="15"/>
      <c r="F109" s="16"/>
      <c r="G109" s="12"/>
      <c r="H109" s="12"/>
      <c r="I109" s="12"/>
      <c r="J109" s="12"/>
      <c r="K109" s="12"/>
      <c r="L109" s="12"/>
      <c r="M109" s="12"/>
      <c r="N109" s="16"/>
    </row>
    <row r="110" spans="1:14" ht="15.75" customHeight="1" x14ac:dyDescent="0.15">
      <c r="A110" s="16"/>
      <c r="B110" s="43"/>
      <c r="C110" s="43"/>
      <c r="D110" s="15"/>
      <c r="E110" s="15"/>
      <c r="F110" s="16"/>
      <c r="G110" s="12"/>
      <c r="H110" s="12"/>
      <c r="I110" s="12"/>
      <c r="J110" s="12"/>
      <c r="K110" s="12"/>
      <c r="L110" s="12"/>
      <c r="M110" s="12"/>
      <c r="N110" s="16"/>
    </row>
    <row r="111" spans="1:14" ht="15.75" customHeight="1" x14ac:dyDescent="0.2">
      <c r="A111" s="120"/>
      <c r="B111" s="43"/>
      <c r="C111" s="43"/>
      <c r="D111" s="137"/>
      <c r="E111" s="137"/>
      <c r="F111" s="120"/>
      <c r="G111" s="12"/>
      <c r="H111" s="12"/>
      <c r="I111" s="12"/>
      <c r="J111" s="12"/>
      <c r="K111" s="12"/>
      <c r="L111" s="12"/>
      <c r="M111" s="12"/>
      <c r="N111" s="16"/>
    </row>
    <row r="112" spans="1:14" ht="15.75" customHeight="1" x14ac:dyDescent="0.15">
      <c r="A112" s="16"/>
      <c r="B112" s="43"/>
      <c r="C112" s="43"/>
      <c r="D112" s="15"/>
      <c r="E112" s="15"/>
      <c r="F112" s="16"/>
      <c r="G112" s="12"/>
      <c r="H112" s="12"/>
      <c r="I112" s="12"/>
      <c r="J112" s="12"/>
      <c r="K112" s="12"/>
      <c r="L112" s="12"/>
      <c r="M112" s="12"/>
      <c r="N112" s="16"/>
    </row>
    <row r="113" spans="1:14" ht="15.75" customHeight="1" x14ac:dyDescent="0.15">
      <c r="A113" s="16"/>
      <c r="B113" s="43"/>
      <c r="C113" s="43"/>
      <c r="D113" s="15"/>
      <c r="E113" s="15"/>
      <c r="F113" s="16"/>
      <c r="G113" s="12"/>
      <c r="H113" s="12"/>
      <c r="I113" s="12"/>
      <c r="J113" s="12"/>
      <c r="K113" s="12"/>
      <c r="L113" s="12"/>
      <c r="M113" s="12"/>
      <c r="N113" s="16"/>
    </row>
    <row r="114" spans="1:14" ht="15.75" customHeight="1" x14ac:dyDescent="0.15">
      <c r="A114" s="16"/>
      <c r="B114" s="43"/>
      <c r="C114" s="43"/>
      <c r="D114" s="15"/>
      <c r="E114" s="15"/>
      <c r="F114" s="16"/>
      <c r="G114" s="12"/>
      <c r="H114" s="12"/>
      <c r="I114" s="12"/>
      <c r="J114" s="12"/>
      <c r="K114" s="12"/>
      <c r="L114" s="12"/>
      <c r="M114" s="12"/>
      <c r="N114" s="16"/>
    </row>
    <row r="115" spans="1:14" ht="15.75" customHeight="1" x14ac:dyDescent="0.15">
      <c r="A115" s="16"/>
      <c r="B115" s="43"/>
      <c r="C115" s="43"/>
      <c r="D115" s="15"/>
      <c r="E115" s="15"/>
      <c r="F115" s="16"/>
      <c r="G115" s="12"/>
      <c r="H115" s="12"/>
      <c r="I115" s="12"/>
      <c r="J115" s="12"/>
      <c r="K115" s="12"/>
      <c r="L115" s="12"/>
      <c r="M115" s="12"/>
      <c r="N115" s="16"/>
    </row>
    <row r="116" spans="1:14" ht="15.75" customHeight="1" x14ac:dyDescent="0.15">
      <c r="A116" s="16"/>
      <c r="B116" s="43"/>
      <c r="C116" s="43"/>
      <c r="D116" s="15"/>
      <c r="E116" s="15"/>
      <c r="F116" s="16"/>
      <c r="G116" s="12"/>
      <c r="H116" s="12"/>
      <c r="I116" s="12"/>
      <c r="J116" s="12"/>
      <c r="K116" s="12"/>
      <c r="L116" s="12"/>
      <c r="M116" s="12"/>
      <c r="N116" s="16"/>
    </row>
    <row r="117" spans="1:14" ht="15.75" customHeight="1" x14ac:dyDescent="0.15">
      <c r="A117" s="16"/>
      <c r="B117" s="43"/>
      <c r="C117" s="43"/>
      <c r="D117" s="15"/>
      <c r="E117" s="15"/>
      <c r="F117" s="16"/>
      <c r="G117" s="12"/>
      <c r="H117" s="12"/>
      <c r="I117" s="12"/>
      <c r="J117" s="12"/>
      <c r="K117" s="12"/>
      <c r="L117" s="12"/>
      <c r="M117" s="12"/>
      <c r="N117" s="16"/>
    </row>
    <row r="118" spans="1:14" ht="15.75" customHeight="1" x14ac:dyDescent="0.15">
      <c r="A118" s="16"/>
      <c r="B118" s="43"/>
      <c r="C118" s="43"/>
      <c r="D118" s="15"/>
      <c r="E118" s="15"/>
      <c r="F118" s="16"/>
      <c r="G118" s="12"/>
      <c r="H118" s="12"/>
      <c r="I118" s="12"/>
      <c r="J118" s="12"/>
      <c r="K118" s="12"/>
      <c r="L118" s="12"/>
      <c r="M118" s="12"/>
      <c r="N118" s="16"/>
    </row>
    <row r="119" spans="1:14" ht="15.75" customHeight="1" x14ac:dyDescent="0.15">
      <c r="A119" s="16"/>
      <c r="B119" s="43"/>
      <c r="C119" s="43"/>
      <c r="D119" s="15"/>
      <c r="E119" s="15"/>
      <c r="F119" s="16"/>
      <c r="G119" s="12"/>
      <c r="H119" s="12"/>
      <c r="I119" s="12"/>
      <c r="J119" s="12"/>
      <c r="K119" s="12"/>
      <c r="L119" s="12"/>
      <c r="M119" s="12"/>
      <c r="N119" s="16"/>
    </row>
    <row r="120" spans="1:14" ht="15.75" customHeight="1" x14ac:dyDescent="0.15">
      <c r="A120" s="16"/>
      <c r="B120" s="43"/>
      <c r="C120" s="43"/>
      <c r="D120" s="15"/>
      <c r="E120" s="15"/>
      <c r="F120" s="16"/>
      <c r="G120" s="12"/>
      <c r="H120" s="12"/>
      <c r="I120" s="12"/>
      <c r="J120" s="12"/>
      <c r="K120" s="12"/>
      <c r="L120" s="12"/>
      <c r="M120" s="12"/>
      <c r="N120" s="16"/>
    </row>
    <row r="121" spans="1:14" ht="15.75" customHeight="1" x14ac:dyDescent="0.15">
      <c r="A121" s="16"/>
      <c r="B121" s="43"/>
      <c r="C121" s="43"/>
      <c r="D121" s="15"/>
      <c r="E121" s="15"/>
      <c r="F121" s="16"/>
      <c r="G121" s="12"/>
      <c r="H121" s="12"/>
      <c r="I121" s="12"/>
      <c r="J121" s="12"/>
      <c r="K121" s="12"/>
      <c r="L121" s="12"/>
      <c r="M121" s="12"/>
      <c r="N121" s="16"/>
    </row>
    <row r="122" spans="1:14" ht="15.75" customHeight="1" x14ac:dyDescent="0.15">
      <c r="A122" s="16"/>
      <c r="B122" s="43"/>
      <c r="C122" s="43"/>
      <c r="D122" s="15"/>
      <c r="E122" s="15"/>
      <c r="F122" s="16"/>
      <c r="G122" s="12"/>
      <c r="H122" s="12"/>
      <c r="I122" s="12"/>
      <c r="J122" s="12"/>
      <c r="K122" s="12"/>
      <c r="L122" s="12"/>
      <c r="M122" s="12"/>
      <c r="N122" s="16"/>
    </row>
    <row r="123" spans="1:14" ht="15.75" customHeight="1" x14ac:dyDescent="0.15">
      <c r="A123" s="16"/>
      <c r="B123" s="43"/>
      <c r="C123" s="43"/>
      <c r="D123" s="15"/>
      <c r="E123" s="15"/>
      <c r="F123" s="16"/>
      <c r="G123" s="12"/>
      <c r="H123" s="12"/>
      <c r="I123" s="12"/>
      <c r="J123" s="12"/>
      <c r="K123" s="12"/>
      <c r="L123" s="12"/>
      <c r="M123" s="12"/>
      <c r="N123" s="16"/>
    </row>
    <row r="124" spans="1:14" ht="15.75" customHeight="1" x14ac:dyDescent="0.15">
      <c r="A124" s="16"/>
      <c r="B124" s="43"/>
      <c r="C124" s="43"/>
      <c r="D124" s="15"/>
      <c r="E124" s="15"/>
      <c r="F124" s="16"/>
      <c r="G124" s="12"/>
      <c r="H124" s="12"/>
      <c r="I124" s="12"/>
      <c r="J124" s="12"/>
      <c r="K124" s="12"/>
      <c r="L124" s="12"/>
      <c r="M124" s="12"/>
      <c r="N124" s="16"/>
    </row>
    <row r="125" spans="1:14" ht="15.75" customHeight="1" x14ac:dyDescent="0.15">
      <c r="A125" s="16"/>
      <c r="B125" s="43"/>
      <c r="C125" s="43"/>
      <c r="D125" s="15"/>
      <c r="E125" s="15"/>
      <c r="F125" s="16"/>
      <c r="G125" s="12"/>
      <c r="H125" s="12"/>
      <c r="I125" s="12"/>
      <c r="J125" s="12"/>
      <c r="K125" s="12"/>
      <c r="L125" s="12"/>
      <c r="M125" s="12"/>
      <c r="N125" s="16"/>
    </row>
    <row r="126" spans="1:14" ht="15.75" customHeight="1" x14ac:dyDescent="0.15">
      <c r="A126" s="16"/>
      <c r="B126" s="43"/>
      <c r="C126" s="43"/>
      <c r="D126" s="15"/>
      <c r="E126" s="15"/>
      <c r="F126" s="16"/>
      <c r="G126" s="12"/>
      <c r="H126" s="12"/>
      <c r="I126" s="12"/>
      <c r="J126" s="12"/>
      <c r="K126" s="12"/>
      <c r="L126" s="12"/>
      <c r="M126" s="12"/>
      <c r="N126" s="16"/>
    </row>
    <row r="127" spans="1:14" ht="15.75" customHeight="1" x14ac:dyDescent="0.15">
      <c r="A127" s="16"/>
      <c r="B127" s="43"/>
      <c r="C127" s="43"/>
      <c r="D127" s="15"/>
      <c r="E127" s="15"/>
      <c r="F127" s="16"/>
      <c r="G127" s="12"/>
      <c r="H127" s="12"/>
      <c r="I127" s="12"/>
      <c r="J127" s="12"/>
      <c r="K127" s="12"/>
      <c r="L127" s="12"/>
      <c r="M127" s="12"/>
      <c r="N127" s="16"/>
    </row>
    <row r="128" spans="1:14" ht="15.75" customHeight="1" x14ac:dyDescent="0.15">
      <c r="A128" s="16"/>
      <c r="B128" s="43"/>
      <c r="C128" s="43"/>
      <c r="D128" s="15"/>
      <c r="E128" s="15"/>
      <c r="F128" s="16"/>
      <c r="G128" s="12"/>
      <c r="H128" s="12"/>
      <c r="I128" s="12"/>
      <c r="J128" s="12"/>
      <c r="K128" s="12"/>
      <c r="L128" s="12"/>
      <c r="M128" s="12"/>
      <c r="N128" s="16"/>
    </row>
    <row r="129" spans="1:14" ht="15.75" customHeight="1" x14ac:dyDescent="0.15">
      <c r="A129" s="16"/>
      <c r="B129" s="43"/>
      <c r="C129" s="43"/>
      <c r="D129" s="15"/>
      <c r="E129" s="15"/>
      <c r="F129" s="16"/>
      <c r="G129" s="12"/>
      <c r="H129" s="12"/>
      <c r="I129" s="12"/>
      <c r="J129" s="12"/>
      <c r="K129" s="12"/>
      <c r="L129" s="12"/>
      <c r="M129" s="12"/>
      <c r="N129" s="16"/>
    </row>
    <row r="130" spans="1:14" ht="15.75" customHeight="1" x14ac:dyDescent="0.15">
      <c r="A130" s="16"/>
      <c r="B130" s="43"/>
      <c r="C130" s="43"/>
      <c r="D130" s="15"/>
      <c r="E130" s="15"/>
      <c r="F130" s="16"/>
      <c r="G130" s="12"/>
      <c r="H130" s="12"/>
      <c r="I130" s="12"/>
      <c r="J130" s="12"/>
      <c r="K130" s="12"/>
      <c r="L130" s="12"/>
      <c r="M130" s="12"/>
      <c r="N130" s="16"/>
    </row>
    <row r="131" spans="1:14" ht="15.75" customHeight="1" x14ac:dyDescent="0.15">
      <c r="A131" s="16"/>
      <c r="B131" s="43"/>
      <c r="C131" s="43"/>
      <c r="D131" s="15"/>
      <c r="E131" s="15"/>
      <c r="F131" s="16"/>
      <c r="G131" s="12"/>
      <c r="H131" s="12"/>
      <c r="I131" s="12"/>
      <c r="J131" s="12"/>
      <c r="K131" s="12"/>
      <c r="L131" s="12"/>
      <c r="M131" s="12"/>
      <c r="N131" s="16"/>
    </row>
    <row r="132" spans="1:14" ht="15.75" customHeight="1" x14ac:dyDescent="0.15">
      <c r="A132" s="16"/>
      <c r="B132" s="43"/>
      <c r="C132" s="43"/>
      <c r="D132" s="15"/>
      <c r="E132" s="15"/>
      <c r="F132" s="16"/>
      <c r="G132" s="12"/>
      <c r="H132" s="12"/>
      <c r="I132" s="12"/>
      <c r="J132" s="12"/>
      <c r="K132" s="12"/>
      <c r="L132" s="12"/>
      <c r="M132" s="12"/>
      <c r="N132" s="16"/>
    </row>
    <row r="133" spans="1:14" ht="15.75" customHeight="1" x14ac:dyDescent="0.15">
      <c r="A133" s="16"/>
      <c r="B133" s="43"/>
      <c r="C133" s="43"/>
      <c r="D133" s="15"/>
      <c r="E133" s="15"/>
      <c r="F133" s="16"/>
      <c r="G133" s="12"/>
      <c r="H133" s="12"/>
      <c r="I133" s="12"/>
      <c r="J133" s="12"/>
      <c r="K133" s="12"/>
      <c r="L133" s="12"/>
      <c r="M133" s="12"/>
      <c r="N133" s="16"/>
    </row>
    <row r="134" spans="1:14" ht="15.75" customHeight="1" x14ac:dyDescent="0.15">
      <c r="A134" s="16"/>
      <c r="B134" s="43"/>
      <c r="C134" s="43"/>
      <c r="D134" s="15"/>
      <c r="E134" s="15"/>
      <c r="F134" s="16"/>
      <c r="G134" s="12"/>
      <c r="H134" s="12"/>
      <c r="I134" s="12"/>
      <c r="J134" s="12"/>
      <c r="K134" s="12"/>
      <c r="L134" s="12"/>
      <c r="M134" s="12"/>
      <c r="N134" s="16"/>
    </row>
    <row r="135" spans="1:14" ht="15.75" customHeight="1" x14ac:dyDescent="0.15">
      <c r="A135" s="16"/>
      <c r="B135" s="43"/>
      <c r="C135" s="43"/>
      <c r="D135" s="15"/>
      <c r="E135" s="15"/>
      <c r="F135" s="16"/>
      <c r="G135" s="12"/>
      <c r="H135" s="12"/>
      <c r="I135" s="12"/>
      <c r="J135" s="12"/>
      <c r="K135" s="12"/>
      <c r="L135" s="12"/>
      <c r="M135" s="12"/>
      <c r="N135" s="16"/>
    </row>
    <row r="136" spans="1:14" ht="15.75" customHeight="1" x14ac:dyDescent="0.15">
      <c r="A136" s="16"/>
      <c r="B136" s="43"/>
      <c r="C136" s="43"/>
      <c r="D136" s="15"/>
      <c r="E136" s="15"/>
      <c r="F136" s="16"/>
      <c r="G136" s="12"/>
      <c r="H136" s="12"/>
      <c r="I136" s="12"/>
      <c r="J136" s="12"/>
      <c r="K136" s="12"/>
      <c r="L136" s="12"/>
      <c r="M136" s="12"/>
      <c r="N136" s="16"/>
    </row>
    <row r="137" spans="1:14" ht="15.75" customHeight="1" x14ac:dyDescent="0.15">
      <c r="A137" s="16"/>
      <c r="B137" s="43"/>
      <c r="C137" s="43"/>
      <c r="D137" s="15"/>
      <c r="E137" s="15"/>
      <c r="F137" s="16"/>
      <c r="G137" s="12"/>
      <c r="H137" s="12"/>
      <c r="I137" s="12"/>
      <c r="J137" s="12"/>
      <c r="K137" s="12"/>
      <c r="L137" s="12"/>
      <c r="M137" s="12"/>
      <c r="N137" s="16"/>
    </row>
    <row r="138" spans="1:14" ht="15.75" customHeight="1" x14ac:dyDescent="0.15">
      <c r="A138" s="16"/>
      <c r="B138" s="43"/>
      <c r="C138" s="43"/>
      <c r="D138" s="15"/>
      <c r="E138" s="15"/>
      <c r="F138" s="16"/>
      <c r="G138" s="12"/>
      <c r="H138" s="12"/>
      <c r="I138" s="12"/>
      <c r="J138" s="12"/>
      <c r="K138" s="12"/>
      <c r="L138" s="12"/>
      <c r="M138" s="12"/>
      <c r="N138" s="16"/>
    </row>
    <row r="139" spans="1:14" ht="15.75" customHeight="1" x14ac:dyDescent="0.15">
      <c r="A139" s="16"/>
      <c r="B139" s="43"/>
      <c r="C139" s="43"/>
      <c r="D139" s="15"/>
      <c r="E139" s="15"/>
      <c r="F139" s="16"/>
      <c r="G139" s="12"/>
      <c r="H139" s="12"/>
      <c r="I139" s="12"/>
      <c r="J139" s="12"/>
      <c r="K139" s="12"/>
      <c r="L139" s="12"/>
      <c r="M139" s="12"/>
      <c r="N139" s="16"/>
    </row>
    <row r="140" spans="1:14" ht="15.75" customHeight="1" x14ac:dyDescent="0.15">
      <c r="A140" s="16"/>
      <c r="B140" s="43"/>
      <c r="C140" s="43"/>
      <c r="D140" s="15"/>
      <c r="E140" s="15"/>
      <c r="F140" s="16"/>
      <c r="G140" s="12"/>
      <c r="H140" s="12"/>
      <c r="I140" s="12"/>
      <c r="J140" s="12"/>
      <c r="K140" s="12"/>
      <c r="L140" s="12"/>
      <c r="M140" s="12"/>
      <c r="N140" s="16"/>
    </row>
    <row r="141" spans="1:14" ht="15.75" customHeight="1" x14ac:dyDescent="0.15">
      <c r="A141" s="16"/>
      <c r="B141" s="43"/>
      <c r="C141" s="43"/>
      <c r="D141" s="15"/>
      <c r="E141" s="15"/>
      <c r="F141" s="16"/>
      <c r="G141" s="12"/>
      <c r="H141" s="12"/>
      <c r="I141" s="12"/>
      <c r="J141" s="12"/>
      <c r="K141" s="12"/>
      <c r="L141" s="12"/>
      <c r="M141" s="12"/>
      <c r="N141" s="16"/>
    </row>
    <row r="142" spans="1:14" ht="15.75" customHeight="1" x14ac:dyDescent="0.15">
      <c r="A142" s="16"/>
      <c r="B142" s="43"/>
      <c r="C142" s="43"/>
      <c r="D142" s="15"/>
      <c r="E142" s="15"/>
      <c r="F142" s="16"/>
      <c r="G142" s="12"/>
      <c r="H142" s="12"/>
      <c r="I142" s="12"/>
      <c r="J142" s="12"/>
      <c r="K142" s="12"/>
      <c r="L142" s="12"/>
      <c r="M142" s="12"/>
      <c r="N142" s="16"/>
    </row>
    <row r="143" spans="1:14" ht="15.75" customHeight="1" x14ac:dyDescent="0.15">
      <c r="A143" s="16"/>
      <c r="B143" s="43"/>
      <c r="C143" s="43"/>
      <c r="D143" s="15"/>
      <c r="E143" s="15"/>
      <c r="F143" s="16"/>
      <c r="G143" s="12"/>
      <c r="H143" s="12"/>
      <c r="I143" s="12"/>
      <c r="J143" s="12"/>
      <c r="K143" s="12"/>
      <c r="L143" s="12"/>
      <c r="M143" s="12"/>
      <c r="N143" s="16"/>
    </row>
    <row r="144" spans="1:14" ht="15.75" customHeight="1" x14ac:dyDescent="0.15">
      <c r="A144" s="16"/>
      <c r="B144" s="43"/>
      <c r="C144" s="43"/>
      <c r="D144" s="15"/>
      <c r="E144" s="15"/>
      <c r="F144" s="16"/>
      <c r="G144" s="12"/>
      <c r="H144" s="12"/>
      <c r="I144" s="12"/>
      <c r="J144" s="12"/>
      <c r="K144" s="12"/>
      <c r="L144" s="12"/>
      <c r="M144" s="12"/>
      <c r="N144" s="16"/>
    </row>
    <row r="145" spans="1:14" ht="15.75" customHeight="1" x14ac:dyDescent="0.15">
      <c r="A145" s="16"/>
      <c r="B145" s="43"/>
      <c r="C145" s="43"/>
      <c r="D145" s="15"/>
      <c r="E145" s="15"/>
      <c r="F145" s="16"/>
      <c r="G145" s="12"/>
      <c r="H145" s="12"/>
      <c r="I145" s="12"/>
      <c r="J145" s="12"/>
      <c r="K145" s="12"/>
      <c r="L145" s="12"/>
      <c r="M145" s="12"/>
      <c r="N145" s="16"/>
    </row>
    <row r="146" spans="1:14" ht="15.75" customHeight="1" x14ac:dyDescent="0.15">
      <c r="A146" s="16"/>
      <c r="B146" s="43"/>
      <c r="C146" s="43"/>
      <c r="D146" s="15"/>
      <c r="E146" s="15"/>
      <c r="F146" s="16"/>
      <c r="G146" s="12"/>
      <c r="H146" s="12"/>
      <c r="I146" s="12"/>
      <c r="J146" s="12"/>
      <c r="K146" s="12"/>
      <c r="L146" s="12"/>
      <c r="M146" s="12"/>
      <c r="N146" s="16"/>
    </row>
    <row r="147" spans="1:14" ht="15.75" customHeight="1" x14ac:dyDescent="0.15">
      <c r="A147" s="16"/>
      <c r="B147" s="43"/>
      <c r="C147" s="43"/>
      <c r="D147" s="15"/>
      <c r="E147" s="15"/>
      <c r="F147" s="16"/>
      <c r="G147" s="12"/>
      <c r="H147" s="12"/>
      <c r="I147" s="12"/>
      <c r="J147" s="12"/>
      <c r="K147" s="12"/>
      <c r="L147" s="12"/>
      <c r="M147" s="12"/>
      <c r="N147" s="16"/>
    </row>
    <row r="148" spans="1:14" ht="15.75" customHeight="1" x14ac:dyDescent="0.15">
      <c r="A148" s="16"/>
      <c r="B148" s="43"/>
      <c r="C148" s="43"/>
      <c r="D148" s="15"/>
      <c r="E148" s="15"/>
      <c r="F148" s="16"/>
      <c r="G148" s="12"/>
      <c r="H148" s="12"/>
      <c r="I148" s="12"/>
      <c r="J148" s="12"/>
      <c r="K148" s="12"/>
      <c r="L148" s="12"/>
      <c r="M148" s="12"/>
      <c r="N148" s="16"/>
    </row>
    <row r="149" spans="1:14" ht="15.75" customHeight="1" x14ac:dyDescent="0.15">
      <c r="A149" s="16"/>
      <c r="B149" s="43"/>
      <c r="C149" s="43"/>
      <c r="D149" s="15"/>
      <c r="E149" s="15"/>
      <c r="F149" s="16"/>
      <c r="G149" s="12"/>
      <c r="H149" s="12"/>
      <c r="I149" s="12"/>
      <c r="J149" s="12"/>
      <c r="K149" s="12"/>
      <c r="L149" s="12"/>
      <c r="M149" s="12"/>
      <c r="N149" s="16"/>
    </row>
    <row r="150" spans="1:14" ht="15.75" customHeight="1" x14ac:dyDescent="0.15">
      <c r="A150" s="16"/>
      <c r="B150" s="43"/>
      <c r="C150" s="43"/>
      <c r="D150" s="15"/>
      <c r="E150" s="15"/>
      <c r="F150" s="16"/>
      <c r="G150" s="12"/>
      <c r="H150" s="12"/>
      <c r="I150" s="12"/>
      <c r="J150" s="12"/>
      <c r="K150" s="12"/>
      <c r="L150" s="12"/>
      <c r="M150" s="12"/>
      <c r="N150" s="16"/>
    </row>
    <row r="151" spans="1:14" ht="15.75" customHeight="1" x14ac:dyDescent="0.15">
      <c r="A151" s="16"/>
      <c r="B151" s="43"/>
      <c r="C151" s="43"/>
      <c r="D151" s="15"/>
      <c r="E151" s="15"/>
      <c r="F151" s="16"/>
      <c r="G151" s="12"/>
      <c r="H151" s="12"/>
      <c r="I151" s="12"/>
      <c r="J151" s="12"/>
      <c r="K151" s="12"/>
      <c r="L151" s="12"/>
      <c r="M151" s="12"/>
      <c r="N151" s="16"/>
    </row>
    <row r="152" spans="1:14" ht="15.75" customHeight="1" x14ac:dyDescent="0.15">
      <c r="A152" s="16"/>
      <c r="B152" s="43"/>
      <c r="C152" s="43"/>
      <c r="D152" s="15"/>
      <c r="E152" s="15"/>
      <c r="F152" s="16"/>
      <c r="G152" s="12"/>
      <c r="H152" s="12"/>
      <c r="I152" s="12"/>
      <c r="J152" s="12"/>
      <c r="K152" s="12"/>
      <c r="L152" s="12"/>
      <c r="M152" s="12"/>
      <c r="N152" s="16"/>
    </row>
    <row r="153" spans="1:14" ht="15.75" customHeight="1" x14ac:dyDescent="0.15">
      <c r="A153" s="16"/>
      <c r="B153" s="43"/>
      <c r="C153" s="43"/>
      <c r="D153" s="15"/>
      <c r="E153" s="15"/>
      <c r="F153" s="16"/>
      <c r="G153" s="12"/>
      <c r="H153" s="12"/>
      <c r="I153" s="12"/>
      <c r="J153" s="12"/>
      <c r="K153" s="12"/>
      <c r="L153" s="12"/>
      <c r="M153" s="12"/>
      <c r="N153" s="16"/>
    </row>
    <row r="154" spans="1:14" ht="15.75" customHeight="1" x14ac:dyDescent="0.15">
      <c r="A154" s="16"/>
      <c r="B154" s="43"/>
      <c r="C154" s="43"/>
      <c r="D154" s="15"/>
      <c r="E154" s="15"/>
      <c r="F154" s="16"/>
      <c r="G154" s="12"/>
      <c r="H154" s="12"/>
      <c r="I154" s="12"/>
      <c r="J154" s="12"/>
      <c r="K154" s="12"/>
      <c r="L154" s="12"/>
      <c r="M154" s="12"/>
      <c r="N154" s="16"/>
    </row>
    <row r="155" spans="1:14" ht="15.75" customHeight="1" x14ac:dyDescent="0.15">
      <c r="A155" s="16"/>
      <c r="B155" s="43"/>
      <c r="C155" s="43"/>
      <c r="D155" s="15"/>
      <c r="E155" s="15"/>
      <c r="F155" s="16"/>
      <c r="G155" s="12"/>
      <c r="H155" s="12"/>
      <c r="I155" s="12"/>
      <c r="J155" s="12"/>
      <c r="K155" s="12"/>
      <c r="L155" s="12"/>
      <c r="M155" s="12"/>
      <c r="N155" s="16"/>
    </row>
    <row r="156" spans="1:14" ht="15.75" customHeight="1" x14ac:dyDescent="0.15">
      <c r="A156" s="16"/>
      <c r="B156" s="43"/>
      <c r="C156" s="43"/>
      <c r="D156" s="15"/>
      <c r="E156" s="15"/>
      <c r="F156" s="16"/>
      <c r="G156" s="12"/>
      <c r="H156" s="12"/>
      <c r="I156" s="12"/>
      <c r="J156" s="12"/>
      <c r="K156" s="12"/>
      <c r="L156" s="12"/>
      <c r="M156" s="12"/>
      <c r="N156" s="16"/>
    </row>
    <row r="157" spans="1:14" ht="15.75" customHeight="1" x14ac:dyDescent="0.15">
      <c r="A157" s="16"/>
      <c r="B157" s="43"/>
      <c r="C157" s="43"/>
      <c r="D157" s="15"/>
      <c r="E157" s="15"/>
      <c r="F157" s="16"/>
      <c r="G157" s="12"/>
      <c r="H157" s="12"/>
      <c r="I157" s="12"/>
      <c r="J157" s="12"/>
      <c r="K157" s="12"/>
      <c r="L157" s="12"/>
      <c r="M157" s="12"/>
      <c r="N157" s="16"/>
    </row>
    <row r="158" spans="1:14" ht="15.75" customHeight="1" x14ac:dyDescent="0.15">
      <c r="A158" s="16"/>
      <c r="B158" s="43"/>
      <c r="C158" s="43"/>
      <c r="D158" s="15"/>
      <c r="E158" s="15"/>
      <c r="F158" s="16"/>
      <c r="G158" s="12"/>
      <c r="H158" s="12"/>
      <c r="I158" s="12"/>
      <c r="J158" s="12"/>
      <c r="K158" s="12"/>
      <c r="L158" s="12"/>
      <c r="M158" s="12"/>
      <c r="N158" s="16"/>
    </row>
    <row r="159" spans="1:14" ht="15.75" customHeight="1" x14ac:dyDescent="0.15">
      <c r="A159" s="16"/>
      <c r="B159" s="43"/>
      <c r="C159" s="43"/>
      <c r="D159" s="15"/>
      <c r="E159" s="15"/>
      <c r="F159" s="16"/>
      <c r="G159" s="12"/>
      <c r="H159" s="12"/>
      <c r="I159" s="12"/>
      <c r="J159" s="12"/>
      <c r="K159" s="12"/>
      <c r="L159" s="12"/>
      <c r="M159" s="12"/>
      <c r="N159" s="16"/>
    </row>
    <row r="160" spans="1:14" ht="15.75" customHeight="1" x14ac:dyDescent="0.15">
      <c r="A160" s="16"/>
      <c r="B160" s="43"/>
      <c r="C160" s="43"/>
      <c r="D160" s="15"/>
      <c r="E160" s="15"/>
      <c r="F160" s="16"/>
      <c r="G160" s="12"/>
      <c r="H160" s="12"/>
      <c r="I160" s="12"/>
      <c r="J160" s="12"/>
      <c r="K160" s="12"/>
      <c r="L160" s="12"/>
      <c r="M160" s="12"/>
      <c r="N160" s="16"/>
    </row>
    <row r="161" spans="1:14" ht="15.75" customHeight="1" x14ac:dyDescent="0.15">
      <c r="A161" s="16"/>
      <c r="B161" s="43"/>
      <c r="C161" s="43"/>
      <c r="D161" s="15"/>
      <c r="E161" s="15"/>
      <c r="F161" s="16"/>
      <c r="G161" s="12"/>
      <c r="H161" s="12"/>
      <c r="I161" s="12"/>
      <c r="J161" s="12"/>
      <c r="K161" s="12"/>
      <c r="L161" s="12"/>
      <c r="M161" s="12"/>
      <c r="N161" s="16"/>
    </row>
    <row r="162" spans="1:14" ht="15.75" customHeight="1" x14ac:dyDescent="0.15">
      <c r="A162" s="16"/>
      <c r="B162" s="43"/>
      <c r="C162" s="43"/>
      <c r="D162" s="15"/>
      <c r="E162" s="15"/>
      <c r="F162" s="16"/>
      <c r="G162" s="12"/>
      <c r="H162" s="12"/>
      <c r="I162" s="12"/>
      <c r="J162" s="12"/>
      <c r="K162" s="12"/>
      <c r="L162" s="12"/>
      <c r="M162" s="12"/>
      <c r="N162" s="16"/>
    </row>
    <row r="163" spans="1:14" ht="15.75" customHeight="1" x14ac:dyDescent="0.15">
      <c r="A163" s="16"/>
      <c r="B163" s="43"/>
      <c r="C163" s="43"/>
      <c r="D163" s="15"/>
      <c r="E163" s="15"/>
      <c r="F163" s="16"/>
      <c r="G163" s="12"/>
      <c r="H163" s="12"/>
      <c r="I163" s="12"/>
      <c r="J163" s="12"/>
      <c r="K163" s="12"/>
      <c r="L163" s="12"/>
      <c r="M163" s="12"/>
      <c r="N163" s="16"/>
    </row>
    <row r="164" spans="1:14" ht="15.75" customHeight="1" x14ac:dyDescent="0.15">
      <c r="A164" s="16"/>
      <c r="B164" s="43"/>
      <c r="C164" s="43"/>
      <c r="D164" s="15"/>
      <c r="E164" s="15"/>
      <c r="F164" s="16"/>
      <c r="G164" s="12"/>
      <c r="H164" s="12"/>
      <c r="I164" s="12"/>
      <c r="J164" s="12"/>
      <c r="K164" s="12"/>
      <c r="L164" s="12"/>
      <c r="M164" s="12"/>
      <c r="N164" s="16"/>
    </row>
    <row r="165" spans="1:14" ht="15.75" customHeight="1" x14ac:dyDescent="0.15">
      <c r="A165" s="16"/>
      <c r="B165" s="43"/>
      <c r="C165" s="43"/>
      <c r="D165" s="15"/>
      <c r="E165" s="15"/>
      <c r="F165" s="16"/>
      <c r="G165" s="12"/>
      <c r="H165" s="12"/>
      <c r="I165" s="12"/>
      <c r="J165" s="12"/>
      <c r="K165" s="12"/>
      <c r="L165" s="12"/>
      <c r="M165" s="12"/>
      <c r="N165" s="16"/>
    </row>
    <row r="166" spans="1:14" ht="15.75" customHeight="1" x14ac:dyDescent="0.15">
      <c r="A166" s="16"/>
      <c r="B166" s="43"/>
      <c r="C166" s="43"/>
      <c r="D166" s="15"/>
      <c r="E166" s="15"/>
      <c r="F166" s="16"/>
      <c r="G166" s="12"/>
      <c r="H166" s="12"/>
      <c r="I166" s="12"/>
      <c r="J166" s="12"/>
      <c r="K166" s="12"/>
      <c r="L166" s="12"/>
      <c r="M166" s="12"/>
      <c r="N166" s="16"/>
    </row>
    <row r="167" spans="1:14" ht="15.75" customHeight="1" x14ac:dyDescent="0.15">
      <c r="A167" s="16"/>
      <c r="B167" s="43"/>
      <c r="C167" s="43"/>
      <c r="D167" s="15"/>
      <c r="E167" s="15"/>
      <c r="F167" s="16"/>
      <c r="G167" s="12"/>
      <c r="H167" s="12"/>
      <c r="I167" s="12"/>
      <c r="J167" s="12"/>
      <c r="K167" s="12"/>
      <c r="L167" s="12"/>
      <c r="M167" s="12"/>
      <c r="N167" s="16"/>
    </row>
    <row r="168" spans="1:14" ht="15.75" customHeight="1" x14ac:dyDescent="0.15">
      <c r="A168" s="16"/>
      <c r="B168" s="43"/>
      <c r="C168" s="43"/>
      <c r="D168" s="15"/>
      <c r="E168" s="15"/>
      <c r="F168" s="16"/>
      <c r="G168" s="12"/>
      <c r="H168" s="12"/>
      <c r="I168" s="12"/>
      <c r="J168" s="12"/>
      <c r="K168" s="12"/>
      <c r="L168" s="12"/>
      <c r="M168" s="12"/>
      <c r="N168" s="16"/>
    </row>
    <row r="169" spans="1:14" ht="15.75" customHeight="1" x14ac:dyDescent="0.15">
      <c r="A169" s="16"/>
      <c r="B169" s="43"/>
      <c r="C169" s="43"/>
      <c r="D169" s="15"/>
      <c r="E169" s="15"/>
      <c r="F169" s="16"/>
      <c r="G169" s="12"/>
      <c r="H169" s="12"/>
      <c r="I169" s="12"/>
      <c r="J169" s="12"/>
      <c r="K169" s="12"/>
      <c r="L169" s="12"/>
      <c r="M169" s="12"/>
      <c r="N169" s="16"/>
    </row>
    <row r="170" spans="1:14" ht="15.75" customHeight="1" x14ac:dyDescent="0.15">
      <c r="A170" s="16"/>
      <c r="B170" s="43"/>
      <c r="C170" s="43"/>
      <c r="D170" s="15"/>
      <c r="E170" s="15"/>
      <c r="F170" s="16"/>
      <c r="G170" s="12"/>
      <c r="H170" s="12"/>
      <c r="I170" s="12"/>
      <c r="J170" s="12"/>
      <c r="K170" s="12"/>
      <c r="L170" s="12"/>
      <c r="M170" s="12"/>
      <c r="N170" s="16"/>
    </row>
    <row r="171" spans="1:14" ht="15.75" customHeight="1" x14ac:dyDescent="0.15">
      <c r="A171" s="16"/>
      <c r="B171" s="43"/>
      <c r="C171" s="43"/>
      <c r="D171" s="15"/>
      <c r="E171" s="15"/>
      <c r="F171" s="16"/>
      <c r="G171" s="12"/>
      <c r="H171" s="12"/>
      <c r="I171" s="12"/>
      <c r="J171" s="12"/>
      <c r="K171" s="12"/>
      <c r="L171" s="12"/>
      <c r="M171" s="12"/>
      <c r="N171" s="16"/>
    </row>
    <row r="172" spans="1:14" ht="15.75" customHeight="1" x14ac:dyDescent="0.15">
      <c r="A172" s="16"/>
      <c r="B172" s="43"/>
      <c r="C172" s="43"/>
      <c r="D172" s="15"/>
      <c r="E172" s="15"/>
      <c r="F172" s="16"/>
      <c r="G172" s="12"/>
      <c r="H172" s="12"/>
      <c r="I172" s="12"/>
      <c r="J172" s="12"/>
      <c r="K172" s="12"/>
      <c r="L172" s="12"/>
      <c r="M172" s="12"/>
      <c r="N172" s="16"/>
    </row>
    <row r="173" spans="1:14" ht="15.75" customHeight="1" x14ac:dyDescent="0.15">
      <c r="A173" s="16"/>
      <c r="B173" s="43"/>
      <c r="C173" s="43"/>
      <c r="D173" s="15"/>
      <c r="E173" s="15"/>
      <c r="F173" s="16"/>
      <c r="G173" s="12"/>
      <c r="H173" s="12"/>
      <c r="I173" s="12"/>
      <c r="J173" s="12"/>
      <c r="K173" s="12"/>
      <c r="L173" s="12"/>
      <c r="M173" s="12"/>
      <c r="N173" s="16"/>
    </row>
    <row r="174" spans="1:14" ht="15.75" customHeight="1" x14ac:dyDescent="0.15">
      <c r="A174" s="16"/>
      <c r="B174" s="43"/>
      <c r="C174" s="43"/>
      <c r="D174" s="15"/>
      <c r="E174" s="15"/>
      <c r="F174" s="16"/>
      <c r="G174" s="12"/>
      <c r="H174" s="12"/>
      <c r="I174" s="12"/>
      <c r="J174" s="12"/>
      <c r="K174" s="12"/>
      <c r="L174" s="12"/>
      <c r="M174" s="12"/>
      <c r="N174" s="16"/>
    </row>
    <row r="175" spans="1:14" ht="15.75" customHeight="1" x14ac:dyDescent="0.15">
      <c r="A175" s="16"/>
      <c r="B175" s="43"/>
      <c r="C175" s="43"/>
      <c r="D175" s="15"/>
      <c r="E175" s="15"/>
      <c r="F175" s="16"/>
      <c r="G175" s="12"/>
      <c r="H175" s="12"/>
      <c r="I175" s="12"/>
      <c r="J175" s="12"/>
      <c r="K175" s="12"/>
      <c r="L175" s="12"/>
      <c r="M175" s="12"/>
      <c r="N175" s="16"/>
    </row>
    <row r="176" spans="1:14" ht="15.75" customHeight="1" x14ac:dyDescent="0.15">
      <c r="A176" s="16"/>
      <c r="B176" s="43"/>
      <c r="C176" s="43"/>
      <c r="D176" s="15"/>
      <c r="E176" s="15"/>
      <c r="F176" s="16"/>
      <c r="G176" s="12"/>
      <c r="H176" s="12"/>
      <c r="I176" s="12"/>
      <c r="J176" s="12"/>
      <c r="K176" s="12"/>
      <c r="L176" s="12"/>
      <c r="M176" s="12"/>
      <c r="N176" s="16"/>
    </row>
    <row r="177" spans="1:14" ht="15.75" customHeight="1" x14ac:dyDescent="0.15">
      <c r="A177" s="16"/>
      <c r="B177" s="43"/>
      <c r="C177" s="43"/>
      <c r="D177" s="15"/>
      <c r="E177" s="15"/>
      <c r="F177" s="16"/>
      <c r="G177" s="12"/>
      <c r="H177" s="12"/>
      <c r="I177" s="12"/>
      <c r="J177" s="12"/>
      <c r="K177" s="12"/>
      <c r="L177" s="12"/>
      <c r="M177" s="12"/>
      <c r="N177" s="16"/>
    </row>
    <row r="178" spans="1:14" ht="15.75" customHeight="1" x14ac:dyDescent="0.15">
      <c r="A178" s="16"/>
      <c r="B178" s="43"/>
      <c r="C178" s="43"/>
      <c r="D178" s="15"/>
      <c r="E178" s="15"/>
      <c r="F178" s="16"/>
      <c r="G178" s="12"/>
      <c r="H178" s="12"/>
      <c r="I178" s="12"/>
      <c r="J178" s="12"/>
      <c r="K178" s="12"/>
      <c r="L178" s="12"/>
      <c r="M178" s="12"/>
      <c r="N178" s="16"/>
    </row>
    <row r="179" spans="1:14" ht="15.75" customHeight="1" x14ac:dyDescent="0.15">
      <c r="A179" s="16"/>
      <c r="B179" s="43"/>
      <c r="C179" s="43"/>
      <c r="D179" s="15"/>
      <c r="E179" s="15"/>
      <c r="F179" s="16"/>
      <c r="G179" s="12"/>
      <c r="H179" s="12"/>
      <c r="I179" s="12"/>
      <c r="J179" s="12"/>
      <c r="K179" s="12"/>
      <c r="L179" s="12"/>
      <c r="M179" s="12"/>
      <c r="N179" s="16"/>
    </row>
    <row r="180" spans="1:14" ht="15.75" customHeight="1" x14ac:dyDescent="0.15">
      <c r="A180" s="16"/>
      <c r="B180" s="43"/>
      <c r="C180" s="43"/>
      <c r="D180" s="15"/>
      <c r="E180" s="15"/>
      <c r="F180" s="16"/>
      <c r="G180" s="12"/>
      <c r="H180" s="12"/>
      <c r="I180" s="12"/>
      <c r="J180" s="12"/>
      <c r="K180" s="12"/>
      <c r="L180" s="12"/>
      <c r="M180" s="12"/>
      <c r="N180" s="16"/>
    </row>
    <row r="181" spans="1:14" ht="15.75" customHeight="1" x14ac:dyDescent="0.15">
      <c r="A181" s="16"/>
      <c r="B181" s="43"/>
      <c r="C181" s="43"/>
      <c r="D181" s="15"/>
      <c r="E181" s="15"/>
      <c r="F181" s="16"/>
      <c r="G181" s="12"/>
      <c r="H181" s="12"/>
      <c r="I181" s="12"/>
      <c r="J181" s="12"/>
      <c r="K181" s="12"/>
      <c r="L181" s="12"/>
      <c r="M181" s="12"/>
      <c r="N181" s="16"/>
    </row>
    <row r="182" spans="1:14" ht="15.75" customHeight="1" x14ac:dyDescent="0.15">
      <c r="A182" s="16"/>
      <c r="B182" s="43"/>
      <c r="C182" s="43"/>
      <c r="D182" s="15"/>
      <c r="E182" s="15"/>
      <c r="F182" s="16"/>
      <c r="G182" s="12"/>
      <c r="H182" s="12"/>
      <c r="I182" s="12"/>
      <c r="J182" s="12"/>
      <c r="K182" s="12"/>
      <c r="L182" s="12"/>
      <c r="M182" s="12"/>
      <c r="N182" s="16"/>
    </row>
    <row r="183" spans="1:14" ht="15.75" customHeight="1" x14ac:dyDescent="0.15">
      <c r="A183" s="16"/>
      <c r="B183" s="43"/>
      <c r="C183" s="43"/>
      <c r="D183" s="15"/>
      <c r="E183" s="15"/>
      <c r="F183" s="16"/>
      <c r="G183" s="12"/>
      <c r="H183" s="12"/>
      <c r="I183" s="12"/>
      <c r="J183" s="12"/>
      <c r="K183" s="12"/>
      <c r="L183" s="12"/>
      <c r="M183" s="12"/>
      <c r="N183" s="16"/>
    </row>
    <row r="184" spans="1:14" ht="15.75" customHeight="1" x14ac:dyDescent="0.15">
      <c r="A184" s="16"/>
      <c r="B184" s="43"/>
      <c r="C184" s="43"/>
      <c r="D184" s="15"/>
      <c r="E184" s="15"/>
      <c r="F184" s="16"/>
      <c r="G184" s="12"/>
      <c r="H184" s="12"/>
      <c r="I184" s="12"/>
      <c r="J184" s="12"/>
      <c r="K184" s="12"/>
      <c r="L184" s="12"/>
      <c r="M184" s="12"/>
      <c r="N184" s="16"/>
    </row>
    <row r="185" spans="1:14" ht="15.75" customHeight="1" x14ac:dyDescent="0.15">
      <c r="A185" s="16"/>
      <c r="B185" s="43"/>
      <c r="C185" s="43"/>
      <c r="D185" s="15"/>
      <c r="E185" s="15"/>
      <c r="F185" s="16"/>
      <c r="G185" s="12"/>
      <c r="H185" s="12"/>
      <c r="I185" s="12"/>
      <c r="J185" s="12"/>
      <c r="K185" s="12"/>
      <c r="L185" s="12"/>
      <c r="M185" s="12"/>
      <c r="N185" s="16"/>
    </row>
    <row r="186" spans="1:14" ht="15.75" customHeight="1" x14ac:dyDescent="0.15">
      <c r="A186" s="16"/>
      <c r="B186" s="43"/>
      <c r="C186" s="43"/>
      <c r="D186" s="15"/>
      <c r="E186" s="15"/>
      <c r="F186" s="16"/>
      <c r="G186" s="12"/>
      <c r="H186" s="12"/>
      <c r="I186" s="12"/>
      <c r="J186" s="12"/>
      <c r="K186" s="12"/>
      <c r="L186" s="12"/>
      <c r="M186" s="12"/>
      <c r="N186" s="16"/>
    </row>
    <row r="187" spans="1:14" ht="15.75" customHeight="1" x14ac:dyDescent="0.15">
      <c r="A187" s="16"/>
      <c r="B187" s="43"/>
      <c r="C187" s="43"/>
      <c r="D187" s="15"/>
      <c r="E187" s="15"/>
      <c r="F187" s="16"/>
      <c r="G187" s="12"/>
      <c r="H187" s="12"/>
      <c r="I187" s="12"/>
      <c r="J187" s="12"/>
      <c r="K187" s="12"/>
      <c r="L187" s="12"/>
      <c r="M187" s="12"/>
      <c r="N187" s="16"/>
    </row>
    <row r="188" spans="1:14" ht="15.75" customHeight="1" x14ac:dyDescent="0.15">
      <c r="A188" s="16"/>
      <c r="B188" s="43"/>
      <c r="C188" s="43"/>
      <c r="D188" s="15"/>
      <c r="E188" s="15"/>
      <c r="F188" s="16"/>
      <c r="G188" s="12"/>
      <c r="H188" s="12"/>
      <c r="I188" s="12"/>
      <c r="J188" s="12"/>
      <c r="K188" s="12"/>
      <c r="L188" s="12"/>
      <c r="M188" s="12"/>
      <c r="N188" s="16"/>
    </row>
    <row r="189" spans="1:14" ht="15.75" customHeight="1" x14ac:dyDescent="0.15">
      <c r="A189" s="16"/>
      <c r="B189" s="43"/>
      <c r="C189" s="43"/>
      <c r="D189" s="15"/>
      <c r="E189" s="15"/>
      <c r="F189" s="16"/>
      <c r="G189" s="12"/>
      <c r="H189" s="12"/>
      <c r="I189" s="12"/>
      <c r="J189" s="12"/>
      <c r="K189" s="12"/>
      <c r="L189" s="12"/>
      <c r="M189" s="12"/>
      <c r="N189" s="16"/>
    </row>
    <row r="190" spans="1:14" ht="15.75" customHeight="1" x14ac:dyDescent="0.15">
      <c r="A190" s="16"/>
      <c r="B190" s="43"/>
      <c r="C190" s="43"/>
      <c r="D190" s="15"/>
      <c r="E190" s="15"/>
      <c r="F190" s="16"/>
      <c r="G190" s="12"/>
      <c r="H190" s="12"/>
      <c r="I190" s="12"/>
      <c r="J190" s="12"/>
      <c r="K190" s="12"/>
      <c r="L190" s="12"/>
      <c r="M190" s="12"/>
      <c r="N190" s="16"/>
    </row>
    <row r="191" spans="1:14" ht="15.75" customHeight="1" x14ac:dyDescent="0.15">
      <c r="A191" s="16"/>
      <c r="B191" s="43"/>
      <c r="C191" s="43"/>
      <c r="D191" s="15"/>
      <c r="E191" s="15"/>
      <c r="F191" s="16"/>
      <c r="G191" s="12"/>
      <c r="H191" s="12"/>
      <c r="I191" s="12"/>
      <c r="J191" s="12"/>
      <c r="K191" s="12"/>
      <c r="L191" s="12"/>
      <c r="M191" s="12"/>
      <c r="N191" s="16"/>
    </row>
    <row r="192" spans="1:14" ht="15.75" customHeight="1" x14ac:dyDescent="0.15">
      <c r="A192" s="16"/>
      <c r="B192" s="43"/>
      <c r="C192" s="43"/>
      <c r="D192" s="15"/>
      <c r="E192" s="15"/>
      <c r="F192" s="16"/>
      <c r="G192" s="12"/>
      <c r="H192" s="12"/>
      <c r="I192" s="12"/>
      <c r="J192" s="12"/>
      <c r="K192" s="12"/>
      <c r="L192" s="12"/>
      <c r="M192" s="12"/>
      <c r="N192" s="16"/>
    </row>
    <row r="193" spans="1:14" ht="15.75" customHeight="1" x14ac:dyDescent="0.15">
      <c r="A193" s="16"/>
      <c r="B193" s="43"/>
      <c r="C193" s="43"/>
      <c r="D193" s="15"/>
      <c r="E193" s="15"/>
      <c r="F193" s="16"/>
      <c r="G193" s="12"/>
      <c r="H193" s="12"/>
      <c r="I193" s="12"/>
      <c r="J193" s="12"/>
      <c r="K193" s="12"/>
      <c r="L193" s="12"/>
      <c r="M193" s="12"/>
      <c r="N193" s="16"/>
    </row>
    <row r="194" spans="1:14" ht="15.75" customHeight="1" x14ac:dyDescent="0.15">
      <c r="A194" s="16"/>
      <c r="B194" s="43"/>
      <c r="C194" s="43"/>
      <c r="D194" s="15"/>
      <c r="E194" s="15"/>
      <c r="F194" s="16"/>
      <c r="G194" s="12"/>
      <c r="H194" s="12"/>
      <c r="I194" s="12"/>
      <c r="J194" s="12"/>
      <c r="K194" s="12"/>
      <c r="L194" s="12"/>
      <c r="M194" s="12"/>
      <c r="N194" s="16"/>
    </row>
    <row r="195" spans="1:14" ht="15.75" customHeight="1" x14ac:dyDescent="0.15">
      <c r="A195" s="16"/>
      <c r="B195" s="43"/>
      <c r="C195" s="43"/>
      <c r="D195" s="15"/>
      <c r="E195" s="15"/>
      <c r="F195" s="16"/>
      <c r="G195" s="12"/>
      <c r="H195" s="12"/>
      <c r="I195" s="12"/>
      <c r="J195" s="12"/>
      <c r="K195" s="12"/>
      <c r="L195" s="12"/>
      <c r="M195" s="12"/>
      <c r="N195" s="16"/>
    </row>
    <row r="196" spans="1:14" ht="15.75" customHeight="1" x14ac:dyDescent="0.15">
      <c r="A196" s="16"/>
      <c r="B196" s="43"/>
      <c r="C196" s="43"/>
      <c r="D196" s="15"/>
      <c r="E196" s="15"/>
      <c r="F196" s="16"/>
      <c r="G196" s="12"/>
      <c r="H196" s="12"/>
      <c r="I196" s="12"/>
      <c r="J196" s="12"/>
      <c r="K196" s="12"/>
      <c r="L196" s="12"/>
      <c r="M196" s="12"/>
      <c r="N196" s="16"/>
    </row>
    <row r="197" spans="1:14" ht="15.75" customHeight="1" x14ac:dyDescent="0.15">
      <c r="A197" s="16"/>
      <c r="B197" s="43"/>
      <c r="C197" s="43"/>
      <c r="D197" s="15"/>
      <c r="E197" s="15"/>
      <c r="F197" s="16"/>
      <c r="G197" s="12"/>
      <c r="H197" s="12"/>
      <c r="I197" s="12"/>
      <c r="J197" s="12"/>
      <c r="K197" s="12"/>
      <c r="L197" s="12"/>
      <c r="M197" s="12"/>
      <c r="N197" s="16"/>
    </row>
    <row r="198" spans="1:14" ht="15.75" customHeight="1" x14ac:dyDescent="0.15">
      <c r="A198" s="16"/>
      <c r="B198" s="43"/>
      <c r="C198" s="43"/>
      <c r="D198" s="15"/>
      <c r="E198" s="15"/>
      <c r="F198" s="16"/>
      <c r="G198" s="12"/>
      <c r="H198" s="12"/>
      <c r="I198" s="12"/>
      <c r="J198" s="12"/>
      <c r="K198" s="12"/>
      <c r="L198" s="12"/>
      <c r="M198" s="12"/>
      <c r="N198" s="16"/>
    </row>
    <row r="199" spans="1:14" ht="15.75" customHeight="1" x14ac:dyDescent="0.15">
      <c r="A199" s="16"/>
      <c r="B199" s="43"/>
      <c r="C199" s="43"/>
      <c r="D199" s="15"/>
      <c r="E199" s="15"/>
      <c r="F199" s="16"/>
      <c r="G199" s="12"/>
      <c r="H199" s="12"/>
      <c r="I199" s="12"/>
      <c r="J199" s="12"/>
      <c r="K199" s="12"/>
      <c r="L199" s="12"/>
      <c r="M199" s="12"/>
      <c r="N199" s="16"/>
    </row>
    <row r="200" spans="1:14" ht="15.75" customHeight="1" x14ac:dyDescent="0.15">
      <c r="A200" s="16"/>
      <c r="B200" s="43"/>
      <c r="C200" s="43"/>
      <c r="D200" s="15"/>
      <c r="E200" s="15"/>
      <c r="F200" s="16"/>
      <c r="G200" s="12"/>
      <c r="H200" s="12"/>
      <c r="I200" s="12"/>
      <c r="J200" s="12"/>
      <c r="K200" s="12"/>
      <c r="L200" s="12"/>
      <c r="M200" s="12"/>
      <c r="N200" s="16"/>
    </row>
    <row r="201" spans="1:14" ht="15.75" customHeight="1" x14ac:dyDescent="0.15">
      <c r="A201" s="16"/>
      <c r="B201" s="43"/>
      <c r="C201" s="43"/>
      <c r="D201" s="15"/>
      <c r="E201" s="15"/>
      <c r="F201" s="16"/>
      <c r="G201" s="12"/>
      <c r="H201" s="12"/>
      <c r="I201" s="12"/>
      <c r="J201" s="12"/>
      <c r="K201" s="12"/>
      <c r="L201" s="12"/>
      <c r="M201" s="12"/>
      <c r="N201" s="16"/>
    </row>
    <row r="202" spans="1:14" ht="15.75" customHeight="1" x14ac:dyDescent="0.15">
      <c r="A202" s="16"/>
      <c r="B202" s="43"/>
      <c r="C202" s="43"/>
      <c r="D202" s="15"/>
      <c r="E202" s="15"/>
      <c r="F202" s="16"/>
      <c r="G202" s="12"/>
      <c r="H202" s="12"/>
      <c r="I202" s="12"/>
      <c r="J202" s="12"/>
      <c r="K202" s="12"/>
      <c r="L202" s="12"/>
      <c r="M202" s="12"/>
      <c r="N202" s="16"/>
    </row>
    <row r="203" spans="1:14" ht="15.75" customHeight="1" x14ac:dyDescent="0.15">
      <c r="A203" s="16"/>
      <c r="B203" s="43"/>
      <c r="C203" s="43"/>
      <c r="D203" s="15"/>
      <c r="E203" s="15"/>
      <c r="F203" s="16"/>
      <c r="G203" s="12"/>
      <c r="H203" s="12"/>
      <c r="I203" s="12"/>
      <c r="J203" s="12"/>
      <c r="K203" s="12"/>
      <c r="L203" s="12"/>
      <c r="M203" s="12"/>
      <c r="N203" s="16"/>
    </row>
    <row r="204" spans="1:14" ht="15.75" customHeight="1" x14ac:dyDescent="0.15">
      <c r="A204" s="16"/>
      <c r="B204" s="43"/>
      <c r="C204" s="43"/>
      <c r="D204" s="15"/>
      <c r="E204" s="15"/>
      <c r="F204" s="16"/>
      <c r="G204" s="12"/>
      <c r="H204" s="12"/>
      <c r="I204" s="12"/>
      <c r="J204" s="12"/>
      <c r="K204" s="12"/>
      <c r="L204" s="12"/>
      <c r="M204" s="12"/>
      <c r="N204" s="16"/>
    </row>
    <row r="205" spans="1:14" ht="15.75" customHeight="1" x14ac:dyDescent="0.15">
      <c r="A205" s="16"/>
      <c r="B205" s="43"/>
      <c r="C205" s="43"/>
      <c r="D205" s="15"/>
      <c r="E205" s="15"/>
      <c r="F205" s="16"/>
      <c r="G205" s="12"/>
      <c r="H205" s="12"/>
      <c r="I205" s="12"/>
      <c r="J205" s="12"/>
      <c r="K205" s="12"/>
      <c r="L205" s="12"/>
      <c r="M205" s="12"/>
      <c r="N205" s="16"/>
    </row>
    <row r="206" spans="1:14" ht="15.75" customHeight="1" x14ac:dyDescent="0.15">
      <c r="A206" s="16"/>
      <c r="B206" s="43"/>
      <c r="C206" s="43"/>
      <c r="D206" s="15"/>
      <c r="E206" s="15"/>
      <c r="F206" s="16"/>
      <c r="G206" s="12"/>
      <c r="H206" s="12"/>
      <c r="I206" s="12"/>
      <c r="J206" s="12"/>
      <c r="K206" s="12"/>
      <c r="L206" s="12"/>
      <c r="M206" s="12"/>
      <c r="N206" s="16"/>
    </row>
    <row r="207" spans="1:14" ht="15.75" customHeight="1" x14ac:dyDescent="0.15">
      <c r="A207" s="16"/>
      <c r="B207" s="43"/>
      <c r="C207" s="43"/>
      <c r="D207" s="15"/>
      <c r="E207" s="15"/>
      <c r="F207" s="16"/>
      <c r="G207" s="12"/>
      <c r="H207" s="12"/>
      <c r="I207" s="12"/>
      <c r="J207" s="12"/>
      <c r="K207" s="12"/>
      <c r="L207" s="12"/>
      <c r="M207" s="12"/>
      <c r="N207" s="16"/>
    </row>
    <row r="208" spans="1:14" ht="15.75" customHeight="1" x14ac:dyDescent="0.15">
      <c r="A208" s="16"/>
      <c r="B208" s="43"/>
      <c r="C208" s="43"/>
      <c r="D208" s="15"/>
      <c r="E208" s="15"/>
      <c r="F208" s="16"/>
      <c r="G208" s="12"/>
      <c r="H208" s="12"/>
      <c r="I208" s="12"/>
      <c r="J208" s="12"/>
      <c r="K208" s="12"/>
      <c r="L208" s="12"/>
      <c r="M208" s="12"/>
      <c r="N208" s="16"/>
    </row>
    <row r="209" spans="1:14" ht="15.75" customHeight="1" x14ac:dyDescent="0.15">
      <c r="A209" s="16"/>
      <c r="B209" s="43"/>
      <c r="C209" s="43"/>
      <c r="D209" s="15"/>
      <c r="E209" s="15"/>
      <c r="F209" s="16"/>
      <c r="G209" s="12"/>
      <c r="H209" s="12"/>
      <c r="I209" s="12"/>
      <c r="J209" s="12"/>
      <c r="K209" s="12"/>
      <c r="L209" s="12"/>
      <c r="M209" s="12"/>
      <c r="N209" s="16"/>
    </row>
    <row r="210" spans="1:14" ht="15.75" customHeight="1" x14ac:dyDescent="0.15">
      <c r="A210" s="16"/>
      <c r="B210" s="43"/>
      <c r="C210" s="43"/>
      <c r="D210" s="15"/>
      <c r="E210" s="15"/>
      <c r="F210" s="16"/>
      <c r="G210" s="12"/>
      <c r="H210" s="12"/>
      <c r="I210" s="12"/>
      <c r="J210" s="12"/>
      <c r="K210" s="12"/>
      <c r="L210" s="12"/>
      <c r="M210" s="12"/>
      <c r="N210" s="16"/>
    </row>
    <row r="211" spans="1:14" ht="15.75" customHeight="1" x14ac:dyDescent="0.15">
      <c r="A211" s="16"/>
      <c r="B211" s="43"/>
      <c r="C211" s="43"/>
      <c r="D211" s="15"/>
      <c r="E211" s="15"/>
      <c r="F211" s="16"/>
      <c r="G211" s="12"/>
      <c r="H211" s="12"/>
      <c r="I211" s="12"/>
      <c r="J211" s="12"/>
      <c r="K211" s="12"/>
      <c r="L211" s="12"/>
      <c r="M211" s="12"/>
      <c r="N211" s="16"/>
    </row>
    <row r="212" spans="1:14" ht="15.75" customHeight="1" x14ac:dyDescent="0.15">
      <c r="A212" s="16"/>
      <c r="B212" s="43"/>
      <c r="C212" s="43"/>
      <c r="D212" s="15"/>
      <c r="E212" s="15"/>
      <c r="F212" s="16"/>
      <c r="G212" s="12"/>
      <c r="H212" s="12"/>
      <c r="I212" s="12"/>
      <c r="J212" s="12"/>
      <c r="K212" s="12"/>
      <c r="L212" s="12"/>
      <c r="M212" s="12"/>
      <c r="N212" s="16"/>
    </row>
    <row r="213" spans="1:14" ht="15.75" customHeight="1" x14ac:dyDescent="0.15">
      <c r="A213" s="16"/>
      <c r="B213" s="43"/>
      <c r="C213" s="43"/>
      <c r="D213" s="15"/>
      <c r="E213" s="15"/>
      <c r="F213" s="16"/>
      <c r="G213" s="12"/>
      <c r="H213" s="12"/>
      <c r="I213" s="12"/>
      <c r="J213" s="12"/>
      <c r="K213" s="12"/>
      <c r="L213" s="12"/>
      <c r="M213" s="12"/>
      <c r="N213" s="16"/>
    </row>
    <row r="214" spans="1:14" ht="15.75" customHeight="1" x14ac:dyDescent="0.15">
      <c r="A214" s="16"/>
      <c r="B214" s="43"/>
      <c r="C214" s="43"/>
      <c r="D214" s="15"/>
      <c r="E214" s="15"/>
      <c r="F214" s="16"/>
      <c r="G214" s="12"/>
      <c r="H214" s="12"/>
      <c r="I214" s="12"/>
      <c r="J214" s="12"/>
      <c r="K214" s="12"/>
      <c r="L214" s="12"/>
      <c r="M214" s="12"/>
      <c r="N214" s="16"/>
    </row>
    <row r="215" spans="1:14" ht="15.75" customHeight="1" x14ac:dyDescent="0.15">
      <c r="A215" s="16"/>
      <c r="B215" s="43"/>
      <c r="C215" s="43"/>
      <c r="D215" s="15"/>
      <c r="E215" s="15"/>
      <c r="F215" s="16"/>
      <c r="G215" s="12"/>
      <c r="H215" s="12"/>
      <c r="I215" s="12"/>
      <c r="J215" s="12"/>
      <c r="K215" s="12"/>
      <c r="L215" s="12"/>
      <c r="M215" s="12"/>
      <c r="N215" s="16"/>
    </row>
    <row r="216" spans="1:14" ht="15.75" customHeight="1" x14ac:dyDescent="0.15">
      <c r="A216" s="16"/>
      <c r="B216" s="43"/>
      <c r="C216" s="43"/>
      <c r="D216" s="15"/>
      <c r="E216" s="15"/>
      <c r="F216" s="16"/>
      <c r="G216" s="12"/>
      <c r="H216" s="12"/>
      <c r="I216" s="12"/>
      <c r="J216" s="12"/>
      <c r="K216" s="12"/>
      <c r="L216" s="12"/>
      <c r="M216" s="12"/>
      <c r="N216" s="16"/>
    </row>
    <row r="217" spans="1:14" ht="15.75" customHeight="1" x14ac:dyDescent="0.15">
      <c r="A217" s="16"/>
      <c r="B217" s="43"/>
      <c r="C217" s="43"/>
      <c r="D217" s="15"/>
      <c r="E217" s="15"/>
      <c r="F217" s="16"/>
      <c r="G217" s="12"/>
      <c r="H217" s="12"/>
      <c r="I217" s="12"/>
      <c r="J217" s="12"/>
      <c r="K217" s="12"/>
      <c r="L217" s="12"/>
      <c r="M217" s="12"/>
      <c r="N217" s="16"/>
    </row>
    <row r="218" spans="1:14" ht="15.75" customHeight="1" x14ac:dyDescent="0.15">
      <c r="A218" s="16"/>
      <c r="B218" s="43"/>
      <c r="C218" s="43"/>
      <c r="D218" s="15"/>
      <c r="E218" s="15"/>
      <c r="F218" s="16"/>
      <c r="G218" s="12"/>
      <c r="H218" s="12"/>
      <c r="I218" s="12"/>
      <c r="J218" s="12"/>
      <c r="K218" s="12"/>
      <c r="L218" s="12"/>
      <c r="M218" s="12"/>
      <c r="N218" s="16"/>
    </row>
    <row r="219" spans="1:14" ht="15.75" customHeight="1" x14ac:dyDescent="0.15">
      <c r="A219" s="16"/>
      <c r="B219" s="43"/>
      <c r="C219" s="43"/>
      <c r="D219" s="15"/>
      <c r="E219" s="15"/>
      <c r="F219" s="16"/>
      <c r="G219" s="12"/>
      <c r="H219" s="12"/>
      <c r="I219" s="12"/>
      <c r="J219" s="12"/>
      <c r="K219" s="12"/>
      <c r="L219" s="12"/>
      <c r="M219" s="12"/>
      <c r="N219" s="16"/>
    </row>
    <row r="220" spans="1:14" ht="15.75" customHeight="1" x14ac:dyDescent="0.15">
      <c r="A220" s="16"/>
      <c r="B220" s="43"/>
      <c r="C220" s="43"/>
      <c r="D220" s="15"/>
      <c r="E220" s="15"/>
      <c r="F220" s="16"/>
      <c r="G220" s="12"/>
      <c r="H220" s="12"/>
      <c r="I220" s="12"/>
      <c r="J220" s="12"/>
      <c r="K220" s="12"/>
      <c r="L220" s="12"/>
      <c r="M220" s="12"/>
      <c r="N220" s="16"/>
    </row>
    <row r="221" spans="1:14" ht="15.75" customHeight="1" x14ac:dyDescent="0.15">
      <c r="A221" s="16"/>
      <c r="B221" s="43"/>
      <c r="C221" s="43"/>
      <c r="D221" s="15"/>
      <c r="E221" s="15"/>
      <c r="F221" s="16"/>
      <c r="G221" s="12"/>
      <c r="H221" s="12"/>
      <c r="I221" s="12"/>
      <c r="J221" s="12"/>
      <c r="K221" s="12"/>
      <c r="L221" s="12"/>
      <c r="M221" s="12"/>
      <c r="N221" s="16"/>
    </row>
    <row r="222" spans="1:14" ht="15.75" customHeight="1" x14ac:dyDescent="0.15">
      <c r="A222" s="16"/>
      <c r="B222" s="43"/>
      <c r="C222" s="43"/>
      <c r="D222" s="15"/>
      <c r="E222" s="15"/>
      <c r="F222" s="16"/>
      <c r="G222" s="12"/>
      <c r="H222" s="12"/>
      <c r="I222" s="12"/>
      <c r="J222" s="12"/>
      <c r="K222" s="12"/>
      <c r="L222" s="12"/>
      <c r="M222" s="12"/>
      <c r="N222" s="16"/>
    </row>
    <row r="223" spans="1:14" ht="15.75" customHeight="1" x14ac:dyDescent="0.15">
      <c r="A223" s="16"/>
      <c r="B223" s="43"/>
      <c r="C223" s="43"/>
      <c r="D223" s="15"/>
      <c r="E223" s="15"/>
      <c r="F223" s="16"/>
      <c r="G223" s="12"/>
      <c r="H223" s="12"/>
      <c r="I223" s="12"/>
      <c r="J223" s="12"/>
      <c r="K223" s="12"/>
      <c r="L223" s="12"/>
      <c r="M223" s="12"/>
      <c r="N223" s="16"/>
    </row>
    <row r="224" spans="1:14" ht="15.75" customHeight="1" x14ac:dyDescent="0.15">
      <c r="A224" s="16"/>
      <c r="B224" s="43"/>
      <c r="C224" s="43"/>
      <c r="D224" s="15"/>
      <c r="E224" s="15"/>
      <c r="F224" s="16"/>
      <c r="G224" s="12"/>
      <c r="H224" s="12"/>
      <c r="I224" s="12"/>
      <c r="J224" s="12"/>
      <c r="K224" s="12"/>
      <c r="L224" s="12"/>
      <c r="M224" s="12"/>
      <c r="N224" s="16"/>
    </row>
    <row r="225" spans="1:14" ht="15.75" customHeight="1" x14ac:dyDescent="0.15">
      <c r="A225" s="16"/>
      <c r="B225" s="43"/>
      <c r="C225" s="43"/>
      <c r="D225" s="15"/>
      <c r="E225" s="15"/>
      <c r="F225" s="16"/>
      <c r="G225" s="12"/>
      <c r="H225" s="12"/>
      <c r="I225" s="12"/>
      <c r="J225" s="12"/>
      <c r="K225" s="12"/>
      <c r="L225" s="12"/>
      <c r="M225" s="12"/>
      <c r="N225" s="16"/>
    </row>
    <row r="226" spans="1:14" ht="15.75" customHeight="1" x14ac:dyDescent="0.15">
      <c r="A226" s="16"/>
      <c r="B226" s="43"/>
      <c r="C226" s="43"/>
      <c r="D226" s="15"/>
      <c r="E226" s="15"/>
      <c r="F226" s="16"/>
      <c r="G226" s="12"/>
      <c r="H226" s="12"/>
      <c r="I226" s="12"/>
      <c r="J226" s="12"/>
      <c r="K226" s="12"/>
      <c r="L226" s="12"/>
      <c r="M226" s="12"/>
      <c r="N226" s="16"/>
    </row>
    <row r="227" spans="1:14" ht="15.75" customHeight="1" x14ac:dyDescent="0.15">
      <c r="A227" s="16"/>
      <c r="B227" s="43"/>
      <c r="C227" s="43"/>
      <c r="D227" s="15"/>
      <c r="E227" s="15"/>
      <c r="F227" s="16"/>
      <c r="G227" s="12"/>
      <c r="H227" s="12"/>
      <c r="I227" s="12"/>
      <c r="J227" s="12"/>
      <c r="K227" s="12"/>
      <c r="L227" s="12"/>
      <c r="M227" s="12"/>
      <c r="N227" s="16"/>
    </row>
    <row r="228" spans="1:14" ht="15.75" customHeight="1" x14ac:dyDescent="0.15">
      <c r="A228" s="16"/>
      <c r="B228" s="43"/>
      <c r="C228" s="43"/>
      <c r="D228" s="15"/>
      <c r="E228" s="15"/>
      <c r="F228" s="16"/>
      <c r="G228" s="12"/>
      <c r="H228" s="12"/>
      <c r="I228" s="12"/>
      <c r="J228" s="12"/>
      <c r="K228" s="12"/>
      <c r="L228" s="12"/>
      <c r="M228" s="12"/>
      <c r="N228" s="16"/>
    </row>
    <row r="229" spans="1:14" ht="15.75" customHeight="1" x14ac:dyDescent="0.15">
      <c r="A229" s="16"/>
      <c r="B229" s="43"/>
      <c r="C229" s="43"/>
      <c r="D229" s="15"/>
      <c r="E229" s="15"/>
      <c r="F229" s="16"/>
      <c r="G229" s="12"/>
      <c r="H229" s="12"/>
      <c r="I229" s="12"/>
      <c r="J229" s="12"/>
      <c r="K229" s="12"/>
      <c r="L229" s="12"/>
      <c r="M229" s="12"/>
      <c r="N229" s="16"/>
    </row>
    <row r="230" spans="1:14" ht="15.75" customHeight="1" x14ac:dyDescent="0.15">
      <c r="A230" s="16"/>
      <c r="B230" s="43"/>
      <c r="C230" s="43"/>
      <c r="D230" s="15"/>
      <c r="E230" s="15"/>
      <c r="F230" s="16"/>
      <c r="G230" s="12"/>
      <c r="H230" s="12"/>
      <c r="I230" s="12"/>
      <c r="J230" s="12"/>
      <c r="K230" s="12"/>
      <c r="L230" s="12"/>
      <c r="M230" s="12"/>
      <c r="N230" s="16"/>
    </row>
    <row r="231" spans="1:14" ht="15.75" customHeight="1" x14ac:dyDescent="0.15">
      <c r="A231" s="16"/>
      <c r="B231" s="43"/>
      <c r="C231" s="43"/>
      <c r="D231" s="15"/>
      <c r="E231" s="15"/>
      <c r="F231" s="16"/>
      <c r="G231" s="12"/>
      <c r="H231" s="12"/>
      <c r="I231" s="12"/>
      <c r="J231" s="12"/>
      <c r="K231" s="12"/>
      <c r="L231" s="12"/>
      <c r="M231" s="12"/>
      <c r="N231" s="16"/>
    </row>
    <row r="232" spans="1:14" ht="15.75" customHeight="1" x14ac:dyDescent="0.15">
      <c r="A232" s="16"/>
      <c r="B232" s="43"/>
      <c r="C232" s="43"/>
      <c r="D232" s="15"/>
      <c r="E232" s="15"/>
      <c r="F232" s="16"/>
      <c r="G232" s="12"/>
      <c r="H232" s="12"/>
      <c r="I232" s="12"/>
      <c r="J232" s="12"/>
      <c r="K232" s="12"/>
      <c r="L232" s="12"/>
      <c r="M232" s="12"/>
      <c r="N232" s="16"/>
    </row>
    <row r="233" spans="1:14" ht="15.75" customHeight="1" x14ac:dyDescent="0.15">
      <c r="A233" s="16"/>
      <c r="B233" s="43"/>
      <c r="C233" s="43"/>
      <c r="D233" s="15"/>
      <c r="E233" s="15"/>
      <c r="F233" s="16"/>
      <c r="G233" s="12"/>
      <c r="H233" s="12"/>
      <c r="I233" s="12"/>
      <c r="J233" s="12"/>
      <c r="K233" s="12"/>
      <c r="L233" s="12"/>
      <c r="M233" s="12"/>
      <c r="N233" s="16"/>
    </row>
    <row r="234" spans="1:14" ht="15.75" customHeight="1" x14ac:dyDescent="0.15">
      <c r="A234" s="16"/>
      <c r="B234" s="43"/>
      <c r="C234" s="43"/>
      <c r="D234" s="15"/>
      <c r="E234" s="15"/>
      <c r="F234" s="16"/>
      <c r="G234" s="12"/>
      <c r="H234" s="12"/>
      <c r="I234" s="12"/>
      <c r="J234" s="12"/>
      <c r="K234" s="12"/>
      <c r="L234" s="12"/>
      <c r="M234" s="12"/>
      <c r="N234" s="16"/>
    </row>
    <row r="235" spans="1:14" ht="15.75" customHeight="1" x14ac:dyDescent="0.15">
      <c r="A235" s="16"/>
      <c r="B235" s="43"/>
      <c r="C235" s="43"/>
      <c r="D235" s="15"/>
      <c r="E235" s="15"/>
      <c r="F235" s="16"/>
      <c r="G235" s="12"/>
      <c r="H235" s="12"/>
      <c r="I235" s="12"/>
      <c r="J235" s="12"/>
      <c r="K235" s="12"/>
      <c r="L235" s="12"/>
      <c r="M235" s="12"/>
      <c r="N235" s="16"/>
    </row>
    <row r="236" spans="1:14" ht="15.75" customHeight="1" x14ac:dyDescent="0.15">
      <c r="A236" s="16"/>
      <c r="B236" s="43"/>
      <c r="C236" s="43"/>
      <c r="D236" s="15"/>
      <c r="E236" s="15"/>
      <c r="F236" s="16"/>
      <c r="G236" s="12"/>
      <c r="H236" s="12"/>
      <c r="I236" s="12"/>
      <c r="J236" s="12"/>
      <c r="K236" s="12"/>
      <c r="L236" s="12"/>
      <c r="M236" s="12"/>
      <c r="N236" s="16"/>
    </row>
    <row r="237" spans="1:14" ht="15.75" customHeight="1" x14ac:dyDescent="0.15">
      <c r="A237" s="16"/>
      <c r="B237" s="43"/>
      <c r="C237" s="43"/>
      <c r="D237" s="15"/>
      <c r="E237" s="15"/>
      <c r="F237" s="16"/>
      <c r="G237" s="12"/>
      <c r="H237" s="12"/>
      <c r="I237" s="12"/>
      <c r="J237" s="12"/>
      <c r="K237" s="12"/>
      <c r="L237" s="12"/>
      <c r="M237" s="12"/>
      <c r="N237" s="16"/>
    </row>
    <row r="238" spans="1:14" ht="15.75" customHeight="1" x14ac:dyDescent="0.15">
      <c r="A238" s="16"/>
      <c r="B238" s="43"/>
      <c r="C238" s="43"/>
      <c r="D238" s="15"/>
      <c r="E238" s="15"/>
      <c r="F238" s="16"/>
      <c r="G238" s="12"/>
      <c r="H238" s="12"/>
      <c r="I238" s="12"/>
      <c r="J238" s="12"/>
      <c r="K238" s="12"/>
      <c r="L238" s="12"/>
      <c r="M238" s="12"/>
      <c r="N238" s="16"/>
    </row>
    <row r="239" spans="1:14" ht="15.75" customHeight="1" x14ac:dyDescent="0.15">
      <c r="A239" s="16"/>
      <c r="B239" s="43"/>
      <c r="C239" s="43"/>
      <c r="D239" s="15"/>
      <c r="E239" s="15"/>
      <c r="F239" s="16"/>
      <c r="G239" s="12"/>
      <c r="H239" s="12"/>
      <c r="I239" s="12"/>
      <c r="J239" s="12"/>
      <c r="K239" s="12"/>
      <c r="L239" s="12"/>
      <c r="M239" s="12"/>
      <c r="N239" s="16"/>
    </row>
    <row r="240" spans="1:14" ht="15.75" customHeight="1" x14ac:dyDescent="0.15">
      <c r="A240" s="16"/>
      <c r="B240" s="43"/>
      <c r="C240" s="43"/>
      <c r="D240" s="15"/>
      <c r="E240" s="15"/>
      <c r="F240" s="16"/>
      <c r="G240" s="12"/>
      <c r="H240" s="12"/>
      <c r="I240" s="12"/>
      <c r="J240" s="12"/>
      <c r="K240" s="12"/>
      <c r="L240" s="12"/>
      <c r="M240" s="12"/>
      <c r="N240" s="16"/>
    </row>
    <row r="241" spans="1:14" ht="15.75" customHeight="1" x14ac:dyDescent="0.15">
      <c r="A241" s="16"/>
      <c r="B241" s="43"/>
      <c r="C241" s="43"/>
      <c r="D241" s="15"/>
      <c r="E241" s="15"/>
      <c r="F241" s="16"/>
      <c r="G241" s="12"/>
      <c r="H241" s="12"/>
      <c r="I241" s="12"/>
      <c r="J241" s="12"/>
      <c r="K241" s="12"/>
      <c r="L241" s="12"/>
      <c r="M241" s="12"/>
      <c r="N241" s="16"/>
    </row>
    <row r="242" spans="1:14" ht="15.75" customHeight="1" x14ac:dyDescent="0.15">
      <c r="A242" s="16"/>
      <c r="B242" s="43"/>
      <c r="C242" s="43"/>
      <c r="D242" s="15"/>
      <c r="E242" s="15"/>
      <c r="F242" s="16"/>
      <c r="G242" s="12"/>
      <c r="H242" s="12"/>
      <c r="I242" s="12"/>
      <c r="J242" s="12"/>
      <c r="K242" s="12"/>
      <c r="L242" s="12"/>
      <c r="M242" s="12"/>
      <c r="N242" s="16"/>
    </row>
    <row r="243" spans="1:14" ht="15.75" customHeight="1" x14ac:dyDescent="0.15">
      <c r="A243" s="16"/>
      <c r="B243" s="43"/>
      <c r="C243" s="43"/>
      <c r="D243" s="15"/>
      <c r="E243" s="15"/>
      <c r="F243" s="16"/>
      <c r="G243" s="12"/>
      <c r="H243" s="12"/>
      <c r="I243" s="12"/>
      <c r="J243" s="12"/>
      <c r="K243" s="12"/>
      <c r="L243" s="12"/>
      <c r="M243" s="12"/>
      <c r="N243" s="16"/>
    </row>
    <row r="244" spans="1:14" ht="15.75" customHeight="1" x14ac:dyDescent="0.15">
      <c r="A244" s="16"/>
      <c r="B244" s="43"/>
      <c r="C244" s="43"/>
      <c r="D244" s="15"/>
      <c r="E244" s="15"/>
      <c r="F244" s="16"/>
      <c r="G244" s="12"/>
      <c r="H244" s="12"/>
      <c r="I244" s="12"/>
      <c r="J244" s="12"/>
      <c r="K244" s="12"/>
      <c r="L244" s="12"/>
      <c r="M244" s="12"/>
      <c r="N244" s="16"/>
    </row>
    <row r="245" spans="1:14" ht="15.75" customHeight="1" x14ac:dyDescent="0.15">
      <c r="A245" s="16"/>
      <c r="B245" s="43"/>
      <c r="C245" s="43"/>
      <c r="D245" s="15"/>
      <c r="E245" s="15"/>
      <c r="F245" s="16"/>
      <c r="G245" s="12"/>
      <c r="H245" s="12"/>
      <c r="I245" s="12"/>
      <c r="J245" s="12"/>
      <c r="K245" s="12"/>
      <c r="L245" s="12"/>
      <c r="M245" s="12"/>
      <c r="N245" s="16"/>
    </row>
    <row r="246" spans="1:14" ht="15.75" customHeight="1" x14ac:dyDescent="0.15">
      <c r="A246" s="16"/>
      <c r="B246" s="43"/>
      <c r="C246" s="43"/>
      <c r="D246" s="15"/>
      <c r="E246" s="15"/>
      <c r="F246" s="16"/>
      <c r="G246" s="12"/>
      <c r="H246" s="12"/>
      <c r="I246" s="12"/>
      <c r="J246" s="12"/>
      <c r="K246" s="12"/>
      <c r="L246" s="12"/>
      <c r="M246" s="12"/>
      <c r="N246" s="16"/>
    </row>
    <row r="247" spans="1:14" ht="15.75" customHeight="1" x14ac:dyDescent="0.15">
      <c r="A247" s="16"/>
      <c r="B247" s="43"/>
      <c r="C247" s="43"/>
      <c r="D247" s="15"/>
      <c r="E247" s="15"/>
      <c r="F247" s="16"/>
      <c r="G247" s="12"/>
      <c r="H247" s="12"/>
      <c r="I247" s="12"/>
      <c r="J247" s="12"/>
      <c r="K247" s="12"/>
      <c r="L247" s="12"/>
      <c r="M247" s="12"/>
      <c r="N247" s="16"/>
    </row>
    <row r="248" spans="1:14" ht="15.75" customHeight="1" x14ac:dyDescent="0.15">
      <c r="A248" s="16"/>
      <c r="B248" s="43"/>
      <c r="C248" s="43"/>
      <c r="D248" s="15"/>
      <c r="E248" s="15"/>
      <c r="F248" s="16"/>
      <c r="G248" s="12"/>
      <c r="H248" s="12"/>
      <c r="I248" s="12"/>
      <c r="J248" s="12"/>
      <c r="K248" s="12"/>
      <c r="L248" s="12"/>
      <c r="M248" s="12"/>
      <c r="N248" s="16"/>
    </row>
    <row r="249" spans="1:14" ht="15.75" customHeight="1" x14ac:dyDescent="0.15">
      <c r="A249" s="16"/>
      <c r="B249" s="43"/>
      <c r="C249" s="43"/>
      <c r="D249" s="15"/>
      <c r="E249" s="15"/>
      <c r="F249" s="16"/>
      <c r="G249" s="12"/>
      <c r="H249" s="12"/>
      <c r="I249" s="12"/>
      <c r="J249" s="12"/>
      <c r="K249" s="12"/>
      <c r="L249" s="12"/>
      <c r="M249" s="12"/>
      <c r="N249" s="16"/>
    </row>
    <row r="250" spans="1:14" ht="15.75" customHeight="1" x14ac:dyDescent="0.15">
      <c r="A250" s="16"/>
      <c r="B250" s="43"/>
      <c r="C250" s="43"/>
      <c r="D250" s="15"/>
      <c r="E250" s="15"/>
      <c r="F250" s="16"/>
      <c r="G250" s="12"/>
      <c r="H250" s="12"/>
      <c r="I250" s="12"/>
      <c r="J250" s="12"/>
      <c r="K250" s="12"/>
      <c r="L250" s="12"/>
      <c r="M250" s="12"/>
      <c r="N250" s="16"/>
    </row>
    <row r="251" spans="1:14" ht="15.75" customHeight="1" x14ac:dyDescent="0.15">
      <c r="A251" s="16"/>
      <c r="B251" s="43"/>
      <c r="C251" s="43"/>
      <c r="D251" s="15"/>
      <c r="E251" s="15"/>
      <c r="F251" s="16"/>
      <c r="G251" s="12"/>
      <c r="H251" s="12"/>
      <c r="I251" s="12"/>
      <c r="J251" s="12"/>
      <c r="K251" s="12"/>
      <c r="L251" s="12"/>
      <c r="M251" s="12"/>
      <c r="N251" s="16"/>
    </row>
    <row r="252" spans="1:14" ht="15.75" customHeight="1" x14ac:dyDescent="0.15">
      <c r="A252" s="16"/>
      <c r="B252" s="43"/>
      <c r="C252" s="43"/>
      <c r="D252" s="15"/>
      <c r="E252" s="15"/>
      <c r="F252" s="16"/>
      <c r="G252" s="12"/>
      <c r="H252" s="12"/>
      <c r="I252" s="12"/>
      <c r="J252" s="12"/>
      <c r="K252" s="12"/>
      <c r="L252" s="12"/>
      <c r="M252" s="12"/>
      <c r="N252" s="16"/>
    </row>
    <row r="253" spans="1:14" ht="15.75" customHeight="1" x14ac:dyDescent="0.15">
      <c r="A253" s="16"/>
      <c r="B253" s="43"/>
      <c r="C253" s="43"/>
      <c r="D253" s="15"/>
      <c r="E253" s="15"/>
      <c r="F253" s="16"/>
      <c r="G253" s="12"/>
      <c r="H253" s="12"/>
      <c r="I253" s="12"/>
      <c r="J253" s="12"/>
      <c r="K253" s="12"/>
      <c r="L253" s="12"/>
      <c r="M253" s="12"/>
      <c r="N253" s="16"/>
    </row>
    <row r="254" spans="1:14" ht="15.75" customHeight="1" x14ac:dyDescent="0.15">
      <c r="A254" s="16"/>
      <c r="B254" s="43"/>
      <c r="C254" s="43"/>
      <c r="D254" s="15"/>
      <c r="E254" s="15"/>
      <c r="F254" s="16"/>
      <c r="G254" s="12"/>
      <c r="H254" s="12"/>
      <c r="I254" s="12"/>
      <c r="J254" s="12"/>
      <c r="K254" s="12"/>
      <c r="L254" s="12"/>
      <c r="M254" s="12"/>
      <c r="N254" s="16"/>
    </row>
    <row r="255" spans="1:14" ht="15.75" customHeight="1" x14ac:dyDescent="0.15">
      <c r="A255" s="16"/>
      <c r="B255" s="43"/>
      <c r="C255" s="43"/>
      <c r="D255" s="15"/>
      <c r="E255" s="15"/>
      <c r="F255" s="16"/>
      <c r="G255" s="12"/>
      <c r="H255" s="12"/>
      <c r="I255" s="12"/>
      <c r="J255" s="12"/>
      <c r="K255" s="12"/>
      <c r="L255" s="12"/>
      <c r="M255" s="12"/>
      <c r="N255" s="16"/>
    </row>
    <row r="256" spans="1:14" ht="15.75" customHeight="1" x14ac:dyDescent="0.15">
      <c r="A256" s="16"/>
      <c r="B256" s="43"/>
      <c r="C256" s="43"/>
      <c r="D256" s="15"/>
      <c r="E256" s="15"/>
      <c r="F256" s="16"/>
      <c r="G256" s="12"/>
      <c r="H256" s="12"/>
      <c r="I256" s="12"/>
      <c r="J256" s="12"/>
      <c r="K256" s="12"/>
      <c r="L256" s="12"/>
      <c r="M256" s="12"/>
      <c r="N256" s="16"/>
    </row>
    <row r="257" spans="1:14" ht="15.75" customHeight="1" x14ac:dyDescent="0.15">
      <c r="A257" s="16"/>
      <c r="B257" s="43"/>
      <c r="C257" s="43"/>
      <c r="D257" s="15"/>
      <c r="E257" s="15"/>
      <c r="F257" s="16"/>
      <c r="G257" s="12"/>
      <c r="H257" s="12"/>
      <c r="I257" s="12"/>
      <c r="J257" s="12"/>
      <c r="K257" s="12"/>
      <c r="L257" s="12"/>
      <c r="M257" s="12"/>
      <c r="N257" s="16"/>
    </row>
    <row r="258" spans="1:14" ht="15.75" customHeight="1" x14ac:dyDescent="0.15">
      <c r="A258" s="16"/>
      <c r="B258" s="43"/>
      <c r="C258" s="43"/>
      <c r="D258" s="15"/>
      <c r="E258" s="15"/>
      <c r="F258" s="16"/>
      <c r="G258" s="12"/>
      <c r="H258" s="12"/>
      <c r="I258" s="12"/>
      <c r="J258" s="12"/>
      <c r="K258" s="12"/>
      <c r="L258" s="12"/>
      <c r="M258" s="12"/>
      <c r="N258" s="16"/>
    </row>
    <row r="259" spans="1:14" ht="15.75" customHeight="1" x14ac:dyDescent="0.15">
      <c r="A259" s="16"/>
      <c r="B259" s="43"/>
      <c r="C259" s="43"/>
      <c r="D259" s="15"/>
      <c r="E259" s="15"/>
      <c r="F259" s="16"/>
      <c r="G259" s="12"/>
      <c r="H259" s="12"/>
      <c r="I259" s="12"/>
      <c r="J259" s="12"/>
      <c r="K259" s="12"/>
      <c r="L259" s="12"/>
      <c r="M259" s="12"/>
      <c r="N259" s="16"/>
    </row>
    <row r="260" spans="1:14" ht="15.75" customHeight="1" x14ac:dyDescent="0.15">
      <c r="A260" s="16"/>
      <c r="B260" s="43"/>
      <c r="C260" s="43"/>
      <c r="D260" s="15"/>
      <c r="E260" s="15"/>
      <c r="F260" s="16"/>
      <c r="G260" s="12"/>
      <c r="H260" s="12"/>
      <c r="I260" s="12"/>
      <c r="J260" s="12"/>
      <c r="K260" s="12"/>
      <c r="L260" s="12"/>
      <c r="M260" s="12"/>
      <c r="N260" s="16"/>
    </row>
    <row r="261" spans="1:14" ht="15.75" customHeight="1" x14ac:dyDescent="0.15">
      <c r="A261" s="16"/>
      <c r="B261" s="43"/>
      <c r="C261" s="43"/>
      <c r="D261" s="15"/>
      <c r="E261" s="15"/>
      <c r="F261" s="16"/>
      <c r="G261" s="12"/>
      <c r="H261" s="12"/>
      <c r="I261" s="12"/>
      <c r="J261" s="12"/>
      <c r="K261" s="12"/>
      <c r="L261" s="12"/>
      <c r="M261" s="12"/>
      <c r="N261" s="16"/>
    </row>
    <row r="262" spans="1:14" ht="15.75" customHeight="1" x14ac:dyDescent="0.15">
      <c r="A262" s="16"/>
      <c r="B262" s="43"/>
      <c r="C262" s="43"/>
      <c r="D262" s="15"/>
      <c r="E262" s="15"/>
      <c r="F262" s="16"/>
      <c r="G262" s="12"/>
      <c r="H262" s="12"/>
      <c r="I262" s="12"/>
      <c r="J262" s="12"/>
      <c r="K262" s="12"/>
      <c r="L262" s="12"/>
      <c r="M262" s="12"/>
      <c r="N262" s="16"/>
    </row>
    <row r="263" spans="1:14" ht="15.75" customHeight="1" x14ac:dyDescent="0.15">
      <c r="A263" s="16"/>
      <c r="B263" s="43"/>
      <c r="C263" s="43"/>
      <c r="D263" s="15"/>
      <c r="E263" s="15"/>
      <c r="F263" s="16"/>
      <c r="G263" s="12"/>
      <c r="H263" s="12"/>
      <c r="I263" s="12"/>
      <c r="J263" s="12"/>
      <c r="K263" s="12"/>
      <c r="L263" s="12"/>
      <c r="M263" s="12"/>
      <c r="N263" s="16"/>
    </row>
    <row r="264" spans="1:14" ht="15.75" customHeight="1" x14ac:dyDescent="0.15">
      <c r="A264" s="16"/>
      <c r="B264" s="43"/>
      <c r="C264" s="43"/>
      <c r="D264" s="15"/>
      <c r="E264" s="15"/>
      <c r="F264" s="16"/>
      <c r="G264" s="12"/>
      <c r="H264" s="12"/>
      <c r="I264" s="12"/>
      <c r="J264" s="12"/>
      <c r="K264" s="12"/>
      <c r="L264" s="12"/>
      <c r="M264" s="12"/>
      <c r="N264" s="16"/>
    </row>
    <row r="265" spans="1:14" ht="15.75" customHeight="1" x14ac:dyDescent="0.15">
      <c r="A265" s="16"/>
      <c r="B265" s="43"/>
      <c r="C265" s="43"/>
      <c r="D265" s="15"/>
      <c r="E265" s="15"/>
      <c r="F265" s="16"/>
      <c r="G265" s="12"/>
      <c r="H265" s="12"/>
      <c r="I265" s="12"/>
      <c r="J265" s="12"/>
      <c r="K265" s="12"/>
      <c r="L265" s="12"/>
      <c r="M265" s="12"/>
      <c r="N265" s="16"/>
    </row>
    <row r="266" spans="1:14" ht="15.75" customHeight="1" x14ac:dyDescent="0.15">
      <c r="A266" s="16"/>
      <c r="B266" s="43"/>
      <c r="C266" s="43"/>
      <c r="D266" s="15"/>
      <c r="E266" s="15"/>
      <c r="F266" s="16"/>
      <c r="G266" s="12"/>
      <c r="H266" s="12"/>
      <c r="I266" s="12"/>
      <c r="J266" s="12"/>
      <c r="K266" s="12"/>
      <c r="L266" s="12"/>
      <c r="M266" s="12"/>
      <c r="N266" s="16"/>
    </row>
    <row r="267" spans="1:14" ht="15.75" customHeight="1" x14ac:dyDescent="0.15">
      <c r="A267" s="16"/>
      <c r="B267" s="43"/>
      <c r="C267" s="43"/>
      <c r="D267" s="15"/>
      <c r="E267" s="15"/>
      <c r="F267" s="16"/>
      <c r="G267" s="12"/>
      <c r="H267" s="12"/>
      <c r="I267" s="12"/>
      <c r="J267" s="12"/>
      <c r="K267" s="12"/>
      <c r="L267" s="12"/>
      <c r="M267" s="12"/>
      <c r="N267" s="16"/>
    </row>
    <row r="268" spans="1:14" ht="15.75" customHeight="1" x14ac:dyDescent="0.15">
      <c r="A268" s="16"/>
      <c r="B268" s="43"/>
      <c r="C268" s="43"/>
      <c r="D268" s="15"/>
      <c r="E268" s="15"/>
      <c r="F268" s="16"/>
      <c r="G268" s="12"/>
      <c r="H268" s="12"/>
      <c r="I268" s="12"/>
      <c r="J268" s="12"/>
      <c r="K268" s="12"/>
      <c r="L268" s="12"/>
      <c r="M268" s="12"/>
      <c r="N268" s="16"/>
    </row>
    <row r="269" spans="1:14" ht="15.75" customHeight="1" x14ac:dyDescent="0.15">
      <c r="A269" s="16"/>
      <c r="B269" s="43"/>
      <c r="C269" s="43"/>
      <c r="D269" s="15"/>
      <c r="E269" s="15"/>
      <c r="F269" s="16"/>
      <c r="G269" s="12"/>
      <c r="H269" s="12"/>
      <c r="I269" s="12"/>
      <c r="J269" s="12"/>
      <c r="K269" s="12"/>
      <c r="L269" s="12"/>
      <c r="M269" s="12"/>
      <c r="N269" s="16"/>
    </row>
    <row r="270" spans="1:14" ht="15.75" customHeight="1" x14ac:dyDescent="0.15">
      <c r="A270" s="16"/>
      <c r="B270" s="43"/>
      <c r="C270" s="43"/>
      <c r="D270" s="15"/>
      <c r="E270" s="15"/>
      <c r="F270" s="16"/>
      <c r="G270" s="12"/>
      <c r="H270" s="12"/>
      <c r="I270" s="12"/>
      <c r="J270" s="12"/>
      <c r="K270" s="12"/>
      <c r="L270" s="12"/>
      <c r="M270" s="12"/>
      <c r="N270" s="16"/>
    </row>
    <row r="271" spans="1:14" ht="15.75" customHeight="1" x14ac:dyDescent="0.15">
      <c r="A271" s="16"/>
      <c r="B271" s="43"/>
      <c r="C271" s="43"/>
      <c r="D271" s="15"/>
      <c r="E271" s="15"/>
      <c r="F271" s="16"/>
      <c r="G271" s="12"/>
      <c r="H271" s="12"/>
      <c r="I271" s="12"/>
      <c r="J271" s="12"/>
      <c r="K271" s="12"/>
      <c r="L271" s="12"/>
      <c r="M271" s="12"/>
      <c r="N271" s="16"/>
    </row>
    <row r="272" spans="1:14" ht="15.75" customHeight="1" x14ac:dyDescent="0.15">
      <c r="A272" s="16"/>
      <c r="B272" s="43"/>
      <c r="C272" s="43"/>
      <c r="D272" s="15"/>
      <c r="E272" s="15"/>
      <c r="F272" s="16"/>
      <c r="G272" s="12"/>
      <c r="H272" s="12"/>
      <c r="I272" s="12"/>
      <c r="J272" s="12"/>
      <c r="K272" s="12"/>
      <c r="L272" s="12"/>
      <c r="M272" s="12"/>
      <c r="N272" s="16"/>
    </row>
    <row r="273" spans="1:14" ht="15.75" customHeight="1" x14ac:dyDescent="0.15">
      <c r="A273" s="16"/>
      <c r="B273" s="43"/>
      <c r="C273" s="43"/>
      <c r="D273" s="15"/>
      <c r="E273" s="15"/>
      <c r="F273" s="16"/>
      <c r="G273" s="12"/>
      <c r="H273" s="12"/>
      <c r="I273" s="12"/>
      <c r="J273" s="12"/>
      <c r="K273" s="12"/>
      <c r="L273" s="12"/>
      <c r="M273" s="12"/>
      <c r="N273" s="16"/>
    </row>
    <row r="274" spans="1:14" ht="15.75" customHeight="1" x14ac:dyDescent="0.15">
      <c r="A274" s="16"/>
      <c r="B274" s="43"/>
      <c r="C274" s="43"/>
      <c r="D274" s="15"/>
      <c r="E274" s="15"/>
      <c r="F274" s="16"/>
      <c r="G274" s="12"/>
      <c r="H274" s="12"/>
      <c r="I274" s="12"/>
      <c r="J274" s="12"/>
      <c r="K274" s="12"/>
      <c r="L274" s="12"/>
      <c r="M274" s="12"/>
      <c r="N274" s="16"/>
    </row>
    <row r="275" spans="1:14" ht="15.75" customHeight="1" x14ac:dyDescent="0.15">
      <c r="A275" s="16"/>
      <c r="B275" s="43"/>
      <c r="C275" s="43"/>
      <c r="D275" s="15"/>
      <c r="E275" s="15"/>
      <c r="F275" s="16"/>
      <c r="G275" s="12"/>
      <c r="H275" s="12"/>
      <c r="I275" s="12"/>
      <c r="J275" s="12"/>
      <c r="K275" s="12"/>
      <c r="L275" s="12"/>
      <c r="M275" s="12"/>
      <c r="N275" s="16"/>
    </row>
    <row r="276" spans="1:14" ht="15.75" customHeight="1" x14ac:dyDescent="0.15">
      <c r="A276" s="16"/>
      <c r="B276" s="43"/>
      <c r="C276" s="43"/>
      <c r="D276" s="15"/>
      <c r="E276" s="15"/>
      <c r="F276" s="16"/>
      <c r="G276" s="12"/>
      <c r="H276" s="12"/>
      <c r="I276" s="12"/>
      <c r="J276" s="12"/>
      <c r="K276" s="12"/>
      <c r="L276" s="12"/>
      <c r="M276" s="12"/>
      <c r="N276" s="16"/>
    </row>
    <row r="277" spans="1:14" ht="15.75" customHeight="1" x14ac:dyDescent="0.15">
      <c r="A277" s="16"/>
      <c r="B277" s="43"/>
      <c r="C277" s="43"/>
      <c r="D277" s="15"/>
      <c r="E277" s="15"/>
      <c r="F277" s="16"/>
      <c r="G277" s="12"/>
      <c r="H277" s="12"/>
      <c r="I277" s="12"/>
      <c r="J277" s="12"/>
      <c r="K277" s="12"/>
      <c r="L277" s="12"/>
      <c r="M277" s="12"/>
      <c r="N277" s="16"/>
    </row>
    <row r="278" spans="1:14" ht="15.75" customHeight="1" x14ac:dyDescent="0.15">
      <c r="A278" s="16"/>
      <c r="B278" s="43"/>
      <c r="C278" s="43"/>
      <c r="D278" s="15"/>
      <c r="E278" s="15"/>
      <c r="F278" s="16"/>
      <c r="G278" s="12"/>
      <c r="H278" s="12"/>
      <c r="I278" s="12"/>
      <c r="J278" s="12"/>
      <c r="K278" s="12"/>
      <c r="L278" s="12"/>
      <c r="M278" s="12"/>
      <c r="N278" s="16"/>
    </row>
    <row r="279" spans="1:14" ht="15.75" customHeight="1" x14ac:dyDescent="0.15">
      <c r="A279" s="16"/>
      <c r="B279" s="43"/>
      <c r="C279" s="43"/>
      <c r="D279" s="15"/>
      <c r="E279" s="15"/>
      <c r="F279" s="16"/>
      <c r="G279" s="12"/>
      <c r="H279" s="12"/>
      <c r="I279" s="12"/>
      <c r="J279" s="12"/>
      <c r="K279" s="12"/>
      <c r="L279" s="12"/>
      <c r="M279" s="12"/>
      <c r="N279" s="16"/>
    </row>
    <row r="280" spans="1:14" ht="15.75" customHeight="1" x14ac:dyDescent="0.15">
      <c r="A280" s="16"/>
      <c r="B280" s="43"/>
      <c r="C280" s="43"/>
      <c r="D280" s="15"/>
      <c r="E280" s="15"/>
      <c r="F280" s="16"/>
      <c r="G280" s="12"/>
      <c r="H280" s="12"/>
      <c r="I280" s="12"/>
      <c r="J280" s="12"/>
      <c r="K280" s="12"/>
      <c r="L280" s="12"/>
      <c r="M280" s="12"/>
      <c r="N280" s="16"/>
    </row>
    <row r="281" spans="1:14" ht="15.75" customHeight="1" x14ac:dyDescent="0.15">
      <c r="A281" s="16"/>
      <c r="B281" s="43"/>
      <c r="C281" s="43"/>
      <c r="D281" s="15"/>
      <c r="E281" s="15"/>
      <c r="F281" s="16"/>
      <c r="G281" s="12"/>
      <c r="H281" s="12"/>
      <c r="I281" s="12"/>
      <c r="J281" s="12"/>
      <c r="K281" s="12"/>
      <c r="L281" s="12"/>
      <c r="M281" s="12"/>
      <c r="N281" s="16"/>
    </row>
    <row r="282" spans="1:14" ht="15.75" customHeight="1" x14ac:dyDescent="0.15">
      <c r="A282" s="16"/>
      <c r="B282" s="43"/>
      <c r="C282" s="43"/>
      <c r="D282" s="15"/>
      <c r="E282" s="15"/>
      <c r="F282" s="16"/>
      <c r="G282" s="12"/>
      <c r="H282" s="12"/>
      <c r="I282" s="12"/>
      <c r="J282" s="12"/>
      <c r="K282" s="12"/>
      <c r="L282" s="12"/>
      <c r="M282" s="12"/>
      <c r="N282" s="16"/>
    </row>
    <row r="283" spans="1:14" ht="15.75" customHeight="1" x14ac:dyDescent="0.15">
      <c r="A283" s="16"/>
      <c r="B283" s="43"/>
      <c r="C283" s="43"/>
      <c r="D283" s="15"/>
      <c r="E283" s="15"/>
      <c r="F283" s="16"/>
      <c r="G283" s="12"/>
      <c r="H283" s="12"/>
      <c r="I283" s="12"/>
      <c r="J283" s="12"/>
      <c r="K283" s="12"/>
      <c r="L283" s="12"/>
      <c r="M283" s="12"/>
      <c r="N283" s="16"/>
    </row>
    <row r="284" spans="1:14" ht="15.75" customHeight="1" x14ac:dyDescent="0.15">
      <c r="A284" s="16"/>
      <c r="B284" s="43"/>
      <c r="C284" s="43"/>
      <c r="D284" s="15"/>
      <c r="E284" s="15"/>
      <c r="F284" s="16"/>
      <c r="G284" s="12"/>
      <c r="H284" s="12"/>
      <c r="I284" s="12"/>
      <c r="J284" s="12"/>
      <c r="K284" s="12"/>
      <c r="L284" s="12"/>
      <c r="M284" s="12"/>
      <c r="N284" s="16"/>
    </row>
    <row r="285" spans="1:14" ht="15.75" customHeight="1" x14ac:dyDescent="0.15">
      <c r="A285" s="16"/>
      <c r="B285" s="43"/>
      <c r="C285" s="43"/>
      <c r="D285" s="15"/>
      <c r="E285" s="15"/>
      <c r="F285" s="16"/>
      <c r="G285" s="12"/>
      <c r="H285" s="12"/>
      <c r="I285" s="12"/>
      <c r="J285" s="12"/>
      <c r="K285" s="12"/>
      <c r="L285" s="12"/>
      <c r="M285" s="12"/>
      <c r="N285" s="16"/>
    </row>
    <row r="286" spans="1:14" ht="15.75" customHeight="1" x14ac:dyDescent="0.15">
      <c r="A286" s="16"/>
      <c r="B286" s="43"/>
      <c r="C286" s="43"/>
      <c r="D286" s="15"/>
      <c r="E286" s="15"/>
      <c r="F286" s="16"/>
      <c r="G286" s="12"/>
      <c r="H286" s="12"/>
      <c r="I286" s="12"/>
      <c r="J286" s="12"/>
      <c r="K286" s="12"/>
      <c r="L286" s="12"/>
      <c r="M286" s="12"/>
      <c r="N286" s="16"/>
    </row>
    <row r="287" spans="1:14" ht="15.75" customHeight="1" x14ac:dyDescent="0.15">
      <c r="A287" s="16"/>
      <c r="B287" s="43"/>
      <c r="C287" s="43"/>
      <c r="D287" s="15"/>
      <c r="E287" s="15"/>
      <c r="F287" s="16"/>
      <c r="G287" s="12"/>
      <c r="H287" s="12"/>
      <c r="I287" s="12"/>
      <c r="J287" s="12"/>
      <c r="K287" s="12"/>
      <c r="L287" s="12"/>
      <c r="M287" s="12"/>
      <c r="N287" s="16"/>
    </row>
    <row r="288" spans="1:14" ht="15.75" customHeight="1" x14ac:dyDescent="0.15">
      <c r="A288" s="16"/>
      <c r="B288" s="43"/>
      <c r="C288" s="43"/>
      <c r="D288" s="15"/>
      <c r="E288" s="15"/>
      <c r="F288" s="16"/>
      <c r="G288" s="12"/>
      <c r="H288" s="12"/>
      <c r="I288" s="12"/>
      <c r="J288" s="12"/>
      <c r="K288" s="12"/>
      <c r="L288" s="12"/>
      <c r="M288" s="12"/>
      <c r="N288" s="16"/>
    </row>
    <row r="289" spans="1:14" ht="15.75" customHeight="1" x14ac:dyDescent="0.15">
      <c r="A289" s="16"/>
      <c r="B289" s="43"/>
      <c r="C289" s="43"/>
      <c r="D289" s="15"/>
      <c r="E289" s="15"/>
      <c r="F289" s="16"/>
      <c r="G289" s="12"/>
      <c r="H289" s="12"/>
      <c r="I289" s="12"/>
      <c r="J289" s="12"/>
      <c r="K289" s="12"/>
      <c r="L289" s="12"/>
      <c r="M289" s="12"/>
      <c r="N289" s="16"/>
    </row>
    <row r="290" spans="1:14" ht="15.75" customHeight="1" x14ac:dyDescent="0.15">
      <c r="A290" s="16"/>
      <c r="B290" s="43"/>
      <c r="C290" s="43"/>
      <c r="D290" s="15"/>
      <c r="E290" s="15"/>
      <c r="F290" s="16"/>
      <c r="G290" s="12"/>
      <c r="H290" s="12"/>
      <c r="I290" s="12"/>
      <c r="J290" s="12"/>
      <c r="K290" s="12"/>
      <c r="L290" s="12"/>
      <c r="M290" s="12"/>
      <c r="N290" s="16"/>
    </row>
    <row r="291" spans="1:14" ht="15.75" customHeight="1" x14ac:dyDescent="0.15">
      <c r="A291" s="16"/>
      <c r="B291" s="43"/>
      <c r="C291" s="43"/>
      <c r="D291" s="15"/>
      <c r="E291" s="15"/>
      <c r="F291" s="16"/>
      <c r="G291" s="12"/>
      <c r="H291" s="12"/>
      <c r="I291" s="12"/>
      <c r="J291" s="12"/>
      <c r="K291" s="12"/>
      <c r="L291" s="12"/>
      <c r="M291" s="12"/>
      <c r="N291" s="16"/>
    </row>
    <row r="292" spans="1:14" ht="15.75" customHeight="1" x14ac:dyDescent="0.15">
      <c r="A292" s="16"/>
      <c r="B292" s="43"/>
      <c r="C292" s="43"/>
      <c r="D292" s="15"/>
      <c r="E292" s="15"/>
      <c r="F292" s="16"/>
      <c r="G292" s="12"/>
      <c r="H292" s="12"/>
      <c r="I292" s="12"/>
      <c r="J292" s="12"/>
      <c r="K292" s="12"/>
      <c r="L292" s="12"/>
      <c r="M292" s="12"/>
      <c r="N292" s="16"/>
    </row>
    <row r="293" spans="1:14" ht="15.75" customHeight="1" x14ac:dyDescent="0.15">
      <c r="A293" s="16"/>
      <c r="B293" s="43"/>
      <c r="C293" s="43"/>
      <c r="D293" s="15"/>
      <c r="E293" s="15"/>
      <c r="F293" s="16"/>
      <c r="G293" s="12"/>
      <c r="H293" s="12"/>
      <c r="I293" s="12"/>
      <c r="J293" s="12"/>
      <c r="K293" s="12"/>
      <c r="L293" s="12"/>
      <c r="M293" s="12"/>
      <c r="N293" s="16"/>
    </row>
    <row r="294" spans="1:14" ht="15.75" customHeight="1" x14ac:dyDescent="0.15">
      <c r="A294" s="16"/>
      <c r="B294" s="43"/>
      <c r="C294" s="43"/>
      <c r="D294" s="15"/>
      <c r="E294" s="15"/>
      <c r="F294" s="16"/>
      <c r="G294" s="12"/>
      <c r="H294" s="12"/>
      <c r="I294" s="12"/>
      <c r="J294" s="12"/>
      <c r="K294" s="12"/>
      <c r="L294" s="12"/>
      <c r="M294" s="12"/>
      <c r="N294" s="16"/>
    </row>
    <row r="295" spans="1:14" ht="15.75" customHeight="1" x14ac:dyDescent="0.15">
      <c r="A295" s="16"/>
      <c r="B295" s="43"/>
      <c r="C295" s="43"/>
      <c r="D295" s="15"/>
      <c r="E295" s="15"/>
      <c r="F295" s="16"/>
      <c r="G295" s="12"/>
      <c r="H295" s="12"/>
      <c r="I295" s="12"/>
      <c r="J295" s="12"/>
      <c r="K295" s="12"/>
      <c r="L295" s="12"/>
      <c r="M295" s="12"/>
      <c r="N295" s="16"/>
    </row>
    <row r="296" spans="1:14" ht="15.75" customHeight="1" x14ac:dyDescent="0.15">
      <c r="A296" s="16"/>
      <c r="B296" s="43"/>
      <c r="C296" s="43"/>
      <c r="D296" s="15"/>
      <c r="E296" s="15"/>
      <c r="F296" s="16"/>
      <c r="G296" s="12"/>
      <c r="H296" s="12"/>
      <c r="I296" s="12"/>
      <c r="J296" s="12"/>
      <c r="K296" s="12"/>
      <c r="L296" s="12"/>
      <c r="M296" s="12"/>
      <c r="N296" s="16"/>
    </row>
    <row r="297" spans="1:14" ht="15.75" customHeight="1" x14ac:dyDescent="0.15">
      <c r="A297" s="16"/>
      <c r="B297" s="43"/>
      <c r="C297" s="43"/>
      <c r="D297" s="15"/>
      <c r="E297" s="15"/>
      <c r="F297" s="16"/>
      <c r="G297" s="12"/>
      <c r="H297" s="12"/>
      <c r="I297" s="12"/>
      <c r="J297" s="12"/>
      <c r="K297" s="12"/>
      <c r="L297" s="12"/>
      <c r="M297" s="12"/>
      <c r="N297" s="16"/>
    </row>
    <row r="298" spans="1:14" ht="15.75" customHeight="1" x14ac:dyDescent="0.15">
      <c r="A298" s="16"/>
      <c r="B298" s="43"/>
      <c r="C298" s="43"/>
      <c r="D298" s="15"/>
      <c r="E298" s="15"/>
      <c r="F298" s="16"/>
      <c r="G298" s="12"/>
      <c r="H298" s="12"/>
      <c r="I298" s="12"/>
      <c r="J298" s="12"/>
      <c r="K298" s="12"/>
      <c r="L298" s="12"/>
      <c r="M298" s="12"/>
      <c r="N298" s="16"/>
    </row>
    <row r="299" spans="1:14" ht="15.75" customHeight="1" x14ac:dyDescent="0.15">
      <c r="A299" s="16"/>
      <c r="B299" s="43"/>
      <c r="C299" s="43"/>
      <c r="D299" s="15"/>
      <c r="E299" s="15"/>
      <c r="F299" s="16"/>
      <c r="G299" s="12"/>
      <c r="H299" s="12"/>
      <c r="I299" s="12"/>
      <c r="J299" s="12"/>
      <c r="K299" s="12"/>
      <c r="L299" s="12"/>
      <c r="M299" s="12"/>
      <c r="N299" s="16"/>
    </row>
    <row r="300" spans="1:14" ht="15.75" customHeight="1" x14ac:dyDescent="0.15">
      <c r="A300" s="16"/>
      <c r="B300" s="43"/>
      <c r="C300" s="43"/>
      <c r="D300" s="15"/>
      <c r="E300" s="15"/>
      <c r="F300" s="16"/>
      <c r="G300" s="12"/>
      <c r="H300" s="12"/>
      <c r="I300" s="12"/>
      <c r="J300" s="12"/>
      <c r="K300" s="12"/>
      <c r="L300" s="12"/>
      <c r="M300" s="12"/>
      <c r="N300" s="16"/>
    </row>
    <row r="301" spans="1:14" ht="15.75" customHeight="1" x14ac:dyDescent="0.15">
      <c r="A301" s="16"/>
      <c r="B301" s="43"/>
      <c r="C301" s="43"/>
      <c r="D301" s="15"/>
      <c r="E301" s="15"/>
      <c r="F301" s="16"/>
      <c r="G301" s="12"/>
      <c r="H301" s="12"/>
      <c r="I301" s="12"/>
      <c r="J301" s="12"/>
      <c r="K301" s="12"/>
      <c r="L301" s="12"/>
      <c r="M301" s="12"/>
      <c r="N301" s="16"/>
    </row>
    <row r="302" spans="1:14" ht="15.75" customHeight="1" x14ac:dyDescent="0.15">
      <c r="A302" s="16"/>
      <c r="B302" s="43"/>
      <c r="C302" s="43"/>
      <c r="D302" s="15"/>
      <c r="E302" s="15"/>
      <c r="F302" s="16"/>
      <c r="G302" s="12"/>
      <c r="H302" s="12"/>
      <c r="I302" s="12"/>
      <c r="J302" s="12"/>
      <c r="K302" s="12"/>
      <c r="L302" s="12"/>
      <c r="M302" s="12"/>
      <c r="N302" s="16"/>
    </row>
    <row r="303" spans="1:14" ht="15.75" customHeight="1" x14ac:dyDescent="0.15">
      <c r="A303" s="16"/>
      <c r="B303" s="43"/>
      <c r="C303" s="43"/>
      <c r="D303" s="15"/>
      <c r="E303" s="15"/>
      <c r="F303" s="16"/>
      <c r="G303" s="12"/>
      <c r="H303" s="12"/>
      <c r="I303" s="12"/>
      <c r="J303" s="12"/>
      <c r="K303" s="12"/>
      <c r="L303" s="12"/>
      <c r="M303" s="12"/>
      <c r="N303" s="16"/>
    </row>
    <row r="304" spans="1:14" ht="15.75" customHeight="1" x14ac:dyDescent="0.15">
      <c r="A304" s="16"/>
      <c r="B304" s="43"/>
      <c r="C304" s="43"/>
      <c r="D304" s="15"/>
      <c r="E304" s="15"/>
      <c r="F304" s="16"/>
      <c r="G304" s="12"/>
      <c r="H304" s="12"/>
      <c r="I304" s="12"/>
      <c r="J304" s="12"/>
      <c r="K304" s="12"/>
      <c r="L304" s="12"/>
      <c r="M304" s="12"/>
      <c r="N304" s="16"/>
    </row>
    <row r="305" spans="1:14" ht="15.75" customHeight="1" x14ac:dyDescent="0.15">
      <c r="A305" s="16"/>
      <c r="B305" s="43"/>
      <c r="C305" s="43"/>
      <c r="D305" s="15"/>
      <c r="E305" s="15"/>
      <c r="F305" s="16"/>
      <c r="G305" s="12"/>
      <c r="H305" s="12"/>
      <c r="I305" s="12"/>
      <c r="J305" s="12"/>
      <c r="K305" s="12"/>
      <c r="L305" s="12"/>
      <c r="M305" s="12"/>
      <c r="N305" s="16"/>
    </row>
    <row r="306" spans="1:14" ht="15.75" customHeight="1" x14ac:dyDescent="0.15">
      <c r="A306" s="16"/>
      <c r="B306" s="43"/>
      <c r="C306" s="43"/>
      <c r="D306" s="15"/>
      <c r="E306" s="15"/>
      <c r="F306" s="16"/>
      <c r="G306" s="12"/>
      <c r="H306" s="12"/>
      <c r="I306" s="12"/>
      <c r="J306" s="12"/>
      <c r="K306" s="12"/>
      <c r="L306" s="12"/>
      <c r="M306" s="12"/>
      <c r="N306" s="16"/>
    </row>
    <row r="307" spans="1:14" ht="15.75" customHeight="1" x14ac:dyDescent="0.15">
      <c r="A307" s="16"/>
      <c r="B307" s="43"/>
      <c r="C307" s="43"/>
      <c r="D307" s="15"/>
      <c r="E307" s="15"/>
      <c r="F307" s="16"/>
      <c r="G307" s="12"/>
      <c r="H307" s="12"/>
      <c r="I307" s="12"/>
      <c r="J307" s="12"/>
      <c r="K307" s="12"/>
      <c r="L307" s="12"/>
      <c r="M307" s="12"/>
      <c r="N307" s="16"/>
    </row>
    <row r="308" spans="1:14" ht="15.75" customHeight="1" x14ac:dyDescent="0.15"/>
    <row r="309" spans="1:14" ht="15.75" customHeight="1" x14ac:dyDescent="0.15"/>
    <row r="310" spans="1:14" ht="15.75" customHeight="1" x14ac:dyDescent="0.15"/>
    <row r="311" spans="1:14" ht="15.75" customHeight="1" x14ac:dyDescent="0.15"/>
    <row r="312" spans="1:14" ht="15.75" customHeight="1" x14ac:dyDescent="0.15"/>
    <row r="313" spans="1:14" ht="15.75" customHeight="1" x14ac:dyDescent="0.15"/>
    <row r="314" spans="1:14" ht="15.75" customHeight="1" x14ac:dyDescent="0.15"/>
    <row r="315" spans="1:14" ht="15.75" customHeight="1" x14ac:dyDescent="0.15"/>
    <row r="316" spans="1:14" ht="15.75" customHeight="1" x14ac:dyDescent="0.15"/>
    <row r="317" spans="1:14" ht="15.75" customHeight="1" x14ac:dyDescent="0.15"/>
    <row r="318" spans="1:14" ht="15.75" customHeight="1" x14ac:dyDescent="0.15"/>
    <row r="319" spans="1:14" ht="15.75" customHeight="1" x14ac:dyDescent="0.15"/>
    <row r="320" spans="1:14"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hyperlinks>
    <hyperlink ref="A2" r:id="rId1" xr:uid="{00000000-0004-0000-0C00-000000000000}"/>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K1000"/>
  <sheetViews>
    <sheetView workbookViewId="0"/>
  </sheetViews>
  <sheetFormatPr baseColWidth="10" defaultColWidth="14.5" defaultRowHeight="15" customHeight="1" x14ac:dyDescent="0.15"/>
  <cols>
    <col min="1" max="1" width="16.6640625" customWidth="1"/>
    <col min="2" max="3" width="16.1640625" customWidth="1"/>
    <col min="4" max="4" width="13.5" customWidth="1"/>
    <col min="5" max="6" width="14.5" customWidth="1"/>
    <col min="7" max="7" width="9.1640625" customWidth="1"/>
    <col min="8" max="8" width="35.5" customWidth="1"/>
    <col min="9" max="9" width="17.1640625" customWidth="1"/>
    <col min="10" max="10" width="6.5" customWidth="1"/>
    <col min="11" max="11" width="49.33203125" customWidth="1"/>
  </cols>
  <sheetData>
    <row r="1" spans="1:11" ht="15.75" customHeight="1" x14ac:dyDescent="0.15">
      <c r="A1" s="38" t="s">
        <v>618</v>
      </c>
      <c r="B1" s="138"/>
      <c r="C1" s="138"/>
      <c r="D1" s="3"/>
      <c r="E1" s="3"/>
      <c r="F1" s="3"/>
      <c r="G1" s="40"/>
      <c r="H1" s="38" t="s">
        <v>619</v>
      </c>
      <c r="I1" s="40"/>
      <c r="J1" s="40"/>
      <c r="K1" s="2"/>
    </row>
    <row r="2" spans="1:11" ht="15.75" customHeight="1" x14ac:dyDescent="0.2">
      <c r="A2" s="129" t="s">
        <v>620</v>
      </c>
      <c r="B2" s="51"/>
      <c r="C2" s="51"/>
      <c r="D2" s="16"/>
      <c r="E2" s="16"/>
      <c r="F2" s="16"/>
      <c r="G2" s="12"/>
      <c r="H2" s="101" t="s">
        <v>73</v>
      </c>
      <c r="I2" s="102"/>
      <c r="J2" s="12"/>
      <c r="K2" s="44" t="s">
        <v>76</v>
      </c>
    </row>
    <row r="3" spans="1:11" ht="30.75" customHeight="1" x14ac:dyDescent="0.2">
      <c r="A3" s="7" t="s">
        <v>18</v>
      </c>
      <c r="B3" s="7" t="s">
        <v>77</v>
      </c>
      <c r="C3" s="7" t="s">
        <v>78</v>
      </c>
      <c r="D3" s="47" t="s">
        <v>79</v>
      </c>
      <c r="E3" s="47" t="s">
        <v>80</v>
      </c>
      <c r="F3" s="48" t="s">
        <v>81</v>
      </c>
      <c r="G3" s="12"/>
      <c r="H3" s="103" t="s">
        <v>82</v>
      </c>
      <c r="I3" s="104" t="s">
        <v>83</v>
      </c>
      <c r="J3" s="12"/>
      <c r="K3" s="15"/>
    </row>
    <row r="4" spans="1:11" ht="30.75" customHeight="1" x14ac:dyDescent="0.2">
      <c r="A4" s="16">
        <v>1</v>
      </c>
      <c r="B4" s="51" t="s">
        <v>621</v>
      </c>
      <c r="C4" s="51" t="s">
        <v>622</v>
      </c>
      <c r="D4" s="15">
        <f>6800000*$I$6</f>
        <v>0.96948571428571428</v>
      </c>
      <c r="E4" s="15">
        <f>50000000*$I$6</f>
        <v>7.128571428571429</v>
      </c>
      <c r="F4" s="15">
        <f t="shared" ref="F4:F23" si="0">IFERROR(D4+E4,"error")</f>
        <v>8.0980571428571437</v>
      </c>
      <c r="G4" s="12"/>
      <c r="H4" s="106" t="s">
        <v>91</v>
      </c>
      <c r="I4" s="107">
        <v>35000000</v>
      </c>
      <c r="J4" s="12"/>
      <c r="K4" s="15"/>
    </row>
    <row r="5" spans="1:11" ht="30.75" customHeight="1" x14ac:dyDescent="0.2">
      <c r="A5" s="16">
        <v>2</v>
      </c>
      <c r="B5" s="51" t="s">
        <v>623</v>
      </c>
      <c r="C5" s="51" t="s">
        <v>624</v>
      </c>
      <c r="D5" s="15">
        <f>113000000*$I$6</f>
        <v>16.110571428571429</v>
      </c>
      <c r="E5" s="15">
        <f>10*I16</f>
        <v>0.71285714285714286</v>
      </c>
      <c r="F5" s="15">
        <f t="shared" si="0"/>
        <v>16.823428571428572</v>
      </c>
      <c r="G5" s="12"/>
      <c r="H5" s="106" t="s">
        <v>97</v>
      </c>
      <c r="I5" s="108">
        <v>4.99</v>
      </c>
      <c r="J5" s="12"/>
      <c r="K5" s="15"/>
    </row>
    <row r="6" spans="1:11" ht="30.75" customHeight="1" x14ac:dyDescent="0.2">
      <c r="A6" s="16">
        <v>3</v>
      </c>
      <c r="B6" s="51" t="s">
        <v>625</v>
      </c>
      <c r="C6" s="51" t="s">
        <v>626</v>
      </c>
      <c r="D6" s="15">
        <f>8*I11</f>
        <v>0.15607843137254901</v>
      </c>
      <c r="E6" s="15">
        <f>51000000*$I$6</f>
        <v>7.2711428571428574</v>
      </c>
      <c r="F6" s="15">
        <f t="shared" si="0"/>
        <v>7.4272212885154065</v>
      </c>
      <c r="G6" s="12"/>
      <c r="H6" s="134" t="s">
        <v>524</v>
      </c>
      <c r="I6" s="113">
        <f>I5/I4</f>
        <v>1.4257142857142857E-7</v>
      </c>
      <c r="J6" s="12"/>
      <c r="K6" s="34"/>
    </row>
    <row r="7" spans="1:11" ht="30.75" customHeight="1" x14ac:dyDescent="0.2">
      <c r="A7" s="16">
        <v>4</v>
      </c>
      <c r="B7" s="51" t="s">
        <v>627</v>
      </c>
      <c r="C7" s="51" t="s">
        <v>628</v>
      </c>
      <c r="D7" s="15">
        <f>9800000*$I$6</f>
        <v>1.3972</v>
      </c>
      <c r="E7" s="15">
        <f>52000000*$I$6</f>
        <v>7.4137142857142857</v>
      </c>
      <c r="F7" s="15">
        <f t="shared" si="0"/>
        <v>8.8109142857142864</v>
      </c>
      <c r="G7" s="12"/>
      <c r="H7" s="116"/>
      <c r="I7" s="117"/>
      <c r="J7" s="12"/>
      <c r="K7" s="15"/>
    </row>
    <row r="8" spans="1:11" ht="30.75" customHeight="1" x14ac:dyDescent="0.2">
      <c r="A8" s="16">
        <v>5</v>
      </c>
      <c r="B8" s="74" t="s">
        <v>629</v>
      </c>
      <c r="C8" s="51" t="s">
        <v>630</v>
      </c>
      <c r="D8" s="15">
        <f>15000000*I6</f>
        <v>2.1385714285714288</v>
      </c>
      <c r="E8" s="15">
        <f>53000000*$I$6</f>
        <v>7.5562857142857141</v>
      </c>
      <c r="F8" s="15">
        <f t="shared" si="0"/>
        <v>9.694857142857142</v>
      </c>
      <c r="G8" s="12"/>
      <c r="H8" s="103" t="s">
        <v>236</v>
      </c>
      <c r="I8" s="104" t="s">
        <v>631</v>
      </c>
      <c r="J8" s="12"/>
      <c r="K8" s="136"/>
    </row>
    <row r="9" spans="1:11" ht="30.75" customHeight="1" x14ac:dyDescent="0.2">
      <c r="A9" s="16">
        <v>6</v>
      </c>
      <c r="B9" s="51" t="s">
        <v>632</v>
      </c>
      <c r="C9" s="51" t="s">
        <v>633</v>
      </c>
      <c r="D9" s="15">
        <f>12*I11</f>
        <v>0.23411764705882351</v>
      </c>
      <c r="E9" s="15">
        <f>15*I16</f>
        <v>1.0692857142857144</v>
      </c>
      <c r="F9" s="15">
        <f t="shared" si="0"/>
        <v>1.3034033613445379</v>
      </c>
      <c r="G9" s="12"/>
      <c r="H9" s="106" t="s">
        <v>117</v>
      </c>
      <c r="I9" s="107">
        <v>102</v>
      </c>
      <c r="J9" s="12"/>
      <c r="K9" s="15"/>
    </row>
    <row r="10" spans="1:11" ht="30.75" customHeight="1" x14ac:dyDescent="0.2">
      <c r="A10" s="16">
        <v>7</v>
      </c>
      <c r="B10" s="51"/>
      <c r="C10" s="51" t="s">
        <v>634</v>
      </c>
      <c r="D10" s="15">
        <v>0</v>
      </c>
      <c r="E10" s="15">
        <f>55000000*$I$6</f>
        <v>7.8414285714285716</v>
      </c>
      <c r="F10" s="15">
        <f t="shared" si="0"/>
        <v>7.8414285714285716</v>
      </c>
      <c r="G10" s="12"/>
      <c r="H10" s="109" t="s">
        <v>635</v>
      </c>
      <c r="I10" s="108">
        <v>1.99</v>
      </c>
      <c r="J10" s="12"/>
      <c r="K10" s="15"/>
    </row>
    <row r="11" spans="1:11" ht="30.75" customHeight="1" x14ac:dyDescent="0.2">
      <c r="A11" s="16">
        <v>8</v>
      </c>
      <c r="B11" s="51" t="s">
        <v>636</v>
      </c>
      <c r="C11" s="51" t="s">
        <v>637</v>
      </c>
      <c r="D11" s="15">
        <f>15*I11</f>
        <v>0.29264705882352937</v>
      </c>
      <c r="E11" s="15">
        <f>56000000*$I$6</f>
        <v>7.984</v>
      </c>
      <c r="F11" s="15">
        <f t="shared" si="0"/>
        <v>8.2766470588235297</v>
      </c>
      <c r="G11" s="12"/>
      <c r="H11" s="112" t="s">
        <v>104</v>
      </c>
      <c r="I11" s="113">
        <f>IF(I9="N/A","N/A",I10/I9)</f>
        <v>1.9509803921568626E-2</v>
      </c>
      <c r="J11" s="12"/>
      <c r="K11" s="15"/>
    </row>
    <row r="12" spans="1:11" ht="30.75" customHeight="1" x14ac:dyDescent="0.2">
      <c r="A12" s="16">
        <v>9</v>
      </c>
      <c r="B12" s="51"/>
      <c r="C12" s="51" t="s">
        <v>638</v>
      </c>
      <c r="D12" s="15">
        <v>0</v>
      </c>
      <c r="E12" s="15">
        <f>57000000*$I$6</f>
        <v>8.1265714285714292</v>
      </c>
      <c r="F12" s="15">
        <f t="shared" si="0"/>
        <v>8.1265714285714292</v>
      </c>
      <c r="G12" s="12"/>
      <c r="H12" s="106"/>
      <c r="I12" s="119"/>
      <c r="J12" s="12"/>
      <c r="K12" s="15"/>
    </row>
    <row r="13" spans="1:11" ht="30.75" customHeight="1" x14ac:dyDescent="0.2">
      <c r="A13" s="16">
        <v>10</v>
      </c>
      <c r="B13" s="51" t="s">
        <v>639</v>
      </c>
      <c r="C13" s="51" t="s">
        <v>640</v>
      </c>
      <c r="D13" s="15">
        <f>25*I11</f>
        <v>0.48774509803921567</v>
      </c>
      <c r="E13" s="15">
        <f>30*I16</f>
        <v>2.1385714285714288</v>
      </c>
      <c r="F13" s="15">
        <f t="shared" si="0"/>
        <v>2.6263165266106445</v>
      </c>
      <c r="G13" s="12"/>
      <c r="H13" s="103" t="s">
        <v>236</v>
      </c>
      <c r="I13" s="104" t="s">
        <v>641</v>
      </c>
      <c r="J13" s="12"/>
      <c r="K13" s="34"/>
    </row>
    <row r="14" spans="1:11" ht="30.75" customHeight="1" x14ac:dyDescent="0.2">
      <c r="A14" s="16">
        <v>11</v>
      </c>
      <c r="B14" s="51" t="s">
        <v>642</v>
      </c>
      <c r="C14" s="51" t="s">
        <v>643</v>
      </c>
      <c r="D14" s="15">
        <f>14300000*$I$6</f>
        <v>2.0387714285714287</v>
      </c>
      <c r="E14" s="15">
        <f>60000000*$I$6</f>
        <v>8.5542857142857152</v>
      </c>
      <c r="F14" s="15">
        <f t="shared" si="0"/>
        <v>10.593057142857145</v>
      </c>
      <c r="G14" s="12"/>
      <c r="H14" s="106" t="s">
        <v>117</v>
      </c>
      <c r="I14" s="107">
        <v>70</v>
      </c>
      <c r="J14" s="12"/>
      <c r="K14" s="66"/>
    </row>
    <row r="15" spans="1:11" ht="30.75" customHeight="1" x14ac:dyDescent="0.2">
      <c r="A15" s="16">
        <v>12</v>
      </c>
      <c r="B15" s="51"/>
      <c r="C15" s="51" t="s">
        <v>644</v>
      </c>
      <c r="D15" s="15">
        <v>0</v>
      </c>
      <c r="E15" s="15">
        <f>65000000*$I$6</f>
        <v>9.2671428571428578</v>
      </c>
      <c r="F15" s="15">
        <f t="shared" si="0"/>
        <v>9.2671428571428578</v>
      </c>
      <c r="G15" s="12"/>
      <c r="H15" s="109" t="s">
        <v>635</v>
      </c>
      <c r="I15" s="108">
        <v>4.99</v>
      </c>
      <c r="J15" s="12"/>
      <c r="K15" s="16"/>
    </row>
    <row r="16" spans="1:11" ht="30.75" customHeight="1" x14ac:dyDescent="0.2">
      <c r="A16" s="16">
        <v>13</v>
      </c>
      <c r="B16" s="51" t="s">
        <v>645</v>
      </c>
      <c r="C16" s="51" t="s">
        <v>646</v>
      </c>
      <c r="D16" s="15">
        <f>15000000*$I$6</f>
        <v>2.1385714285714288</v>
      </c>
      <c r="E16" s="15">
        <f>70000000*$I$6</f>
        <v>9.98</v>
      </c>
      <c r="F16" s="15">
        <f t="shared" si="0"/>
        <v>12.118571428571428</v>
      </c>
      <c r="G16" s="12"/>
      <c r="H16" s="112" t="s">
        <v>104</v>
      </c>
      <c r="I16" s="113">
        <f>IF(I14="N/A","N/A",I15/I14)</f>
        <v>7.1285714285714286E-2</v>
      </c>
      <c r="J16" s="12"/>
      <c r="K16" s="16"/>
    </row>
    <row r="17" spans="1:11" ht="30.75" customHeight="1" x14ac:dyDescent="0.2">
      <c r="A17" s="16">
        <v>14</v>
      </c>
      <c r="B17" s="51"/>
      <c r="C17" s="51" t="s">
        <v>647</v>
      </c>
      <c r="D17" s="15">
        <v>0</v>
      </c>
      <c r="E17" s="15">
        <f>80000000*$I$6</f>
        <v>11.405714285714286</v>
      </c>
      <c r="F17" s="15">
        <f t="shared" si="0"/>
        <v>11.405714285714286</v>
      </c>
      <c r="G17" s="12"/>
      <c r="H17" s="120"/>
      <c r="I17" s="108"/>
      <c r="J17" s="12"/>
      <c r="K17" s="16"/>
    </row>
    <row r="18" spans="1:11" ht="30.75" customHeight="1" x14ac:dyDescent="0.2">
      <c r="A18" s="16">
        <v>15</v>
      </c>
      <c r="B18" s="51" t="s">
        <v>648</v>
      </c>
      <c r="C18" s="74" t="s">
        <v>649</v>
      </c>
      <c r="D18" s="15">
        <f>40*I11</f>
        <v>0.78039215686274499</v>
      </c>
      <c r="E18" s="15">
        <f>45*I16</f>
        <v>3.2078571428571427</v>
      </c>
      <c r="F18" s="15">
        <f t="shared" si="0"/>
        <v>3.9882492997198877</v>
      </c>
      <c r="G18" s="12"/>
      <c r="H18" s="103" t="s">
        <v>236</v>
      </c>
      <c r="I18" s="104" t="s">
        <v>111</v>
      </c>
      <c r="J18" s="12"/>
      <c r="K18" s="16"/>
    </row>
    <row r="19" spans="1:11" ht="30.75" customHeight="1" x14ac:dyDescent="0.2">
      <c r="A19" s="16">
        <v>16</v>
      </c>
      <c r="B19" s="51" t="s">
        <v>650</v>
      </c>
      <c r="C19" s="51" t="s">
        <v>651</v>
      </c>
      <c r="D19" s="15">
        <f>16500000*$I$6</f>
        <v>2.3524285714285713</v>
      </c>
      <c r="E19" s="15">
        <f>90000000*$I$6</f>
        <v>12.831428571428571</v>
      </c>
      <c r="F19" s="15">
        <f t="shared" si="0"/>
        <v>15.183857142857143</v>
      </c>
      <c r="G19" s="12"/>
      <c r="H19" s="106" t="s">
        <v>117</v>
      </c>
      <c r="I19" s="107" t="s">
        <v>111</v>
      </c>
      <c r="J19" s="12"/>
      <c r="K19" s="16"/>
    </row>
    <row r="20" spans="1:11" ht="30.75" customHeight="1" x14ac:dyDescent="0.2">
      <c r="A20" s="16">
        <v>17</v>
      </c>
      <c r="B20" s="51"/>
      <c r="C20" s="51" t="s">
        <v>652</v>
      </c>
      <c r="D20" s="15">
        <v>0</v>
      </c>
      <c r="E20" s="15">
        <f>100000000*$I$6</f>
        <v>14.257142857142858</v>
      </c>
      <c r="F20" s="15">
        <f t="shared" si="0"/>
        <v>14.257142857142858</v>
      </c>
      <c r="G20" s="12"/>
      <c r="H20" s="109" t="s">
        <v>139</v>
      </c>
      <c r="I20" s="110" t="s">
        <v>111</v>
      </c>
      <c r="J20" s="12"/>
      <c r="K20" s="16"/>
    </row>
    <row r="21" spans="1:11" ht="30.75" customHeight="1" x14ac:dyDescent="0.2">
      <c r="A21" s="16">
        <v>18</v>
      </c>
      <c r="B21" s="51" t="s">
        <v>653</v>
      </c>
      <c r="C21" s="51" t="s">
        <v>654</v>
      </c>
      <c r="D21" s="15">
        <f>18800000*$I$6</f>
        <v>2.6803428571428571</v>
      </c>
      <c r="E21" s="15">
        <f>150000000*$I$6</f>
        <v>21.385714285714286</v>
      </c>
      <c r="F21" s="15">
        <f t="shared" si="0"/>
        <v>24.066057142857144</v>
      </c>
      <c r="G21" s="12"/>
      <c r="H21" s="112" t="s">
        <v>104</v>
      </c>
      <c r="I21" s="113" t="str">
        <f>IF(I19="N/A","N/A",I20/I19)</f>
        <v>N/A</v>
      </c>
      <c r="J21" s="68"/>
      <c r="K21" s="16"/>
    </row>
    <row r="22" spans="1:11" ht="30.75" customHeight="1" x14ac:dyDescent="0.2">
      <c r="A22" s="16">
        <v>19</v>
      </c>
      <c r="B22" s="51"/>
      <c r="C22" s="51" t="s">
        <v>655</v>
      </c>
      <c r="D22" s="15">
        <v>0</v>
      </c>
      <c r="E22" s="15">
        <f>200000000*$I$6</f>
        <v>28.514285714285716</v>
      </c>
      <c r="F22" s="15">
        <f t="shared" si="0"/>
        <v>28.514285714285716</v>
      </c>
      <c r="G22" s="12"/>
      <c r="H22" s="119"/>
      <c r="I22" s="123"/>
      <c r="J22" s="68"/>
      <c r="K22" s="16"/>
    </row>
    <row r="23" spans="1:11" ht="30.75" customHeight="1" x14ac:dyDescent="0.2">
      <c r="A23" s="16">
        <v>20</v>
      </c>
      <c r="B23" s="51" t="s">
        <v>656</v>
      </c>
      <c r="C23" s="51" t="s">
        <v>657</v>
      </c>
      <c r="D23" s="15">
        <f>22500000*$I$6</f>
        <v>3.2078571428571427</v>
      </c>
      <c r="E23" s="15">
        <f>300000000*$I$6</f>
        <v>42.771428571428572</v>
      </c>
      <c r="F23" s="15">
        <f t="shared" si="0"/>
        <v>45.979285714285716</v>
      </c>
      <c r="G23" s="12"/>
      <c r="H23" s="120"/>
      <c r="I23" s="120"/>
      <c r="J23" s="68"/>
      <c r="K23" s="16"/>
    </row>
    <row r="24" spans="1:11" ht="30.75" customHeight="1" x14ac:dyDescent="0.2">
      <c r="A24" s="28" t="s">
        <v>81</v>
      </c>
      <c r="B24" s="32"/>
      <c r="C24" s="32"/>
      <c r="D24" s="72">
        <f t="shared" ref="D24:F24" si="1">SUM(D4:D23)</f>
        <v>34.984780392156864</v>
      </c>
      <c r="E24" s="72">
        <f t="shared" si="1"/>
        <v>219.41742857142856</v>
      </c>
      <c r="F24" s="72">
        <f t="shared" si="1"/>
        <v>254.40220896358545</v>
      </c>
      <c r="G24" s="12"/>
      <c r="H24" s="120"/>
      <c r="I24" s="120"/>
      <c r="J24" s="68"/>
      <c r="K24" s="16"/>
    </row>
    <row r="25" spans="1:11" ht="30.75" customHeight="1" x14ac:dyDescent="0.2">
      <c r="A25" s="28" t="s">
        <v>174</v>
      </c>
      <c r="B25" s="51"/>
      <c r="C25" s="51"/>
      <c r="D25" s="34">
        <f t="shared" ref="D25:F25" si="2">AVERAGE(D2:D23)</f>
        <v>1.7492390196078431</v>
      </c>
      <c r="E25" s="34">
        <f t="shared" si="2"/>
        <v>10.970871428571428</v>
      </c>
      <c r="F25" s="34">
        <f t="shared" si="2"/>
        <v>12.720110448179273</v>
      </c>
      <c r="G25" s="12"/>
      <c r="H25" s="120"/>
      <c r="I25" s="120"/>
      <c r="J25" s="68"/>
      <c r="K25" s="16"/>
    </row>
    <row r="26" spans="1:11" ht="30.75" customHeight="1" x14ac:dyDescent="0.2">
      <c r="A26" s="16"/>
      <c r="B26" s="51"/>
      <c r="C26" s="51"/>
      <c r="D26" s="15"/>
      <c r="E26" s="15"/>
      <c r="F26" s="15"/>
      <c r="G26" s="12"/>
      <c r="H26" s="120"/>
      <c r="I26" s="120"/>
      <c r="J26" s="12"/>
      <c r="K26" s="16"/>
    </row>
    <row r="27" spans="1:11" ht="15.75" customHeight="1" x14ac:dyDescent="0.2">
      <c r="A27" s="16"/>
      <c r="B27" s="51"/>
      <c r="C27" s="51"/>
      <c r="D27" s="15"/>
      <c r="E27" s="15"/>
      <c r="F27" s="15"/>
      <c r="G27" s="12"/>
      <c r="H27" s="120"/>
      <c r="I27" s="120"/>
      <c r="J27" s="12"/>
      <c r="K27" s="16"/>
    </row>
    <row r="28" spans="1:11" ht="15.75" customHeight="1" x14ac:dyDescent="0.2">
      <c r="A28" s="16"/>
      <c r="B28" s="51"/>
      <c r="C28" s="51"/>
      <c r="D28" s="15"/>
      <c r="E28" s="15"/>
      <c r="F28" s="15"/>
      <c r="G28" s="12"/>
      <c r="H28" s="120"/>
      <c r="I28" s="120"/>
      <c r="J28" s="12"/>
      <c r="K28" s="16"/>
    </row>
    <row r="29" spans="1:11" ht="15.75" customHeight="1" x14ac:dyDescent="0.2">
      <c r="A29" s="16"/>
      <c r="B29" s="51"/>
      <c r="C29" s="51"/>
      <c r="D29" s="15"/>
      <c r="E29" s="15"/>
      <c r="F29" s="15"/>
      <c r="G29" s="12"/>
      <c r="H29" s="120"/>
      <c r="I29" s="120"/>
      <c r="J29" s="12"/>
      <c r="K29" s="16"/>
    </row>
    <row r="30" spans="1:11" ht="15.75" customHeight="1" x14ac:dyDescent="0.2">
      <c r="A30" s="16"/>
      <c r="B30" s="51"/>
      <c r="C30" s="51"/>
      <c r="D30" s="15"/>
      <c r="E30" s="15"/>
      <c r="F30" s="15"/>
      <c r="G30" s="12"/>
      <c r="H30" s="120"/>
      <c r="I30" s="120"/>
      <c r="J30" s="12"/>
      <c r="K30" s="16"/>
    </row>
    <row r="31" spans="1:11" ht="15.75" customHeight="1" x14ac:dyDescent="0.2">
      <c r="A31" s="16"/>
      <c r="B31" s="51"/>
      <c r="C31" s="51"/>
      <c r="D31" s="15"/>
      <c r="E31" s="15"/>
      <c r="F31" s="15"/>
      <c r="G31" s="12"/>
      <c r="H31" s="41"/>
      <c r="I31" s="120"/>
      <c r="J31" s="12"/>
      <c r="K31" s="16"/>
    </row>
    <row r="32" spans="1:11" ht="15.75" customHeight="1" x14ac:dyDescent="0.2">
      <c r="A32" s="16"/>
      <c r="B32" s="51"/>
      <c r="C32" s="51"/>
      <c r="D32" s="15"/>
      <c r="E32" s="15"/>
      <c r="F32" s="15"/>
      <c r="G32" s="12"/>
      <c r="H32" s="120"/>
      <c r="I32" s="120"/>
      <c r="J32" s="12"/>
      <c r="K32" s="16"/>
    </row>
    <row r="33" spans="1:11" ht="15.75" customHeight="1" x14ac:dyDescent="0.2">
      <c r="A33" s="16"/>
      <c r="B33" s="51"/>
      <c r="C33" s="51"/>
      <c r="D33" s="15"/>
      <c r="E33" s="15"/>
      <c r="F33" s="15"/>
      <c r="G33" s="12"/>
      <c r="H33" s="120"/>
      <c r="I33" s="120"/>
      <c r="J33" s="12"/>
      <c r="K33" s="16"/>
    </row>
    <row r="34" spans="1:11" ht="15.75" customHeight="1" x14ac:dyDescent="0.2">
      <c r="A34" s="16"/>
      <c r="B34" s="51"/>
      <c r="C34" s="51"/>
      <c r="D34" s="15"/>
      <c r="E34" s="15"/>
      <c r="F34" s="15"/>
      <c r="G34" s="12"/>
      <c r="H34" s="120"/>
      <c r="I34" s="120"/>
      <c r="J34" s="12"/>
      <c r="K34" s="16"/>
    </row>
    <row r="35" spans="1:11" ht="15.75" customHeight="1" x14ac:dyDescent="0.2">
      <c r="A35" s="16"/>
      <c r="B35" s="51"/>
      <c r="C35" s="51"/>
      <c r="D35" s="15"/>
      <c r="E35" s="15"/>
      <c r="F35" s="15"/>
      <c r="G35" s="12"/>
      <c r="H35" s="120"/>
      <c r="I35" s="120"/>
      <c r="J35" s="12"/>
      <c r="K35" s="16"/>
    </row>
    <row r="36" spans="1:11" ht="15.75" customHeight="1" x14ac:dyDescent="0.2">
      <c r="A36" s="16"/>
      <c r="B36" s="51"/>
      <c r="C36" s="51"/>
      <c r="D36" s="15"/>
      <c r="E36" s="15"/>
      <c r="F36" s="15"/>
      <c r="G36" s="12"/>
      <c r="H36" s="120"/>
      <c r="I36" s="120"/>
      <c r="J36" s="12"/>
      <c r="K36" s="16"/>
    </row>
    <row r="37" spans="1:11" ht="15.75" customHeight="1" x14ac:dyDescent="0.2">
      <c r="A37" s="16"/>
      <c r="B37" s="51"/>
      <c r="C37" s="51"/>
      <c r="D37" s="15"/>
      <c r="E37" s="15"/>
      <c r="F37" s="15"/>
      <c r="G37" s="12"/>
      <c r="H37" s="120"/>
      <c r="I37" s="120"/>
      <c r="J37" s="12"/>
      <c r="K37" s="16"/>
    </row>
    <row r="38" spans="1:11" ht="15.75" customHeight="1" x14ac:dyDescent="0.2">
      <c r="A38" s="16"/>
      <c r="B38" s="51"/>
      <c r="C38" s="51"/>
      <c r="D38" s="15"/>
      <c r="E38" s="15"/>
      <c r="F38" s="15"/>
      <c r="G38" s="12"/>
      <c r="H38" s="120"/>
      <c r="I38" s="120"/>
      <c r="J38" s="12"/>
      <c r="K38" s="16"/>
    </row>
    <row r="39" spans="1:11" ht="15.75" customHeight="1" x14ac:dyDescent="0.2">
      <c r="A39" s="16"/>
      <c r="B39" s="51"/>
      <c r="C39" s="51"/>
      <c r="D39" s="15"/>
      <c r="E39" s="15"/>
      <c r="F39" s="15"/>
      <c r="G39" s="12"/>
      <c r="H39" s="120"/>
      <c r="I39" s="120"/>
      <c r="J39" s="12"/>
      <c r="K39" s="16"/>
    </row>
    <row r="40" spans="1:11" ht="15.75" customHeight="1" x14ac:dyDescent="0.2">
      <c r="A40" s="16"/>
      <c r="B40" s="51"/>
      <c r="C40" s="51"/>
      <c r="D40" s="15"/>
      <c r="E40" s="15"/>
      <c r="F40" s="15"/>
      <c r="G40" s="12"/>
      <c r="H40" s="120"/>
      <c r="I40" s="120"/>
      <c r="J40" s="12"/>
      <c r="K40" s="16"/>
    </row>
    <row r="41" spans="1:11" ht="15.75" customHeight="1" x14ac:dyDescent="0.2">
      <c r="A41" s="16"/>
      <c r="B41" s="51"/>
      <c r="C41" s="51"/>
      <c r="D41" s="15"/>
      <c r="E41" s="15"/>
      <c r="F41" s="15"/>
      <c r="G41" s="12"/>
      <c r="H41" s="120"/>
      <c r="I41" s="120"/>
      <c r="J41" s="12"/>
      <c r="K41" s="16"/>
    </row>
    <row r="42" spans="1:11" ht="15.75" customHeight="1" x14ac:dyDescent="0.2">
      <c r="A42" s="16"/>
      <c r="B42" s="51"/>
      <c r="C42" s="51"/>
      <c r="D42" s="15"/>
      <c r="E42" s="15"/>
      <c r="F42" s="15"/>
      <c r="G42" s="12"/>
      <c r="H42" s="120"/>
      <c r="I42" s="120"/>
      <c r="J42" s="12"/>
      <c r="K42" s="16"/>
    </row>
    <row r="43" spans="1:11" ht="15.75" customHeight="1" x14ac:dyDescent="0.2">
      <c r="A43" s="16"/>
      <c r="B43" s="51"/>
      <c r="C43" s="51"/>
      <c r="D43" s="15"/>
      <c r="E43" s="15"/>
      <c r="F43" s="15"/>
      <c r="G43" s="12"/>
      <c r="H43" s="120"/>
      <c r="I43" s="120"/>
      <c r="J43" s="12"/>
      <c r="K43" s="16"/>
    </row>
    <row r="44" spans="1:11" ht="15.75" customHeight="1" x14ac:dyDescent="0.2">
      <c r="A44" s="16"/>
      <c r="B44" s="51"/>
      <c r="C44" s="51"/>
      <c r="D44" s="15"/>
      <c r="E44" s="15"/>
      <c r="F44" s="15"/>
      <c r="G44" s="12"/>
      <c r="H44" s="120"/>
      <c r="I44" s="120"/>
      <c r="J44" s="12"/>
      <c r="K44" s="16"/>
    </row>
    <row r="45" spans="1:11" ht="15.75" customHeight="1" x14ac:dyDescent="0.2">
      <c r="A45" s="16"/>
      <c r="B45" s="51"/>
      <c r="C45" s="51"/>
      <c r="D45" s="15"/>
      <c r="E45" s="15"/>
      <c r="F45" s="15"/>
      <c r="G45" s="12"/>
      <c r="H45" s="120"/>
      <c r="I45" s="120"/>
      <c r="J45" s="12"/>
      <c r="K45" s="16"/>
    </row>
    <row r="46" spans="1:11" ht="15.75" customHeight="1" x14ac:dyDescent="0.2">
      <c r="A46" s="16"/>
      <c r="B46" s="51"/>
      <c r="C46" s="51"/>
      <c r="D46" s="15"/>
      <c r="E46" s="15"/>
      <c r="F46" s="15"/>
      <c r="G46" s="12"/>
      <c r="H46" s="120"/>
      <c r="I46" s="120"/>
      <c r="J46" s="12"/>
      <c r="K46" s="16"/>
    </row>
    <row r="47" spans="1:11" ht="15.75" customHeight="1" x14ac:dyDescent="0.2">
      <c r="A47" s="16"/>
      <c r="B47" s="51"/>
      <c r="C47" s="51"/>
      <c r="D47" s="15"/>
      <c r="E47" s="15"/>
      <c r="F47" s="15"/>
      <c r="G47" s="12"/>
      <c r="H47" s="120"/>
      <c r="I47" s="120"/>
      <c r="J47" s="12"/>
      <c r="K47" s="16"/>
    </row>
    <row r="48" spans="1:11" ht="15.75" customHeight="1" x14ac:dyDescent="0.2">
      <c r="A48" s="16"/>
      <c r="B48" s="51"/>
      <c r="C48" s="51"/>
      <c r="D48" s="15"/>
      <c r="E48" s="15"/>
      <c r="F48" s="15"/>
      <c r="G48" s="12"/>
      <c r="H48" s="120"/>
      <c r="I48" s="120"/>
      <c r="J48" s="12"/>
      <c r="K48" s="16"/>
    </row>
    <row r="49" spans="1:11" ht="15.75" customHeight="1" x14ac:dyDescent="0.2">
      <c r="A49" s="16"/>
      <c r="B49" s="51"/>
      <c r="C49" s="51"/>
      <c r="D49" s="15"/>
      <c r="E49" s="15"/>
      <c r="F49" s="15"/>
      <c r="G49" s="12"/>
      <c r="H49" s="120"/>
      <c r="I49" s="120"/>
      <c r="J49" s="12"/>
      <c r="K49" s="16"/>
    </row>
    <row r="50" spans="1:11" ht="15.75" customHeight="1" x14ac:dyDescent="0.2">
      <c r="A50" s="16"/>
      <c r="B50" s="51"/>
      <c r="C50" s="51"/>
      <c r="D50" s="15"/>
      <c r="E50" s="15"/>
      <c r="F50" s="15"/>
      <c r="G50" s="12"/>
      <c r="H50" s="120"/>
      <c r="I50" s="120"/>
      <c r="J50" s="12"/>
      <c r="K50" s="16"/>
    </row>
    <row r="51" spans="1:11" ht="15.75" customHeight="1" x14ac:dyDescent="0.2">
      <c r="A51" s="16"/>
      <c r="B51" s="51"/>
      <c r="C51" s="51"/>
      <c r="D51" s="15"/>
      <c r="E51" s="15"/>
      <c r="F51" s="15"/>
      <c r="G51" s="12"/>
      <c r="H51" s="120"/>
      <c r="I51" s="120"/>
      <c r="J51" s="12"/>
      <c r="K51" s="16"/>
    </row>
    <row r="52" spans="1:11" ht="15.75" customHeight="1" x14ac:dyDescent="0.2">
      <c r="A52" s="16"/>
      <c r="B52" s="51"/>
      <c r="C52" s="51"/>
      <c r="D52" s="15"/>
      <c r="E52" s="15"/>
      <c r="F52" s="15"/>
      <c r="G52" s="12"/>
      <c r="H52" s="120"/>
      <c r="I52" s="120"/>
      <c r="J52" s="12"/>
      <c r="K52" s="16"/>
    </row>
    <row r="53" spans="1:11" ht="15.75" customHeight="1" x14ac:dyDescent="0.2">
      <c r="A53" s="16"/>
      <c r="B53" s="51"/>
      <c r="C53" s="51"/>
      <c r="D53" s="15"/>
      <c r="E53" s="15"/>
      <c r="F53" s="15"/>
      <c r="G53" s="12"/>
      <c r="H53" s="120"/>
      <c r="I53" s="120"/>
      <c r="J53" s="12"/>
      <c r="K53" s="16"/>
    </row>
    <row r="54" spans="1:11" ht="15.75" customHeight="1" x14ac:dyDescent="0.2">
      <c r="A54" s="16"/>
      <c r="B54" s="51"/>
      <c r="C54" s="51"/>
      <c r="D54" s="15"/>
      <c r="E54" s="15"/>
      <c r="F54" s="15"/>
      <c r="G54" s="12"/>
      <c r="H54" s="120"/>
      <c r="I54" s="120"/>
      <c r="J54" s="12"/>
      <c r="K54" s="16"/>
    </row>
    <row r="55" spans="1:11" ht="15.75" customHeight="1" x14ac:dyDescent="0.2">
      <c r="A55" s="16"/>
      <c r="B55" s="51"/>
      <c r="C55" s="51"/>
      <c r="D55" s="16"/>
      <c r="E55" s="16"/>
      <c r="F55" s="16"/>
      <c r="G55" s="12"/>
      <c r="H55" s="120"/>
      <c r="I55" s="120"/>
      <c r="J55" s="12"/>
      <c r="K55" s="16"/>
    </row>
    <row r="56" spans="1:11" ht="15.75" customHeight="1" x14ac:dyDescent="0.2">
      <c r="A56" s="16"/>
      <c r="B56" s="51"/>
      <c r="C56" s="51"/>
      <c r="D56" s="16"/>
      <c r="E56" s="16"/>
      <c r="F56" s="16"/>
      <c r="G56" s="12"/>
      <c r="H56" s="120"/>
      <c r="I56" s="120"/>
      <c r="J56" s="12"/>
      <c r="K56" s="16"/>
    </row>
    <row r="57" spans="1:11" ht="15.75" customHeight="1" x14ac:dyDescent="0.2">
      <c r="A57" s="16"/>
      <c r="B57" s="51"/>
      <c r="C57" s="51"/>
      <c r="D57" s="16"/>
      <c r="E57" s="16"/>
      <c r="F57" s="16"/>
      <c r="G57" s="12"/>
      <c r="H57" s="120"/>
      <c r="I57" s="120"/>
      <c r="J57" s="12"/>
      <c r="K57" s="16"/>
    </row>
    <row r="58" spans="1:11" ht="15.75" customHeight="1" x14ac:dyDescent="0.2">
      <c r="A58" s="16"/>
      <c r="B58" s="51"/>
      <c r="C58" s="51"/>
      <c r="D58" s="16"/>
      <c r="E58" s="16"/>
      <c r="F58" s="16"/>
      <c r="G58" s="12"/>
      <c r="H58" s="120"/>
      <c r="I58" s="120"/>
      <c r="J58" s="12"/>
      <c r="K58" s="16"/>
    </row>
    <row r="59" spans="1:11" ht="15.75" customHeight="1" x14ac:dyDescent="0.2">
      <c r="A59" s="16"/>
      <c r="B59" s="51"/>
      <c r="C59" s="51"/>
      <c r="D59" s="16"/>
      <c r="E59" s="16"/>
      <c r="F59" s="16"/>
      <c r="G59" s="12"/>
      <c r="H59" s="120"/>
      <c r="I59" s="120"/>
      <c r="J59" s="12"/>
      <c r="K59" s="16"/>
    </row>
    <row r="60" spans="1:11" ht="15.75" customHeight="1" x14ac:dyDescent="0.2">
      <c r="A60" s="16"/>
      <c r="B60" s="51"/>
      <c r="C60" s="51"/>
      <c r="D60" s="16"/>
      <c r="E60" s="16"/>
      <c r="F60" s="16"/>
      <c r="G60" s="12"/>
      <c r="H60" s="120"/>
      <c r="I60" s="120"/>
      <c r="J60" s="12"/>
      <c r="K60" s="16"/>
    </row>
    <row r="61" spans="1:11" ht="15.75" customHeight="1" x14ac:dyDescent="0.2">
      <c r="A61" s="16"/>
      <c r="B61" s="51"/>
      <c r="C61" s="51"/>
      <c r="D61" s="16"/>
      <c r="E61" s="16"/>
      <c r="F61" s="16"/>
      <c r="G61" s="12"/>
      <c r="H61" s="120"/>
      <c r="I61" s="120"/>
      <c r="J61" s="12"/>
      <c r="K61" s="16"/>
    </row>
    <row r="62" spans="1:11" ht="15.75" customHeight="1" x14ac:dyDescent="0.2">
      <c r="A62" s="16"/>
      <c r="B62" s="51"/>
      <c r="C62" s="51"/>
      <c r="D62" s="16"/>
      <c r="E62" s="16"/>
      <c r="F62" s="16"/>
      <c r="G62" s="12"/>
      <c r="H62" s="120"/>
      <c r="I62" s="120"/>
      <c r="J62" s="12"/>
      <c r="K62" s="16"/>
    </row>
    <row r="63" spans="1:11" ht="15.75" customHeight="1" x14ac:dyDescent="0.15">
      <c r="A63" s="16"/>
      <c r="B63" s="51"/>
      <c r="C63" s="51"/>
      <c r="D63" s="16"/>
      <c r="E63" s="16"/>
      <c r="F63" s="16"/>
      <c r="G63" s="12"/>
      <c r="H63" s="12"/>
      <c r="I63" s="12"/>
      <c r="J63" s="12"/>
      <c r="K63" s="16"/>
    </row>
    <row r="64" spans="1:11" ht="15.75" customHeight="1" x14ac:dyDescent="0.15">
      <c r="A64" s="16"/>
      <c r="B64" s="51"/>
      <c r="C64" s="51"/>
      <c r="D64" s="16"/>
      <c r="E64" s="16"/>
      <c r="F64" s="16"/>
      <c r="G64" s="12"/>
      <c r="H64" s="12"/>
      <c r="I64" s="12"/>
      <c r="J64" s="12"/>
      <c r="K64" s="16"/>
    </row>
    <row r="65" spans="1:11" ht="15.75" customHeight="1" x14ac:dyDescent="0.15">
      <c r="A65" s="16"/>
      <c r="B65" s="51"/>
      <c r="C65" s="51"/>
      <c r="D65" s="16"/>
      <c r="E65" s="16"/>
      <c r="F65" s="16"/>
      <c r="G65" s="12"/>
      <c r="H65" s="12"/>
      <c r="I65" s="12"/>
      <c r="J65" s="12"/>
      <c r="K65" s="16"/>
    </row>
    <row r="66" spans="1:11" ht="15.75" customHeight="1" x14ac:dyDescent="0.15">
      <c r="A66" s="16"/>
      <c r="B66" s="51"/>
      <c r="C66" s="51"/>
      <c r="D66" s="16"/>
      <c r="E66" s="16"/>
      <c r="F66" s="16"/>
      <c r="G66" s="12"/>
      <c r="H66" s="12"/>
      <c r="I66" s="12"/>
      <c r="J66" s="12"/>
      <c r="K66" s="16"/>
    </row>
    <row r="67" spans="1:11" ht="15.75" customHeight="1" x14ac:dyDescent="0.15">
      <c r="A67" s="16"/>
      <c r="B67" s="51"/>
      <c r="C67" s="51"/>
      <c r="D67" s="16"/>
      <c r="E67" s="16"/>
      <c r="F67" s="16"/>
      <c r="G67" s="12"/>
      <c r="H67" s="12"/>
      <c r="I67" s="12"/>
      <c r="J67" s="12"/>
      <c r="K67" s="16"/>
    </row>
    <row r="68" spans="1:11" ht="15.75" customHeight="1" x14ac:dyDescent="0.15">
      <c r="A68" s="16"/>
      <c r="B68" s="51"/>
      <c r="C68" s="51"/>
      <c r="D68" s="16"/>
      <c r="E68" s="16"/>
      <c r="F68" s="16"/>
      <c r="G68" s="12"/>
      <c r="H68" s="12"/>
      <c r="I68" s="12"/>
      <c r="J68" s="12"/>
      <c r="K68" s="16"/>
    </row>
    <row r="69" spans="1:11" ht="15.75" customHeight="1" x14ac:dyDescent="0.15">
      <c r="A69" s="16"/>
      <c r="B69" s="51"/>
      <c r="C69" s="51"/>
      <c r="D69" s="16"/>
      <c r="E69" s="16"/>
      <c r="F69" s="16"/>
      <c r="G69" s="12"/>
      <c r="H69" s="12"/>
      <c r="I69" s="12"/>
      <c r="J69" s="12"/>
      <c r="K69" s="16"/>
    </row>
    <row r="70" spans="1:11" ht="15.75" customHeight="1" x14ac:dyDescent="0.15">
      <c r="A70" s="16"/>
      <c r="B70" s="51"/>
      <c r="C70" s="51"/>
      <c r="D70" s="16"/>
      <c r="E70" s="16"/>
      <c r="F70" s="16"/>
      <c r="G70" s="12"/>
      <c r="H70" s="12"/>
      <c r="I70" s="12"/>
      <c r="J70" s="12"/>
      <c r="K70" s="16"/>
    </row>
    <row r="71" spans="1:11" ht="15.75" customHeight="1" x14ac:dyDescent="0.15">
      <c r="A71" s="16"/>
      <c r="B71" s="51"/>
      <c r="C71" s="51"/>
      <c r="D71" s="16"/>
      <c r="E71" s="16"/>
      <c r="F71" s="16"/>
      <c r="G71" s="12"/>
      <c r="H71" s="12"/>
      <c r="I71" s="12"/>
      <c r="J71" s="12"/>
      <c r="K71" s="16"/>
    </row>
    <row r="72" spans="1:11" ht="15.75" customHeight="1" x14ac:dyDescent="0.15">
      <c r="A72" s="16"/>
      <c r="B72" s="51"/>
      <c r="C72" s="51"/>
      <c r="D72" s="16"/>
      <c r="E72" s="16"/>
      <c r="F72" s="16"/>
      <c r="G72" s="12"/>
      <c r="H72" s="12"/>
      <c r="I72" s="12"/>
      <c r="J72" s="12"/>
      <c r="K72" s="16"/>
    </row>
    <row r="73" spans="1:11" ht="15.75" customHeight="1" x14ac:dyDescent="0.15">
      <c r="A73" s="16"/>
      <c r="B73" s="51"/>
      <c r="C73" s="51"/>
      <c r="D73" s="16"/>
      <c r="E73" s="16"/>
      <c r="F73" s="16"/>
      <c r="G73" s="12"/>
      <c r="H73" s="12"/>
      <c r="I73" s="12"/>
      <c r="J73" s="12"/>
      <c r="K73" s="16"/>
    </row>
    <row r="74" spans="1:11" ht="15.75" customHeight="1" x14ac:dyDescent="0.15">
      <c r="A74" s="16"/>
      <c r="B74" s="51"/>
      <c r="C74" s="51"/>
      <c r="D74" s="16"/>
      <c r="E74" s="16"/>
      <c r="F74" s="16"/>
      <c r="G74" s="12"/>
      <c r="H74" s="12"/>
      <c r="I74" s="12"/>
      <c r="J74" s="12"/>
      <c r="K74" s="16"/>
    </row>
    <row r="75" spans="1:11" ht="15.75" customHeight="1" x14ac:dyDescent="0.15">
      <c r="A75" s="16"/>
      <c r="B75" s="51"/>
      <c r="C75" s="51"/>
      <c r="D75" s="16"/>
      <c r="E75" s="16"/>
      <c r="F75" s="16"/>
      <c r="G75" s="12"/>
      <c r="H75" s="12"/>
      <c r="I75" s="12"/>
      <c r="J75" s="12"/>
      <c r="K75" s="16"/>
    </row>
    <row r="76" spans="1:11" ht="15.75" customHeight="1" x14ac:dyDescent="0.15">
      <c r="A76" s="16"/>
      <c r="B76" s="51"/>
      <c r="C76" s="51"/>
      <c r="D76" s="16"/>
      <c r="E76" s="16"/>
      <c r="F76" s="16"/>
      <c r="G76" s="12"/>
      <c r="H76" s="12"/>
      <c r="I76" s="12"/>
      <c r="J76" s="12"/>
      <c r="K76" s="16"/>
    </row>
    <row r="77" spans="1:11" ht="15.75" customHeight="1" x14ac:dyDescent="0.15">
      <c r="A77" s="16"/>
      <c r="B77" s="51"/>
      <c r="C77" s="51"/>
      <c r="D77" s="16"/>
      <c r="E77" s="16"/>
      <c r="F77" s="16"/>
      <c r="G77" s="12"/>
      <c r="H77" s="12"/>
      <c r="I77" s="12"/>
      <c r="J77" s="12"/>
      <c r="K77" s="16"/>
    </row>
    <row r="78" spans="1:11" ht="15.75" customHeight="1" x14ac:dyDescent="0.15">
      <c r="A78" s="16"/>
      <c r="B78" s="51"/>
      <c r="C78" s="51"/>
      <c r="D78" s="16"/>
      <c r="E78" s="16"/>
      <c r="F78" s="16"/>
      <c r="G78" s="12"/>
      <c r="H78" s="12"/>
      <c r="I78" s="12"/>
      <c r="J78" s="12"/>
      <c r="K78" s="16"/>
    </row>
    <row r="79" spans="1:11" ht="15.75" customHeight="1" x14ac:dyDescent="0.15">
      <c r="A79" s="16"/>
      <c r="B79" s="51"/>
      <c r="C79" s="51"/>
      <c r="D79" s="16"/>
      <c r="E79" s="16"/>
      <c r="F79" s="16"/>
      <c r="G79" s="12"/>
      <c r="H79" s="12"/>
      <c r="I79" s="12"/>
      <c r="J79" s="12"/>
      <c r="K79" s="16"/>
    </row>
    <row r="80" spans="1:11" ht="15.75" customHeight="1" x14ac:dyDescent="0.15">
      <c r="A80" s="16"/>
      <c r="B80" s="51"/>
      <c r="C80" s="51"/>
      <c r="D80" s="16"/>
      <c r="E80" s="16"/>
      <c r="F80" s="16"/>
      <c r="G80" s="12"/>
      <c r="H80" s="12"/>
      <c r="I80" s="12"/>
      <c r="J80" s="12"/>
      <c r="K80" s="16"/>
    </row>
    <row r="81" spans="1:11" ht="15.75" customHeight="1" x14ac:dyDescent="0.15">
      <c r="A81" s="16"/>
      <c r="B81" s="51"/>
      <c r="C81" s="51"/>
      <c r="D81" s="16"/>
      <c r="E81" s="16"/>
      <c r="F81" s="16"/>
      <c r="G81" s="12"/>
      <c r="H81" s="12"/>
      <c r="I81" s="12"/>
      <c r="J81" s="12"/>
      <c r="K81" s="16"/>
    </row>
    <row r="82" spans="1:11" ht="15.75" customHeight="1" x14ac:dyDescent="0.15">
      <c r="A82" s="16"/>
      <c r="B82" s="51"/>
      <c r="C82" s="51"/>
      <c r="D82" s="16"/>
      <c r="E82" s="16"/>
      <c r="F82" s="16"/>
      <c r="G82" s="12"/>
      <c r="H82" s="12"/>
      <c r="I82" s="12"/>
      <c r="J82" s="12"/>
      <c r="K82" s="16"/>
    </row>
    <row r="83" spans="1:11" ht="15.75" customHeight="1" x14ac:dyDescent="0.15">
      <c r="A83" s="16"/>
      <c r="B83" s="51"/>
      <c r="C83" s="51"/>
      <c r="D83" s="16"/>
      <c r="E83" s="16"/>
      <c r="F83" s="16"/>
      <c r="G83" s="12"/>
      <c r="H83" s="12"/>
      <c r="I83" s="12"/>
      <c r="J83" s="12"/>
      <c r="K83" s="16"/>
    </row>
    <row r="84" spans="1:11" ht="15.75" customHeight="1" x14ac:dyDescent="0.15">
      <c r="A84" s="16"/>
      <c r="B84" s="51"/>
      <c r="C84" s="51"/>
      <c r="D84" s="16"/>
      <c r="E84" s="16"/>
      <c r="F84" s="16"/>
      <c r="G84" s="12"/>
      <c r="H84" s="12"/>
      <c r="I84" s="12"/>
      <c r="J84" s="12"/>
      <c r="K84" s="16"/>
    </row>
    <row r="85" spans="1:11" ht="15.75" customHeight="1" x14ac:dyDescent="0.15">
      <c r="A85" s="16"/>
      <c r="B85" s="51"/>
      <c r="C85" s="51"/>
      <c r="D85" s="16"/>
      <c r="E85" s="16"/>
      <c r="F85" s="16"/>
      <c r="G85" s="12"/>
      <c r="H85" s="12"/>
      <c r="I85" s="12"/>
      <c r="J85" s="12"/>
      <c r="K85" s="16"/>
    </row>
    <row r="86" spans="1:11" ht="15.75" customHeight="1" x14ac:dyDescent="0.15">
      <c r="A86" s="16"/>
      <c r="B86" s="51"/>
      <c r="C86" s="51"/>
      <c r="D86" s="16"/>
      <c r="E86" s="16"/>
      <c r="F86" s="16"/>
      <c r="G86" s="12"/>
      <c r="H86" s="12"/>
      <c r="I86" s="12"/>
      <c r="J86" s="12"/>
      <c r="K86" s="16"/>
    </row>
    <row r="87" spans="1:11" ht="15.75" customHeight="1" x14ac:dyDescent="0.15">
      <c r="A87" s="16"/>
      <c r="B87" s="51"/>
      <c r="C87" s="51"/>
      <c r="D87" s="16"/>
      <c r="E87" s="16"/>
      <c r="F87" s="16"/>
      <c r="G87" s="12"/>
      <c r="H87" s="12"/>
      <c r="I87" s="12"/>
      <c r="J87" s="12"/>
      <c r="K87" s="16"/>
    </row>
    <row r="88" spans="1:11" ht="15.75" customHeight="1" x14ac:dyDescent="0.15">
      <c r="A88" s="16"/>
      <c r="B88" s="51"/>
      <c r="C88" s="51"/>
      <c r="D88" s="16"/>
      <c r="E88" s="16"/>
      <c r="F88" s="16"/>
      <c r="G88" s="12"/>
      <c r="H88" s="12"/>
      <c r="I88" s="12"/>
      <c r="J88" s="12"/>
      <c r="K88" s="16"/>
    </row>
    <row r="89" spans="1:11" ht="15.75" customHeight="1" x14ac:dyDescent="0.15">
      <c r="A89" s="16"/>
      <c r="B89" s="51"/>
      <c r="C89" s="51"/>
      <c r="D89" s="16"/>
      <c r="E89" s="16"/>
      <c r="F89" s="16"/>
      <c r="G89" s="12"/>
      <c r="H89" s="12"/>
      <c r="I89" s="12"/>
      <c r="J89" s="12"/>
      <c r="K89" s="16"/>
    </row>
    <row r="90" spans="1:11" ht="15.75" customHeight="1" x14ac:dyDescent="0.15">
      <c r="A90" s="16"/>
      <c r="B90" s="51"/>
      <c r="C90" s="51"/>
      <c r="D90" s="16"/>
      <c r="E90" s="16"/>
      <c r="F90" s="16"/>
      <c r="G90" s="12"/>
      <c r="H90" s="12"/>
      <c r="I90" s="12"/>
      <c r="J90" s="12"/>
      <c r="K90" s="16"/>
    </row>
    <row r="91" spans="1:11" ht="15.75" customHeight="1" x14ac:dyDescent="0.15">
      <c r="A91" s="16"/>
      <c r="B91" s="51"/>
      <c r="C91" s="51"/>
      <c r="D91" s="16"/>
      <c r="E91" s="16"/>
      <c r="F91" s="16"/>
      <c r="G91" s="12"/>
      <c r="H91" s="12"/>
      <c r="I91" s="12"/>
      <c r="J91" s="12"/>
      <c r="K91" s="16"/>
    </row>
    <row r="92" spans="1:11" ht="15.75" customHeight="1" x14ac:dyDescent="0.15">
      <c r="A92" s="16"/>
      <c r="B92" s="51"/>
      <c r="C92" s="51"/>
      <c r="D92" s="16"/>
      <c r="E92" s="16"/>
      <c r="F92" s="16"/>
      <c r="G92" s="12"/>
      <c r="H92" s="12"/>
      <c r="I92" s="12"/>
      <c r="J92" s="12"/>
      <c r="K92" s="16"/>
    </row>
    <row r="93" spans="1:11" ht="15.75" customHeight="1" x14ac:dyDescent="0.15">
      <c r="A93" s="16"/>
      <c r="B93" s="51"/>
      <c r="C93" s="51"/>
      <c r="D93" s="16"/>
      <c r="E93" s="16"/>
      <c r="F93" s="16"/>
      <c r="G93" s="12"/>
      <c r="H93" s="12"/>
      <c r="I93" s="12"/>
      <c r="J93" s="12"/>
      <c r="K93" s="16"/>
    </row>
    <row r="94" spans="1:11" ht="15.75" customHeight="1" x14ac:dyDescent="0.15">
      <c r="A94" s="16"/>
      <c r="B94" s="51"/>
      <c r="C94" s="51"/>
      <c r="D94" s="16"/>
      <c r="E94" s="16"/>
      <c r="F94" s="16"/>
      <c r="G94" s="12"/>
      <c r="H94" s="12"/>
      <c r="I94" s="12"/>
      <c r="J94" s="12"/>
      <c r="K94" s="16"/>
    </row>
    <row r="95" spans="1:11" ht="15.75" customHeight="1" x14ac:dyDescent="0.15">
      <c r="A95" s="16"/>
      <c r="B95" s="51"/>
      <c r="C95" s="51"/>
      <c r="D95" s="16"/>
      <c r="E95" s="16"/>
      <c r="F95" s="16"/>
      <c r="G95" s="12"/>
      <c r="H95" s="12"/>
      <c r="I95" s="12"/>
      <c r="J95" s="12"/>
      <c r="K95" s="16"/>
    </row>
    <row r="96" spans="1:11" ht="15.75" customHeight="1" x14ac:dyDescent="0.15">
      <c r="A96" s="16"/>
      <c r="B96" s="51"/>
      <c r="C96" s="51"/>
      <c r="D96" s="16"/>
      <c r="E96" s="16"/>
      <c r="F96" s="16"/>
      <c r="G96" s="12"/>
      <c r="H96" s="12"/>
      <c r="I96" s="12"/>
      <c r="J96" s="12"/>
      <c r="K96" s="16"/>
    </row>
    <row r="97" spans="1:11" ht="15.75" customHeight="1" x14ac:dyDescent="0.15">
      <c r="A97" s="16"/>
      <c r="B97" s="51"/>
      <c r="C97" s="51"/>
      <c r="D97" s="16"/>
      <c r="E97" s="16"/>
      <c r="F97" s="16"/>
      <c r="G97" s="12"/>
      <c r="H97" s="12"/>
      <c r="I97" s="12"/>
      <c r="J97" s="12"/>
      <c r="K97" s="16"/>
    </row>
    <row r="98" spans="1:11" ht="15.75" customHeight="1" x14ac:dyDescent="0.15">
      <c r="A98" s="16"/>
      <c r="B98" s="51"/>
      <c r="C98" s="51"/>
      <c r="D98" s="16"/>
      <c r="E98" s="16"/>
      <c r="F98" s="16"/>
      <c r="G98" s="12"/>
      <c r="H98" s="12"/>
      <c r="I98" s="12"/>
      <c r="J98" s="12"/>
      <c r="K98" s="16"/>
    </row>
    <row r="99" spans="1:11" ht="15.75" customHeight="1" x14ac:dyDescent="0.15">
      <c r="A99" s="16"/>
      <c r="B99" s="51"/>
      <c r="C99" s="51"/>
      <c r="D99" s="16"/>
      <c r="E99" s="16"/>
      <c r="F99" s="16"/>
      <c r="G99" s="12"/>
      <c r="H99" s="12"/>
      <c r="I99" s="12"/>
      <c r="J99" s="12"/>
      <c r="K99" s="16"/>
    </row>
    <row r="100" spans="1:11" ht="15.75" customHeight="1" x14ac:dyDescent="0.15">
      <c r="A100" s="16"/>
      <c r="B100" s="51"/>
      <c r="C100" s="51"/>
      <c r="D100" s="16"/>
      <c r="E100" s="16"/>
      <c r="F100" s="16"/>
      <c r="G100" s="12"/>
      <c r="H100" s="12"/>
      <c r="I100" s="12"/>
      <c r="J100" s="12"/>
      <c r="K100" s="16"/>
    </row>
    <row r="101" spans="1:11" ht="15.75" customHeight="1" x14ac:dyDescent="0.15">
      <c r="A101" s="16"/>
      <c r="B101" s="51"/>
      <c r="C101" s="51"/>
      <c r="D101" s="16"/>
      <c r="E101" s="16"/>
      <c r="F101" s="16"/>
      <c r="G101" s="12"/>
      <c r="H101" s="12"/>
      <c r="I101" s="12"/>
      <c r="J101" s="12"/>
      <c r="K101" s="16"/>
    </row>
    <row r="102" spans="1:11" ht="15.75" customHeight="1" x14ac:dyDescent="0.15">
      <c r="A102" s="16"/>
      <c r="B102" s="51"/>
      <c r="C102" s="51"/>
      <c r="D102" s="16"/>
      <c r="E102" s="16"/>
      <c r="F102" s="16"/>
      <c r="G102" s="12"/>
      <c r="H102" s="12"/>
      <c r="I102" s="12"/>
      <c r="J102" s="12"/>
      <c r="K102" s="16"/>
    </row>
    <row r="103" spans="1:11" ht="15.75" customHeight="1" x14ac:dyDescent="0.15">
      <c r="A103" s="16"/>
      <c r="B103" s="51"/>
      <c r="C103" s="51"/>
      <c r="D103" s="16"/>
      <c r="E103" s="16"/>
      <c r="F103" s="16"/>
      <c r="G103" s="12"/>
      <c r="H103" s="12"/>
      <c r="I103" s="12"/>
      <c r="J103" s="12"/>
      <c r="K103" s="16"/>
    </row>
    <row r="104" spans="1:11" ht="15.75" customHeight="1" x14ac:dyDescent="0.15">
      <c r="A104" s="16"/>
      <c r="B104" s="51"/>
      <c r="C104" s="51"/>
      <c r="D104" s="16"/>
      <c r="E104" s="16"/>
      <c r="F104" s="16"/>
      <c r="G104" s="12"/>
      <c r="H104" s="12"/>
      <c r="I104" s="12"/>
      <c r="J104" s="12"/>
      <c r="K104" s="16"/>
    </row>
    <row r="105" spans="1:11" ht="15.75" customHeight="1" x14ac:dyDescent="0.15">
      <c r="A105" s="16"/>
      <c r="B105" s="51"/>
      <c r="C105" s="51"/>
      <c r="D105" s="16"/>
      <c r="E105" s="16"/>
      <c r="F105" s="16"/>
      <c r="G105" s="12"/>
      <c r="H105" s="12"/>
      <c r="I105" s="12"/>
      <c r="J105" s="12"/>
      <c r="K105" s="16"/>
    </row>
    <row r="106" spans="1:11" ht="15.75" customHeight="1" x14ac:dyDescent="0.15">
      <c r="A106" s="16"/>
      <c r="B106" s="51"/>
      <c r="C106" s="51"/>
      <c r="D106" s="16"/>
      <c r="E106" s="16"/>
      <c r="F106" s="16"/>
      <c r="G106" s="12"/>
      <c r="H106" s="12"/>
      <c r="I106" s="12"/>
      <c r="J106" s="12"/>
      <c r="K106" s="16"/>
    </row>
    <row r="107" spans="1:11" ht="15.75" customHeight="1" x14ac:dyDescent="0.15">
      <c r="A107" s="16"/>
      <c r="B107" s="51"/>
      <c r="C107" s="51"/>
      <c r="D107" s="16"/>
      <c r="E107" s="16"/>
      <c r="F107" s="16"/>
      <c r="G107" s="12"/>
      <c r="H107" s="12"/>
      <c r="I107" s="12"/>
      <c r="J107" s="12"/>
      <c r="K107" s="16"/>
    </row>
    <row r="108" spans="1:11" ht="15.75" customHeight="1" x14ac:dyDescent="0.15">
      <c r="A108" s="16"/>
      <c r="B108" s="51"/>
      <c r="C108" s="51"/>
      <c r="D108" s="16"/>
      <c r="E108" s="16"/>
      <c r="F108" s="16"/>
      <c r="G108" s="12"/>
      <c r="H108" s="12"/>
      <c r="I108" s="12"/>
      <c r="J108" s="12"/>
      <c r="K108" s="16"/>
    </row>
    <row r="109" spans="1:11" ht="15.75" customHeight="1" x14ac:dyDescent="0.15">
      <c r="A109" s="16"/>
      <c r="B109" s="51"/>
      <c r="C109" s="51"/>
      <c r="D109" s="16"/>
      <c r="E109" s="16"/>
      <c r="F109" s="16"/>
      <c r="G109" s="12"/>
      <c r="H109" s="12"/>
      <c r="I109" s="12"/>
      <c r="J109" s="12"/>
      <c r="K109" s="16"/>
    </row>
    <row r="110" spans="1:11" ht="15.75" customHeight="1" x14ac:dyDescent="0.15">
      <c r="A110" s="16"/>
      <c r="B110" s="51"/>
      <c r="C110" s="51"/>
      <c r="D110" s="16"/>
      <c r="E110" s="16"/>
      <c r="F110" s="16"/>
      <c r="G110" s="12"/>
      <c r="H110" s="12"/>
      <c r="I110" s="12"/>
      <c r="J110" s="12"/>
      <c r="K110" s="16"/>
    </row>
    <row r="111" spans="1:11" ht="15.75" customHeight="1" x14ac:dyDescent="0.15">
      <c r="A111" s="16"/>
      <c r="B111" s="51"/>
      <c r="C111" s="51"/>
      <c r="D111" s="16"/>
      <c r="E111" s="16"/>
      <c r="F111" s="16"/>
      <c r="G111" s="12"/>
      <c r="H111" s="12"/>
      <c r="I111" s="12"/>
      <c r="J111" s="12"/>
      <c r="K111" s="16"/>
    </row>
    <row r="112" spans="1:11" ht="15.75" customHeight="1" x14ac:dyDescent="0.15">
      <c r="A112" s="16"/>
      <c r="B112" s="51"/>
      <c r="C112" s="51"/>
      <c r="D112" s="16"/>
      <c r="E112" s="16"/>
      <c r="F112" s="16"/>
      <c r="G112" s="12"/>
      <c r="H112" s="12"/>
      <c r="I112" s="12"/>
      <c r="J112" s="12"/>
      <c r="K112" s="16"/>
    </row>
    <row r="113" spans="1:11" ht="15.75" customHeight="1" x14ac:dyDescent="0.15">
      <c r="A113" s="16"/>
      <c r="B113" s="51"/>
      <c r="C113" s="51"/>
      <c r="D113" s="16"/>
      <c r="E113" s="16"/>
      <c r="F113" s="16"/>
      <c r="G113" s="12"/>
      <c r="H113" s="12"/>
      <c r="I113" s="12"/>
      <c r="J113" s="12"/>
      <c r="K113" s="16"/>
    </row>
    <row r="114" spans="1:11" ht="15.75" customHeight="1" x14ac:dyDescent="0.15">
      <c r="A114" s="16"/>
      <c r="B114" s="51"/>
      <c r="C114" s="51"/>
      <c r="D114" s="16"/>
      <c r="E114" s="16"/>
      <c r="F114" s="16"/>
      <c r="G114" s="12"/>
      <c r="H114" s="12"/>
      <c r="I114" s="12"/>
      <c r="J114" s="12"/>
      <c r="K114" s="16"/>
    </row>
    <row r="115" spans="1:11" ht="15.75" customHeight="1" x14ac:dyDescent="0.15">
      <c r="A115" s="16"/>
      <c r="B115" s="51"/>
      <c r="C115" s="51"/>
      <c r="D115" s="16"/>
      <c r="E115" s="16"/>
      <c r="F115" s="16"/>
      <c r="G115" s="12"/>
      <c r="H115" s="12"/>
      <c r="I115" s="12"/>
      <c r="J115" s="12"/>
      <c r="K115" s="16"/>
    </row>
    <row r="116" spans="1:11" ht="15.75" customHeight="1" x14ac:dyDescent="0.15">
      <c r="A116" s="16"/>
      <c r="B116" s="51"/>
      <c r="C116" s="51"/>
      <c r="D116" s="16"/>
      <c r="E116" s="16"/>
      <c r="F116" s="16"/>
      <c r="G116" s="12"/>
      <c r="H116" s="12"/>
      <c r="I116" s="12"/>
      <c r="J116" s="12"/>
      <c r="K116" s="16"/>
    </row>
    <row r="117" spans="1:11" ht="15.75" customHeight="1" x14ac:dyDescent="0.15">
      <c r="A117" s="16"/>
      <c r="B117" s="51"/>
      <c r="C117" s="51"/>
      <c r="D117" s="16"/>
      <c r="E117" s="16"/>
      <c r="F117" s="16"/>
      <c r="G117" s="12"/>
      <c r="H117" s="12"/>
      <c r="I117" s="12"/>
      <c r="J117" s="12"/>
      <c r="K117" s="16"/>
    </row>
    <row r="118" spans="1:11" ht="15.75" customHeight="1" x14ac:dyDescent="0.15">
      <c r="A118" s="16"/>
      <c r="B118" s="51"/>
      <c r="C118" s="51"/>
      <c r="D118" s="16"/>
      <c r="E118" s="16"/>
      <c r="F118" s="16"/>
      <c r="G118" s="12"/>
      <c r="H118" s="12"/>
      <c r="I118" s="12"/>
      <c r="J118" s="12"/>
      <c r="K118" s="16"/>
    </row>
    <row r="119" spans="1:11" ht="15.75" customHeight="1" x14ac:dyDescent="0.15">
      <c r="A119" s="16"/>
      <c r="B119" s="51"/>
      <c r="C119" s="51"/>
      <c r="D119" s="16"/>
      <c r="E119" s="16"/>
      <c r="F119" s="16"/>
      <c r="G119" s="12"/>
      <c r="H119" s="12"/>
      <c r="I119" s="12"/>
      <c r="J119" s="12"/>
      <c r="K119" s="16"/>
    </row>
    <row r="120" spans="1:11" ht="15.75" customHeight="1" x14ac:dyDescent="0.15">
      <c r="A120" s="16"/>
      <c r="B120" s="51"/>
      <c r="C120" s="51"/>
      <c r="D120" s="16"/>
      <c r="E120" s="16"/>
      <c r="F120" s="16"/>
      <c r="G120" s="12"/>
      <c r="H120" s="12"/>
      <c r="I120" s="12"/>
      <c r="J120" s="12"/>
      <c r="K120" s="16"/>
    </row>
    <row r="121" spans="1:11" ht="15.75" customHeight="1" x14ac:dyDescent="0.15">
      <c r="A121" s="16"/>
      <c r="B121" s="51"/>
      <c r="C121" s="51"/>
      <c r="D121" s="16"/>
      <c r="E121" s="16"/>
      <c r="F121" s="16"/>
      <c r="G121" s="12"/>
      <c r="H121" s="12"/>
      <c r="I121" s="12"/>
      <c r="J121" s="12"/>
      <c r="K121" s="16"/>
    </row>
    <row r="122" spans="1:11" ht="15.75" customHeight="1" x14ac:dyDescent="0.15">
      <c r="A122" s="16"/>
      <c r="B122" s="51"/>
      <c r="C122" s="51"/>
      <c r="D122" s="16"/>
      <c r="E122" s="16"/>
      <c r="F122" s="16"/>
      <c r="G122" s="12"/>
      <c r="H122" s="12"/>
      <c r="I122" s="12"/>
      <c r="J122" s="12"/>
      <c r="K122" s="16"/>
    </row>
    <row r="123" spans="1:11" ht="15.75" customHeight="1" x14ac:dyDescent="0.15">
      <c r="A123" s="16"/>
      <c r="B123" s="51"/>
      <c r="C123" s="51"/>
      <c r="D123" s="16"/>
      <c r="E123" s="16"/>
      <c r="F123" s="16"/>
      <c r="G123" s="12"/>
      <c r="H123" s="12"/>
      <c r="I123" s="12"/>
      <c r="J123" s="12"/>
      <c r="K123" s="16"/>
    </row>
    <row r="124" spans="1:11" ht="15.75" customHeight="1" x14ac:dyDescent="0.15">
      <c r="A124" s="16"/>
      <c r="B124" s="51"/>
      <c r="C124" s="51"/>
      <c r="D124" s="16"/>
      <c r="E124" s="16"/>
      <c r="F124" s="16"/>
      <c r="G124" s="12"/>
      <c r="H124" s="12"/>
      <c r="I124" s="12"/>
      <c r="J124" s="12"/>
      <c r="K124" s="16"/>
    </row>
    <row r="125" spans="1:11" ht="15.75" customHeight="1" x14ac:dyDescent="0.15">
      <c r="A125" s="16"/>
      <c r="B125" s="51"/>
      <c r="C125" s="51"/>
      <c r="D125" s="16"/>
      <c r="E125" s="16"/>
      <c r="F125" s="16"/>
      <c r="G125" s="12"/>
      <c r="H125" s="12"/>
      <c r="I125" s="12"/>
      <c r="J125" s="12"/>
      <c r="K125" s="16"/>
    </row>
    <row r="126" spans="1:11" ht="15.75" customHeight="1" x14ac:dyDescent="0.15">
      <c r="A126" s="16"/>
      <c r="B126" s="51"/>
      <c r="C126" s="51"/>
      <c r="D126" s="16"/>
      <c r="E126" s="16"/>
      <c r="F126" s="16"/>
      <c r="G126" s="12"/>
      <c r="H126" s="12"/>
      <c r="I126" s="12"/>
      <c r="J126" s="12"/>
      <c r="K126" s="16"/>
    </row>
    <row r="127" spans="1:11" ht="15.75" customHeight="1" x14ac:dyDescent="0.15">
      <c r="A127" s="16"/>
      <c r="B127" s="51"/>
      <c r="C127" s="51"/>
      <c r="D127" s="16"/>
      <c r="E127" s="16"/>
      <c r="F127" s="16"/>
      <c r="G127" s="12"/>
      <c r="H127" s="12"/>
      <c r="I127" s="12"/>
      <c r="J127" s="12"/>
      <c r="K127" s="16"/>
    </row>
    <row r="128" spans="1:11" ht="15.75" customHeight="1" x14ac:dyDescent="0.15">
      <c r="A128" s="16"/>
      <c r="B128" s="51"/>
      <c r="C128" s="51"/>
      <c r="D128" s="16"/>
      <c r="E128" s="16"/>
      <c r="F128" s="16"/>
      <c r="G128" s="12"/>
      <c r="H128" s="12"/>
      <c r="I128" s="12"/>
      <c r="J128" s="12"/>
      <c r="K128" s="16"/>
    </row>
    <row r="129" spans="1:11" ht="15.75" customHeight="1" x14ac:dyDescent="0.15">
      <c r="A129" s="16"/>
      <c r="B129" s="51"/>
      <c r="C129" s="51"/>
      <c r="D129" s="16"/>
      <c r="E129" s="16"/>
      <c r="F129" s="16"/>
      <c r="G129" s="12"/>
      <c r="H129" s="12"/>
      <c r="I129" s="12"/>
      <c r="J129" s="12"/>
      <c r="K129" s="16"/>
    </row>
    <row r="130" spans="1:11" ht="15.75" customHeight="1" x14ac:dyDescent="0.15">
      <c r="A130" s="16"/>
      <c r="B130" s="51"/>
      <c r="C130" s="51"/>
      <c r="D130" s="16"/>
      <c r="E130" s="16"/>
      <c r="F130" s="16"/>
      <c r="G130" s="12"/>
      <c r="H130" s="12"/>
      <c r="I130" s="12"/>
      <c r="J130" s="12"/>
      <c r="K130" s="16"/>
    </row>
    <row r="131" spans="1:11" ht="15.75" customHeight="1" x14ac:dyDescent="0.15">
      <c r="A131" s="16"/>
      <c r="B131" s="51"/>
      <c r="C131" s="51"/>
      <c r="D131" s="16"/>
      <c r="E131" s="16"/>
      <c r="F131" s="16"/>
      <c r="G131" s="12"/>
      <c r="H131" s="12"/>
      <c r="I131" s="12"/>
      <c r="J131" s="12"/>
      <c r="K131" s="16"/>
    </row>
    <row r="132" spans="1:11" ht="15.75" customHeight="1" x14ac:dyDescent="0.15">
      <c r="A132" s="16"/>
      <c r="B132" s="51"/>
      <c r="C132" s="51"/>
      <c r="D132" s="16"/>
      <c r="E132" s="16"/>
      <c r="F132" s="16"/>
      <c r="G132" s="12"/>
      <c r="H132" s="12"/>
      <c r="I132" s="12"/>
      <c r="J132" s="12"/>
      <c r="K132" s="16"/>
    </row>
    <row r="133" spans="1:11" ht="15.75" customHeight="1" x14ac:dyDescent="0.15">
      <c r="A133" s="16"/>
      <c r="B133" s="51"/>
      <c r="C133" s="51"/>
      <c r="D133" s="16"/>
      <c r="E133" s="16"/>
      <c r="F133" s="16"/>
      <c r="G133" s="12"/>
      <c r="H133" s="12"/>
      <c r="I133" s="12"/>
      <c r="J133" s="12"/>
      <c r="K133" s="16"/>
    </row>
    <row r="134" spans="1:11" ht="15.75" customHeight="1" x14ac:dyDescent="0.15">
      <c r="A134" s="16"/>
      <c r="B134" s="51"/>
      <c r="C134" s="51"/>
      <c r="D134" s="16"/>
      <c r="E134" s="16"/>
      <c r="F134" s="16"/>
      <c r="G134" s="12"/>
      <c r="H134" s="12"/>
      <c r="I134" s="12"/>
      <c r="J134" s="12"/>
      <c r="K134" s="16"/>
    </row>
    <row r="135" spans="1:11" ht="15.75" customHeight="1" x14ac:dyDescent="0.15">
      <c r="A135" s="16"/>
      <c r="B135" s="51"/>
      <c r="C135" s="51"/>
      <c r="D135" s="16"/>
      <c r="E135" s="16"/>
      <c r="F135" s="16"/>
      <c r="G135" s="12"/>
      <c r="H135" s="12"/>
      <c r="I135" s="12"/>
      <c r="J135" s="12"/>
      <c r="K135" s="16"/>
    </row>
    <row r="136" spans="1:11" ht="15.75" customHeight="1" x14ac:dyDescent="0.15">
      <c r="A136" s="16"/>
      <c r="B136" s="51"/>
      <c r="C136" s="51"/>
      <c r="D136" s="16"/>
      <c r="E136" s="16"/>
      <c r="F136" s="16"/>
      <c r="G136" s="12"/>
      <c r="H136" s="12"/>
      <c r="I136" s="12"/>
      <c r="J136" s="12"/>
      <c r="K136" s="16"/>
    </row>
    <row r="137" spans="1:11" ht="15.75" customHeight="1" x14ac:dyDescent="0.15">
      <c r="A137" s="16"/>
      <c r="B137" s="51"/>
      <c r="C137" s="51"/>
      <c r="D137" s="16"/>
      <c r="E137" s="16"/>
      <c r="F137" s="16"/>
      <c r="G137" s="12"/>
      <c r="H137" s="12"/>
      <c r="I137" s="12"/>
      <c r="J137" s="12"/>
      <c r="K137" s="16"/>
    </row>
    <row r="138" spans="1:11" ht="15.75" customHeight="1" x14ac:dyDescent="0.15">
      <c r="A138" s="16"/>
      <c r="B138" s="51"/>
      <c r="C138" s="51"/>
      <c r="D138" s="16"/>
      <c r="E138" s="16"/>
      <c r="F138" s="16"/>
      <c r="G138" s="12"/>
      <c r="H138" s="12"/>
      <c r="I138" s="12"/>
      <c r="J138" s="12"/>
      <c r="K138" s="16"/>
    </row>
    <row r="139" spans="1:11" ht="15.75" customHeight="1" x14ac:dyDescent="0.15">
      <c r="A139" s="16"/>
      <c r="B139" s="51"/>
      <c r="C139" s="51"/>
      <c r="D139" s="16"/>
      <c r="E139" s="16"/>
      <c r="F139" s="16"/>
      <c r="G139" s="12"/>
      <c r="H139" s="12"/>
      <c r="I139" s="12"/>
      <c r="J139" s="12"/>
      <c r="K139" s="16"/>
    </row>
    <row r="140" spans="1:11" ht="15.75" customHeight="1" x14ac:dyDescent="0.15">
      <c r="A140" s="16"/>
      <c r="B140" s="51"/>
      <c r="C140" s="51"/>
      <c r="D140" s="16"/>
      <c r="E140" s="16"/>
      <c r="F140" s="16"/>
      <c r="G140" s="12"/>
      <c r="H140" s="12"/>
      <c r="I140" s="12"/>
      <c r="J140" s="12"/>
      <c r="K140" s="16"/>
    </row>
    <row r="141" spans="1:11" ht="15.75" customHeight="1" x14ac:dyDescent="0.15">
      <c r="A141" s="16"/>
      <c r="B141" s="51"/>
      <c r="C141" s="51"/>
      <c r="D141" s="16"/>
      <c r="E141" s="16"/>
      <c r="F141" s="16"/>
      <c r="G141" s="12"/>
      <c r="H141" s="12"/>
      <c r="I141" s="12"/>
      <c r="J141" s="12"/>
      <c r="K141" s="16"/>
    </row>
    <row r="142" spans="1:11" ht="15.75" customHeight="1" x14ac:dyDescent="0.15">
      <c r="A142" s="16"/>
      <c r="B142" s="51"/>
      <c r="C142" s="51"/>
      <c r="D142" s="16"/>
      <c r="E142" s="16"/>
      <c r="F142" s="16"/>
      <c r="G142" s="12"/>
      <c r="H142" s="12"/>
      <c r="I142" s="12"/>
      <c r="J142" s="12"/>
      <c r="K142" s="16"/>
    </row>
    <row r="143" spans="1:11" ht="15.75" customHeight="1" x14ac:dyDescent="0.15">
      <c r="A143" s="16"/>
      <c r="B143" s="51"/>
      <c r="C143" s="51"/>
      <c r="D143" s="16"/>
      <c r="E143" s="16"/>
      <c r="F143" s="16"/>
      <c r="G143" s="12"/>
      <c r="H143" s="12"/>
      <c r="I143" s="12"/>
      <c r="J143" s="12"/>
      <c r="K143" s="16"/>
    </row>
    <row r="144" spans="1:11" ht="15.75" customHeight="1" x14ac:dyDescent="0.15">
      <c r="A144" s="16"/>
      <c r="B144" s="51"/>
      <c r="C144" s="51"/>
      <c r="D144" s="16"/>
      <c r="E144" s="16"/>
      <c r="F144" s="16"/>
      <c r="G144" s="12"/>
      <c r="H144" s="12"/>
      <c r="I144" s="12"/>
      <c r="J144" s="12"/>
      <c r="K144" s="16"/>
    </row>
    <row r="145" spans="1:11" ht="15.75" customHeight="1" x14ac:dyDescent="0.15">
      <c r="A145" s="16"/>
      <c r="B145" s="51"/>
      <c r="C145" s="51"/>
      <c r="D145" s="16"/>
      <c r="E145" s="16"/>
      <c r="F145" s="16"/>
      <c r="G145" s="12"/>
      <c r="H145" s="12"/>
      <c r="I145" s="12"/>
      <c r="J145" s="12"/>
      <c r="K145" s="16"/>
    </row>
    <row r="146" spans="1:11" ht="15.75" customHeight="1" x14ac:dyDescent="0.15">
      <c r="A146" s="16"/>
      <c r="B146" s="51"/>
      <c r="C146" s="51"/>
      <c r="D146" s="16"/>
      <c r="E146" s="16"/>
      <c r="F146" s="16"/>
      <c r="G146" s="12"/>
      <c r="H146" s="12"/>
      <c r="I146" s="12"/>
      <c r="J146" s="12"/>
      <c r="K146" s="16"/>
    </row>
    <row r="147" spans="1:11" ht="15.75" customHeight="1" x14ac:dyDescent="0.15">
      <c r="A147" s="16"/>
      <c r="B147" s="51"/>
      <c r="C147" s="51"/>
      <c r="D147" s="16"/>
      <c r="E147" s="16"/>
      <c r="F147" s="16"/>
      <c r="G147" s="12"/>
      <c r="H147" s="12"/>
      <c r="I147" s="12"/>
      <c r="J147" s="12"/>
      <c r="K147" s="16"/>
    </row>
    <row r="148" spans="1:11" ht="15.75" customHeight="1" x14ac:dyDescent="0.15">
      <c r="A148" s="16"/>
      <c r="B148" s="51"/>
      <c r="C148" s="51"/>
      <c r="D148" s="16"/>
      <c r="E148" s="16"/>
      <c r="F148" s="16"/>
      <c r="G148" s="12"/>
      <c r="H148" s="12"/>
      <c r="I148" s="12"/>
      <c r="J148" s="12"/>
      <c r="K148" s="16"/>
    </row>
    <row r="149" spans="1:11" ht="15.75" customHeight="1" x14ac:dyDescent="0.15">
      <c r="A149" s="16"/>
      <c r="B149" s="51"/>
      <c r="C149" s="51"/>
      <c r="D149" s="16"/>
      <c r="E149" s="16"/>
      <c r="F149" s="16"/>
      <c r="G149" s="12"/>
      <c r="H149" s="12"/>
      <c r="I149" s="12"/>
      <c r="J149" s="12"/>
      <c r="K149" s="16"/>
    </row>
    <row r="150" spans="1:11" ht="15.75" customHeight="1" x14ac:dyDescent="0.15">
      <c r="A150" s="16"/>
      <c r="B150" s="51"/>
      <c r="C150" s="51"/>
      <c r="D150" s="16"/>
      <c r="E150" s="16"/>
      <c r="F150" s="16"/>
      <c r="G150" s="12"/>
      <c r="H150" s="12"/>
      <c r="I150" s="12"/>
      <c r="J150" s="12"/>
      <c r="K150" s="16"/>
    </row>
    <row r="151" spans="1:11" ht="15.75" customHeight="1" x14ac:dyDescent="0.15">
      <c r="A151" s="16"/>
      <c r="B151" s="51"/>
      <c r="C151" s="51"/>
      <c r="D151" s="16"/>
      <c r="E151" s="16"/>
      <c r="F151" s="16"/>
      <c r="G151" s="12"/>
      <c r="H151" s="12"/>
      <c r="I151" s="12"/>
      <c r="J151" s="12"/>
      <c r="K151" s="16"/>
    </row>
    <row r="152" spans="1:11" ht="15.75" customHeight="1" x14ac:dyDescent="0.15">
      <c r="A152" s="16"/>
      <c r="B152" s="51"/>
      <c r="C152" s="51"/>
      <c r="D152" s="16"/>
      <c r="E152" s="16"/>
      <c r="F152" s="16"/>
      <c r="G152" s="12"/>
      <c r="H152" s="12"/>
      <c r="I152" s="12"/>
      <c r="J152" s="12"/>
      <c r="K152" s="16"/>
    </row>
    <row r="153" spans="1:11" ht="15.75" customHeight="1" x14ac:dyDescent="0.15">
      <c r="A153" s="16"/>
      <c r="B153" s="51"/>
      <c r="C153" s="51"/>
      <c r="D153" s="16"/>
      <c r="E153" s="16"/>
      <c r="F153" s="16"/>
      <c r="G153" s="12"/>
      <c r="H153" s="12"/>
      <c r="I153" s="12"/>
      <c r="J153" s="12"/>
      <c r="K153" s="16"/>
    </row>
    <row r="154" spans="1:11" ht="15.75" customHeight="1" x14ac:dyDescent="0.15">
      <c r="A154" s="16"/>
      <c r="B154" s="51"/>
      <c r="C154" s="51"/>
      <c r="D154" s="16"/>
      <c r="E154" s="16"/>
      <c r="F154" s="16"/>
      <c r="G154" s="12"/>
      <c r="H154" s="12"/>
      <c r="I154" s="12"/>
      <c r="J154" s="12"/>
      <c r="K154" s="16"/>
    </row>
    <row r="155" spans="1:11" ht="15.75" customHeight="1" x14ac:dyDescent="0.15">
      <c r="A155" s="16"/>
      <c r="B155" s="51"/>
      <c r="C155" s="51"/>
      <c r="D155" s="16"/>
      <c r="E155" s="16"/>
      <c r="F155" s="16"/>
      <c r="G155" s="12"/>
      <c r="H155" s="12"/>
      <c r="I155" s="12"/>
      <c r="J155" s="12"/>
      <c r="K155" s="16"/>
    </row>
    <row r="156" spans="1:11" ht="15.75" customHeight="1" x14ac:dyDescent="0.15">
      <c r="A156" s="16"/>
      <c r="B156" s="51"/>
      <c r="C156" s="51"/>
      <c r="D156" s="16"/>
      <c r="E156" s="16"/>
      <c r="F156" s="16"/>
      <c r="G156" s="12"/>
      <c r="H156" s="12"/>
      <c r="I156" s="12"/>
      <c r="J156" s="12"/>
      <c r="K156" s="16"/>
    </row>
    <row r="157" spans="1:11" ht="15.75" customHeight="1" x14ac:dyDescent="0.15">
      <c r="A157" s="16"/>
      <c r="B157" s="51"/>
      <c r="C157" s="51"/>
      <c r="D157" s="16"/>
      <c r="E157" s="16"/>
      <c r="F157" s="16"/>
      <c r="G157" s="12"/>
      <c r="H157" s="12"/>
      <c r="I157" s="12"/>
      <c r="J157" s="12"/>
      <c r="K157" s="16"/>
    </row>
    <row r="158" spans="1:11" ht="15.75" customHeight="1" x14ac:dyDescent="0.15">
      <c r="A158" s="16"/>
      <c r="B158" s="51"/>
      <c r="C158" s="51"/>
      <c r="D158" s="16"/>
      <c r="E158" s="16"/>
      <c r="F158" s="16"/>
      <c r="G158" s="12"/>
      <c r="H158" s="12"/>
      <c r="I158" s="12"/>
      <c r="J158" s="12"/>
      <c r="K158" s="16"/>
    </row>
    <row r="159" spans="1:11" ht="15.75" customHeight="1" x14ac:dyDescent="0.15">
      <c r="A159" s="16"/>
      <c r="B159" s="51"/>
      <c r="C159" s="51"/>
      <c r="D159" s="16"/>
      <c r="E159" s="16"/>
      <c r="F159" s="16"/>
      <c r="G159" s="12"/>
      <c r="H159" s="12"/>
      <c r="I159" s="12"/>
      <c r="J159" s="12"/>
      <c r="K159" s="16"/>
    </row>
    <row r="160" spans="1:11" ht="15.75" customHeight="1" x14ac:dyDescent="0.15">
      <c r="A160" s="16"/>
      <c r="B160" s="51"/>
      <c r="C160" s="51"/>
      <c r="D160" s="16"/>
      <c r="E160" s="16"/>
      <c r="F160" s="16"/>
      <c r="G160" s="12"/>
      <c r="H160" s="12"/>
      <c r="I160" s="12"/>
      <c r="J160" s="12"/>
      <c r="K160" s="16"/>
    </row>
    <row r="161" spans="1:11" ht="15.75" customHeight="1" x14ac:dyDescent="0.15">
      <c r="A161" s="16"/>
      <c r="B161" s="51"/>
      <c r="C161" s="51"/>
      <c r="D161" s="16"/>
      <c r="E161" s="16"/>
      <c r="F161" s="16"/>
      <c r="G161" s="12"/>
      <c r="H161" s="12"/>
      <c r="I161" s="12"/>
      <c r="J161" s="12"/>
      <c r="K161" s="16"/>
    </row>
    <row r="162" spans="1:11" ht="15.75" customHeight="1" x14ac:dyDescent="0.15">
      <c r="A162" s="16"/>
      <c r="B162" s="51"/>
      <c r="C162" s="51"/>
      <c r="D162" s="16"/>
      <c r="E162" s="16"/>
      <c r="F162" s="16"/>
      <c r="G162" s="12"/>
      <c r="H162" s="12"/>
      <c r="I162" s="12"/>
      <c r="J162" s="12"/>
      <c r="K162" s="16"/>
    </row>
    <row r="163" spans="1:11" ht="15.75" customHeight="1" x14ac:dyDescent="0.15">
      <c r="A163" s="16"/>
      <c r="B163" s="51"/>
      <c r="C163" s="51"/>
      <c r="D163" s="16"/>
      <c r="E163" s="16"/>
      <c r="F163" s="16"/>
      <c r="G163" s="12"/>
      <c r="H163" s="12"/>
      <c r="I163" s="12"/>
      <c r="J163" s="12"/>
      <c r="K163" s="16"/>
    </row>
    <row r="164" spans="1:11" ht="15.75" customHeight="1" x14ac:dyDescent="0.15">
      <c r="A164" s="16"/>
      <c r="B164" s="51"/>
      <c r="C164" s="51"/>
      <c r="D164" s="16"/>
      <c r="E164" s="16"/>
      <c r="F164" s="16"/>
      <c r="G164" s="12"/>
      <c r="H164" s="12"/>
      <c r="I164" s="12"/>
      <c r="J164" s="12"/>
      <c r="K164" s="16"/>
    </row>
    <row r="165" spans="1:11" ht="15.75" customHeight="1" x14ac:dyDescent="0.15">
      <c r="A165" s="16"/>
      <c r="B165" s="51"/>
      <c r="C165" s="51"/>
      <c r="D165" s="16"/>
      <c r="E165" s="16"/>
      <c r="F165" s="16"/>
      <c r="G165" s="12"/>
      <c r="H165" s="12"/>
      <c r="I165" s="12"/>
      <c r="J165" s="12"/>
      <c r="K165" s="16"/>
    </row>
    <row r="166" spans="1:11" ht="15.75" customHeight="1" x14ac:dyDescent="0.15">
      <c r="A166" s="16"/>
      <c r="B166" s="51"/>
      <c r="C166" s="51"/>
      <c r="D166" s="16"/>
      <c r="E166" s="16"/>
      <c r="F166" s="16"/>
      <c r="G166" s="12"/>
      <c r="H166" s="12"/>
      <c r="I166" s="12"/>
      <c r="J166" s="12"/>
      <c r="K166" s="16"/>
    </row>
    <row r="167" spans="1:11" ht="15.75" customHeight="1" x14ac:dyDescent="0.15">
      <c r="A167" s="16"/>
      <c r="B167" s="51"/>
      <c r="C167" s="51"/>
      <c r="D167" s="16"/>
      <c r="E167" s="16"/>
      <c r="F167" s="16"/>
      <c r="G167" s="12"/>
      <c r="H167" s="12"/>
      <c r="I167" s="12"/>
      <c r="J167" s="12"/>
      <c r="K167" s="16"/>
    </row>
    <row r="168" spans="1:11" ht="15.75" customHeight="1" x14ac:dyDescent="0.15">
      <c r="A168" s="16"/>
      <c r="B168" s="51"/>
      <c r="C168" s="51"/>
      <c r="D168" s="16"/>
      <c r="E168" s="16"/>
      <c r="F168" s="16"/>
      <c r="G168" s="12"/>
      <c r="H168" s="12"/>
      <c r="I168" s="12"/>
      <c r="J168" s="12"/>
      <c r="K168" s="16"/>
    </row>
    <row r="169" spans="1:11" ht="15.75" customHeight="1" x14ac:dyDescent="0.15">
      <c r="A169" s="16"/>
      <c r="B169" s="51"/>
      <c r="C169" s="51"/>
      <c r="D169" s="16"/>
      <c r="E169" s="16"/>
      <c r="F169" s="16"/>
      <c r="G169" s="12"/>
      <c r="H169" s="12"/>
      <c r="I169" s="12"/>
      <c r="J169" s="12"/>
      <c r="K169" s="16"/>
    </row>
    <row r="170" spans="1:11" ht="15.75" customHeight="1" x14ac:dyDescent="0.15">
      <c r="A170" s="16"/>
      <c r="B170" s="51"/>
      <c r="C170" s="51"/>
      <c r="D170" s="16"/>
      <c r="E170" s="16"/>
      <c r="F170" s="16"/>
      <c r="G170" s="12"/>
      <c r="H170" s="12"/>
      <c r="I170" s="12"/>
      <c r="J170" s="12"/>
      <c r="K170" s="16"/>
    </row>
    <row r="171" spans="1:11" ht="15.75" customHeight="1" x14ac:dyDescent="0.15">
      <c r="A171" s="16"/>
      <c r="B171" s="51"/>
      <c r="C171" s="51"/>
      <c r="D171" s="16"/>
      <c r="E171" s="16"/>
      <c r="F171" s="16"/>
      <c r="G171" s="12"/>
      <c r="H171" s="12"/>
      <c r="I171" s="12"/>
      <c r="J171" s="12"/>
      <c r="K171" s="16"/>
    </row>
    <row r="172" spans="1:11" ht="15.75" customHeight="1" x14ac:dyDescent="0.15">
      <c r="A172" s="16"/>
      <c r="B172" s="51"/>
      <c r="C172" s="51"/>
      <c r="D172" s="16"/>
      <c r="E172" s="16"/>
      <c r="F172" s="16"/>
      <c r="G172" s="12"/>
      <c r="H172" s="12"/>
      <c r="I172" s="12"/>
      <c r="J172" s="12"/>
      <c r="K172" s="16"/>
    </row>
    <row r="173" spans="1:11" ht="15.75" customHeight="1" x14ac:dyDescent="0.15">
      <c r="A173" s="16"/>
      <c r="B173" s="51"/>
      <c r="C173" s="51"/>
      <c r="D173" s="16"/>
      <c r="E173" s="16"/>
      <c r="F173" s="16"/>
      <c r="G173" s="12"/>
      <c r="H173" s="12"/>
      <c r="I173" s="12"/>
      <c r="J173" s="12"/>
      <c r="K173" s="16"/>
    </row>
    <row r="174" spans="1:11" ht="15.75" customHeight="1" x14ac:dyDescent="0.15">
      <c r="A174" s="16"/>
      <c r="B174" s="51"/>
      <c r="C174" s="51"/>
      <c r="D174" s="16"/>
      <c r="E174" s="16"/>
      <c r="F174" s="16"/>
      <c r="G174" s="12"/>
      <c r="H174" s="12"/>
      <c r="I174" s="12"/>
      <c r="J174" s="12"/>
      <c r="K174" s="16"/>
    </row>
    <row r="175" spans="1:11" ht="15.75" customHeight="1" x14ac:dyDescent="0.15">
      <c r="A175" s="16"/>
      <c r="B175" s="51"/>
      <c r="C175" s="51"/>
      <c r="D175" s="16"/>
      <c r="E175" s="16"/>
      <c r="F175" s="16"/>
      <c r="G175" s="12"/>
      <c r="H175" s="12"/>
      <c r="I175" s="12"/>
      <c r="J175" s="12"/>
      <c r="K175" s="16"/>
    </row>
    <row r="176" spans="1:11" ht="15.75" customHeight="1" x14ac:dyDescent="0.15">
      <c r="A176" s="16"/>
      <c r="B176" s="51"/>
      <c r="C176" s="51"/>
      <c r="D176" s="16"/>
      <c r="E176" s="16"/>
      <c r="F176" s="16"/>
      <c r="G176" s="12"/>
      <c r="H176" s="12"/>
      <c r="I176" s="12"/>
      <c r="J176" s="12"/>
      <c r="K176" s="16"/>
    </row>
    <row r="177" spans="1:11" ht="15.75" customHeight="1" x14ac:dyDescent="0.15">
      <c r="A177" s="16"/>
      <c r="B177" s="51"/>
      <c r="C177" s="51"/>
      <c r="D177" s="16"/>
      <c r="E177" s="16"/>
      <c r="F177" s="16"/>
      <c r="G177" s="12"/>
      <c r="H177" s="12"/>
      <c r="I177" s="12"/>
      <c r="J177" s="12"/>
      <c r="K177" s="16"/>
    </row>
    <row r="178" spans="1:11" ht="15.75" customHeight="1" x14ac:dyDescent="0.15">
      <c r="A178" s="16"/>
      <c r="B178" s="51"/>
      <c r="C178" s="51"/>
      <c r="D178" s="16"/>
      <c r="E178" s="16"/>
      <c r="F178" s="16"/>
      <c r="G178" s="12"/>
      <c r="H178" s="12"/>
      <c r="I178" s="12"/>
      <c r="J178" s="12"/>
      <c r="K178" s="16"/>
    </row>
    <row r="179" spans="1:11" ht="15.75" customHeight="1" x14ac:dyDescent="0.15">
      <c r="A179" s="16"/>
      <c r="B179" s="51"/>
      <c r="C179" s="51"/>
      <c r="D179" s="16"/>
      <c r="E179" s="16"/>
      <c r="F179" s="16"/>
      <c r="G179" s="12"/>
      <c r="H179" s="12"/>
      <c r="I179" s="12"/>
      <c r="J179" s="12"/>
      <c r="K179" s="16"/>
    </row>
    <row r="180" spans="1:11" ht="15.75" customHeight="1" x14ac:dyDescent="0.15">
      <c r="A180" s="16"/>
      <c r="B180" s="51"/>
      <c r="C180" s="51"/>
      <c r="D180" s="16"/>
      <c r="E180" s="16"/>
      <c r="F180" s="16"/>
      <c r="G180" s="12"/>
      <c r="H180" s="12"/>
      <c r="I180" s="12"/>
      <c r="J180" s="12"/>
      <c r="K180" s="16"/>
    </row>
    <row r="181" spans="1:11" ht="15.75" customHeight="1" x14ac:dyDescent="0.15">
      <c r="A181" s="16"/>
      <c r="B181" s="51"/>
      <c r="C181" s="51"/>
      <c r="D181" s="16"/>
      <c r="E181" s="16"/>
      <c r="F181" s="16"/>
      <c r="G181" s="12"/>
      <c r="H181" s="12"/>
      <c r="I181" s="12"/>
      <c r="J181" s="12"/>
      <c r="K181" s="16"/>
    </row>
    <row r="182" spans="1:11" ht="15.75" customHeight="1" x14ac:dyDescent="0.15">
      <c r="A182" s="16"/>
      <c r="B182" s="51"/>
      <c r="C182" s="51"/>
      <c r="D182" s="16"/>
      <c r="E182" s="16"/>
      <c r="F182" s="16"/>
      <c r="G182" s="12"/>
      <c r="H182" s="12"/>
      <c r="I182" s="12"/>
      <c r="J182" s="12"/>
      <c r="K182" s="16"/>
    </row>
    <row r="183" spans="1:11" ht="15.75" customHeight="1" x14ac:dyDescent="0.15">
      <c r="A183" s="16"/>
      <c r="B183" s="51"/>
      <c r="C183" s="51"/>
      <c r="D183" s="16"/>
      <c r="E183" s="16"/>
      <c r="F183" s="16"/>
      <c r="G183" s="12"/>
      <c r="H183" s="12"/>
      <c r="I183" s="12"/>
      <c r="J183" s="12"/>
      <c r="K183" s="16"/>
    </row>
    <row r="184" spans="1:11" ht="15.75" customHeight="1" x14ac:dyDescent="0.15">
      <c r="A184" s="16"/>
      <c r="B184" s="51"/>
      <c r="C184" s="51"/>
      <c r="D184" s="16"/>
      <c r="E184" s="16"/>
      <c r="F184" s="16"/>
      <c r="G184" s="12"/>
      <c r="H184" s="12"/>
      <c r="I184" s="12"/>
      <c r="J184" s="12"/>
      <c r="K184" s="16"/>
    </row>
    <row r="185" spans="1:11" ht="15.75" customHeight="1" x14ac:dyDescent="0.15">
      <c r="A185" s="16"/>
      <c r="B185" s="51"/>
      <c r="C185" s="51"/>
      <c r="D185" s="16"/>
      <c r="E185" s="16"/>
      <c r="F185" s="16"/>
      <c r="G185" s="12"/>
      <c r="H185" s="12"/>
      <c r="I185" s="12"/>
      <c r="J185" s="12"/>
      <c r="K185" s="16"/>
    </row>
    <row r="186" spans="1:11" ht="15.75" customHeight="1" x14ac:dyDescent="0.15">
      <c r="A186" s="16"/>
      <c r="B186" s="51"/>
      <c r="C186" s="51"/>
      <c r="D186" s="16"/>
      <c r="E186" s="16"/>
      <c r="F186" s="16"/>
      <c r="G186" s="12"/>
      <c r="H186" s="12"/>
      <c r="I186" s="12"/>
      <c r="J186" s="12"/>
      <c r="K186" s="16"/>
    </row>
    <row r="187" spans="1:11" ht="15.75" customHeight="1" x14ac:dyDescent="0.15">
      <c r="A187" s="16"/>
      <c r="B187" s="51"/>
      <c r="C187" s="51"/>
      <c r="D187" s="16"/>
      <c r="E187" s="16"/>
      <c r="F187" s="16"/>
      <c r="G187" s="12"/>
      <c r="H187" s="12"/>
      <c r="I187" s="12"/>
      <c r="J187" s="12"/>
      <c r="K187" s="16"/>
    </row>
    <row r="188" spans="1:11" ht="15.75" customHeight="1" x14ac:dyDescent="0.15">
      <c r="A188" s="16"/>
      <c r="B188" s="51"/>
      <c r="C188" s="51"/>
      <c r="D188" s="16"/>
      <c r="E188" s="16"/>
      <c r="F188" s="16"/>
      <c r="G188" s="12"/>
      <c r="H188" s="12"/>
      <c r="I188" s="12"/>
      <c r="J188" s="12"/>
      <c r="K188" s="16"/>
    </row>
    <row r="189" spans="1:11" ht="15.75" customHeight="1" x14ac:dyDescent="0.15">
      <c r="A189" s="16"/>
      <c r="B189" s="51"/>
      <c r="C189" s="51"/>
      <c r="D189" s="16"/>
      <c r="E189" s="16"/>
      <c r="F189" s="16"/>
      <c r="G189" s="12"/>
      <c r="H189" s="12"/>
      <c r="I189" s="12"/>
      <c r="J189" s="12"/>
      <c r="K189" s="16"/>
    </row>
    <row r="190" spans="1:11" ht="15.75" customHeight="1" x14ac:dyDescent="0.15">
      <c r="A190" s="16"/>
      <c r="B190" s="51"/>
      <c r="C190" s="51"/>
      <c r="D190" s="16"/>
      <c r="E190" s="16"/>
      <c r="F190" s="16"/>
      <c r="G190" s="12"/>
      <c r="H190" s="12"/>
      <c r="I190" s="12"/>
      <c r="J190" s="12"/>
      <c r="K190" s="16"/>
    </row>
    <row r="191" spans="1:11" ht="15.75" customHeight="1" x14ac:dyDescent="0.15">
      <c r="A191" s="16"/>
      <c r="B191" s="51"/>
      <c r="C191" s="51"/>
      <c r="D191" s="16"/>
      <c r="E191" s="16"/>
      <c r="F191" s="16"/>
      <c r="G191" s="12"/>
      <c r="H191" s="12"/>
      <c r="I191" s="12"/>
      <c r="J191" s="12"/>
      <c r="K191" s="16"/>
    </row>
    <row r="192" spans="1:11" ht="15.75" customHeight="1" x14ac:dyDescent="0.15">
      <c r="A192" s="16"/>
      <c r="B192" s="51"/>
      <c r="C192" s="51"/>
      <c r="D192" s="16"/>
      <c r="E192" s="16"/>
      <c r="F192" s="16"/>
      <c r="G192" s="12"/>
      <c r="H192" s="12"/>
      <c r="I192" s="12"/>
      <c r="J192" s="12"/>
      <c r="K192" s="16"/>
    </row>
    <row r="193" spans="1:11" ht="15.75" customHeight="1" x14ac:dyDescent="0.15">
      <c r="A193" s="16"/>
      <c r="B193" s="51"/>
      <c r="C193" s="51"/>
      <c r="D193" s="16"/>
      <c r="E193" s="16"/>
      <c r="F193" s="16"/>
      <c r="G193" s="12"/>
      <c r="H193" s="12"/>
      <c r="I193" s="12"/>
      <c r="J193" s="12"/>
      <c r="K193" s="16"/>
    </row>
    <row r="194" spans="1:11" ht="15.75" customHeight="1" x14ac:dyDescent="0.15">
      <c r="A194" s="16"/>
      <c r="B194" s="51"/>
      <c r="C194" s="51"/>
      <c r="D194" s="16"/>
      <c r="E194" s="16"/>
      <c r="F194" s="16"/>
      <c r="G194" s="12"/>
      <c r="H194" s="12"/>
      <c r="I194" s="12"/>
      <c r="J194" s="12"/>
      <c r="K194" s="16"/>
    </row>
    <row r="195" spans="1:11" ht="15.75" customHeight="1" x14ac:dyDescent="0.15">
      <c r="A195" s="16"/>
      <c r="B195" s="51"/>
      <c r="C195" s="51"/>
      <c r="D195" s="16"/>
      <c r="E195" s="16"/>
      <c r="F195" s="16"/>
      <c r="G195" s="12"/>
      <c r="H195" s="12"/>
      <c r="I195" s="12"/>
      <c r="J195" s="12"/>
      <c r="K195" s="16"/>
    </row>
    <row r="196" spans="1:11" ht="15.75" customHeight="1" x14ac:dyDescent="0.15">
      <c r="A196" s="16"/>
      <c r="B196" s="51"/>
      <c r="C196" s="51"/>
      <c r="D196" s="16"/>
      <c r="E196" s="16"/>
      <c r="F196" s="16"/>
      <c r="G196" s="12"/>
      <c r="H196" s="12"/>
      <c r="I196" s="12"/>
      <c r="J196" s="12"/>
      <c r="K196" s="16"/>
    </row>
    <row r="197" spans="1:11" ht="15.75" customHeight="1" x14ac:dyDescent="0.15">
      <c r="A197" s="16"/>
      <c r="B197" s="51"/>
      <c r="C197" s="51"/>
      <c r="D197" s="16"/>
      <c r="E197" s="16"/>
      <c r="F197" s="16"/>
      <c r="G197" s="12"/>
      <c r="H197" s="12"/>
      <c r="I197" s="12"/>
      <c r="J197" s="12"/>
      <c r="K197" s="16"/>
    </row>
    <row r="198" spans="1:11" ht="15.75" customHeight="1" x14ac:dyDescent="0.15">
      <c r="A198" s="16"/>
      <c r="B198" s="51"/>
      <c r="C198" s="51"/>
      <c r="D198" s="16"/>
      <c r="E198" s="16"/>
      <c r="F198" s="16"/>
      <c r="G198" s="12"/>
      <c r="H198" s="12"/>
      <c r="I198" s="12"/>
      <c r="J198" s="12"/>
      <c r="K198" s="16"/>
    </row>
    <row r="199" spans="1:11" ht="15.75" customHeight="1" x14ac:dyDescent="0.15">
      <c r="A199" s="16"/>
      <c r="B199" s="51"/>
      <c r="C199" s="51"/>
      <c r="D199" s="16"/>
      <c r="E199" s="16"/>
      <c r="F199" s="16"/>
      <c r="G199" s="12"/>
      <c r="H199" s="12"/>
      <c r="I199" s="12"/>
      <c r="J199" s="12"/>
      <c r="K199" s="16"/>
    </row>
    <row r="200" spans="1:11" ht="15.75" customHeight="1" x14ac:dyDescent="0.15">
      <c r="A200" s="16"/>
      <c r="B200" s="51"/>
      <c r="C200" s="51"/>
      <c r="D200" s="16"/>
      <c r="E200" s="16"/>
      <c r="F200" s="16"/>
      <c r="G200" s="12"/>
      <c r="H200" s="12"/>
      <c r="I200" s="12"/>
      <c r="J200" s="12"/>
      <c r="K200" s="16"/>
    </row>
    <row r="201" spans="1:11" ht="15.75" customHeight="1" x14ac:dyDescent="0.15">
      <c r="A201" s="16"/>
      <c r="B201" s="51"/>
      <c r="C201" s="51"/>
      <c r="D201" s="16"/>
      <c r="E201" s="16"/>
      <c r="F201" s="16"/>
      <c r="G201" s="12"/>
      <c r="H201" s="12"/>
      <c r="I201" s="12"/>
      <c r="J201" s="12"/>
      <c r="K201" s="16"/>
    </row>
    <row r="202" spans="1:11" ht="15.75" customHeight="1" x14ac:dyDescent="0.15">
      <c r="A202" s="16"/>
      <c r="B202" s="51"/>
      <c r="C202" s="51"/>
      <c r="D202" s="16"/>
      <c r="E202" s="16"/>
      <c r="F202" s="16"/>
      <c r="G202" s="12"/>
      <c r="H202" s="12"/>
      <c r="I202" s="12"/>
      <c r="J202" s="12"/>
      <c r="K202" s="16"/>
    </row>
    <row r="203" spans="1:11" ht="15.75" customHeight="1" x14ac:dyDescent="0.15">
      <c r="A203" s="16"/>
      <c r="B203" s="51"/>
      <c r="C203" s="51"/>
      <c r="D203" s="16"/>
      <c r="E203" s="16"/>
      <c r="F203" s="16"/>
      <c r="G203" s="12"/>
      <c r="H203" s="12"/>
      <c r="I203" s="12"/>
      <c r="J203" s="12"/>
      <c r="K203" s="16"/>
    </row>
    <row r="204" spans="1:11" ht="15.75" customHeight="1" x14ac:dyDescent="0.15">
      <c r="A204" s="16"/>
      <c r="B204" s="51"/>
      <c r="C204" s="51"/>
      <c r="D204" s="16"/>
      <c r="E204" s="16"/>
      <c r="F204" s="16"/>
      <c r="G204" s="12"/>
      <c r="H204" s="12"/>
      <c r="I204" s="12"/>
      <c r="J204" s="12"/>
      <c r="K204" s="16"/>
    </row>
    <row r="205" spans="1:11" ht="15.75" customHeight="1" x14ac:dyDescent="0.15">
      <c r="A205" s="16"/>
      <c r="B205" s="51"/>
      <c r="C205" s="51"/>
      <c r="D205" s="16"/>
      <c r="E205" s="16"/>
      <c r="F205" s="16"/>
      <c r="G205" s="12"/>
      <c r="H205" s="12"/>
      <c r="I205" s="12"/>
      <c r="J205" s="12"/>
      <c r="K205" s="16"/>
    </row>
    <row r="206" spans="1:11" ht="15.75" customHeight="1" x14ac:dyDescent="0.15">
      <c r="A206" s="16"/>
      <c r="B206" s="51"/>
      <c r="C206" s="51"/>
      <c r="D206" s="16"/>
      <c r="E206" s="16"/>
      <c r="F206" s="16"/>
      <c r="G206" s="12"/>
      <c r="H206" s="12"/>
      <c r="I206" s="12"/>
      <c r="J206" s="12"/>
      <c r="K206" s="16"/>
    </row>
    <row r="207" spans="1:11" ht="15.75" customHeight="1" x14ac:dyDescent="0.15">
      <c r="A207" s="16"/>
      <c r="B207" s="51"/>
      <c r="C207" s="51"/>
      <c r="D207" s="16"/>
      <c r="E207" s="16"/>
      <c r="F207" s="16"/>
      <c r="G207" s="12"/>
      <c r="H207" s="12"/>
      <c r="I207" s="12"/>
      <c r="J207" s="12"/>
      <c r="K207" s="16"/>
    </row>
    <row r="208" spans="1:11" ht="15.75" customHeight="1" x14ac:dyDescent="0.15">
      <c r="A208" s="16"/>
      <c r="B208" s="51"/>
      <c r="C208" s="51"/>
      <c r="D208" s="16"/>
      <c r="E208" s="16"/>
      <c r="F208" s="16"/>
      <c r="G208" s="12"/>
      <c r="H208" s="12"/>
      <c r="I208" s="12"/>
      <c r="J208" s="12"/>
      <c r="K208" s="16"/>
    </row>
    <row r="209" spans="1:11" ht="15.75" customHeight="1" x14ac:dyDescent="0.15">
      <c r="A209" s="16"/>
      <c r="B209" s="51"/>
      <c r="C209" s="51"/>
      <c r="D209" s="16"/>
      <c r="E209" s="16"/>
      <c r="F209" s="16"/>
      <c r="G209" s="12"/>
      <c r="H209" s="12"/>
      <c r="I209" s="12"/>
      <c r="J209" s="12"/>
      <c r="K209" s="16"/>
    </row>
    <row r="210" spans="1:11" ht="15.75" customHeight="1" x14ac:dyDescent="0.15">
      <c r="A210" s="16"/>
      <c r="B210" s="51"/>
      <c r="C210" s="51"/>
      <c r="D210" s="16"/>
      <c r="E210" s="16"/>
      <c r="F210" s="16"/>
      <c r="G210" s="12"/>
      <c r="H210" s="12"/>
      <c r="I210" s="12"/>
      <c r="J210" s="12"/>
      <c r="K210" s="16"/>
    </row>
    <row r="211" spans="1:11" ht="15.75" customHeight="1" x14ac:dyDescent="0.15">
      <c r="A211" s="16"/>
      <c r="B211" s="51"/>
      <c r="C211" s="51"/>
      <c r="D211" s="16"/>
      <c r="E211" s="16"/>
      <c r="F211" s="16"/>
      <c r="G211" s="12"/>
      <c r="H211" s="12"/>
      <c r="I211" s="12"/>
      <c r="J211" s="12"/>
      <c r="K211" s="16"/>
    </row>
    <row r="212" spans="1:11" ht="15.75" customHeight="1" x14ac:dyDescent="0.15">
      <c r="A212" s="16"/>
      <c r="B212" s="51"/>
      <c r="C212" s="51"/>
      <c r="D212" s="16"/>
      <c r="E212" s="16"/>
      <c r="F212" s="16"/>
      <c r="G212" s="12"/>
      <c r="H212" s="12"/>
      <c r="I212" s="12"/>
      <c r="J212" s="12"/>
      <c r="K212" s="16"/>
    </row>
    <row r="213" spans="1:11" ht="15.75" customHeight="1" x14ac:dyDescent="0.15">
      <c r="A213" s="16"/>
      <c r="B213" s="51"/>
      <c r="C213" s="51"/>
      <c r="D213" s="16"/>
      <c r="E213" s="16"/>
      <c r="F213" s="16"/>
      <c r="G213" s="12"/>
      <c r="H213" s="12"/>
      <c r="I213" s="12"/>
      <c r="J213" s="12"/>
      <c r="K213" s="16"/>
    </row>
    <row r="214" spans="1:11" ht="15.75" customHeight="1" x14ac:dyDescent="0.15">
      <c r="A214" s="16"/>
      <c r="B214" s="51"/>
      <c r="C214" s="51"/>
      <c r="D214" s="16"/>
      <c r="E214" s="16"/>
      <c r="F214" s="16"/>
      <c r="G214" s="12"/>
      <c r="H214" s="12"/>
      <c r="I214" s="12"/>
      <c r="J214" s="12"/>
      <c r="K214" s="16"/>
    </row>
    <row r="215" spans="1:11" ht="15.75" customHeight="1" x14ac:dyDescent="0.15">
      <c r="A215" s="16"/>
      <c r="B215" s="51"/>
      <c r="C215" s="51"/>
      <c r="D215" s="16"/>
      <c r="E215" s="16"/>
      <c r="F215" s="16"/>
      <c r="G215" s="12"/>
      <c r="H215" s="12"/>
      <c r="I215" s="12"/>
      <c r="J215" s="12"/>
      <c r="K215" s="16"/>
    </row>
    <row r="216" spans="1:11" ht="15.75" customHeight="1" x14ac:dyDescent="0.15">
      <c r="A216" s="16"/>
      <c r="B216" s="51"/>
      <c r="C216" s="51"/>
      <c r="D216" s="16"/>
      <c r="E216" s="16"/>
      <c r="F216" s="16"/>
      <c r="G216" s="12"/>
      <c r="H216" s="12"/>
      <c r="I216" s="12"/>
      <c r="J216" s="12"/>
      <c r="K216" s="16"/>
    </row>
    <row r="217" spans="1:11" ht="15.75" customHeight="1" x14ac:dyDescent="0.15">
      <c r="A217" s="16"/>
      <c r="B217" s="51"/>
      <c r="C217" s="51"/>
      <c r="D217" s="16"/>
      <c r="E217" s="16"/>
      <c r="F217" s="16"/>
      <c r="G217" s="12"/>
      <c r="H217" s="12"/>
      <c r="I217" s="12"/>
      <c r="J217" s="12"/>
      <c r="K217" s="16"/>
    </row>
    <row r="218" spans="1:11" ht="15.75" customHeight="1" x14ac:dyDescent="0.15">
      <c r="A218" s="16"/>
      <c r="B218" s="51"/>
      <c r="C218" s="51"/>
      <c r="D218" s="16"/>
      <c r="E218" s="16"/>
      <c r="F218" s="16"/>
      <c r="G218" s="12"/>
      <c r="H218" s="12"/>
      <c r="I218" s="12"/>
      <c r="J218" s="12"/>
      <c r="K218" s="16"/>
    </row>
    <row r="219" spans="1:11" ht="15.75" customHeight="1" x14ac:dyDescent="0.15">
      <c r="A219" s="16"/>
      <c r="B219" s="51"/>
      <c r="C219" s="51"/>
      <c r="D219" s="16"/>
      <c r="E219" s="16"/>
      <c r="F219" s="16"/>
      <c r="G219" s="12"/>
      <c r="H219" s="12"/>
      <c r="I219" s="12"/>
      <c r="J219" s="12"/>
      <c r="K219" s="16"/>
    </row>
    <row r="220" spans="1:11" ht="15.75" customHeight="1" x14ac:dyDescent="0.15">
      <c r="A220" s="16"/>
      <c r="B220" s="51"/>
      <c r="C220" s="51"/>
      <c r="D220" s="16"/>
      <c r="E220" s="16"/>
      <c r="F220" s="16"/>
      <c r="G220" s="12"/>
      <c r="H220" s="12"/>
      <c r="I220" s="12"/>
      <c r="J220" s="12"/>
      <c r="K220" s="16"/>
    </row>
    <row r="221" spans="1:11" ht="15.75" customHeight="1" x14ac:dyDescent="0.15">
      <c r="A221" s="16"/>
      <c r="B221" s="51"/>
      <c r="C221" s="51"/>
      <c r="D221" s="16"/>
      <c r="E221" s="16"/>
      <c r="F221" s="16"/>
      <c r="G221" s="12"/>
      <c r="H221" s="12"/>
      <c r="I221" s="12"/>
      <c r="J221" s="12"/>
      <c r="K221" s="16"/>
    </row>
    <row r="222" spans="1:11" ht="15.75" customHeight="1" x14ac:dyDescent="0.15">
      <c r="A222" s="16"/>
      <c r="B222" s="51"/>
      <c r="C222" s="51"/>
      <c r="D222" s="16"/>
      <c r="E222" s="16"/>
      <c r="F222" s="16"/>
      <c r="G222" s="12"/>
      <c r="H222" s="12"/>
      <c r="I222" s="12"/>
      <c r="J222" s="12"/>
      <c r="K222" s="16"/>
    </row>
    <row r="223" spans="1:11" ht="15.75" customHeight="1" x14ac:dyDescent="0.15">
      <c r="A223" s="16"/>
      <c r="B223" s="51"/>
      <c r="C223" s="51"/>
      <c r="D223" s="16"/>
      <c r="E223" s="16"/>
      <c r="F223" s="16"/>
      <c r="G223" s="12"/>
      <c r="H223" s="12"/>
      <c r="I223" s="12"/>
      <c r="J223" s="12"/>
      <c r="K223" s="16"/>
    </row>
    <row r="224" spans="1:11" ht="15.75" customHeight="1" x14ac:dyDescent="0.15">
      <c r="A224" s="16"/>
      <c r="B224" s="51"/>
      <c r="C224" s="51"/>
      <c r="D224" s="16"/>
      <c r="E224" s="16"/>
      <c r="F224" s="16"/>
      <c r="G224" s="12"/>
      <c r="H224" s="12"/>
      <c r="I224" s="12"/>
      <c r="J224" s="12"/>
      <c r="K224" s="16"/>
    </row>
    <row r="225" spans="1:11" ht="15.75" customHeight="1" x14ac:dyDescent="0.15">
      <c r="A225" s="16"/>
      <c r="B225" s="51"/>
      <c r="C225" s="51"/>
      <c r="D225" s="16"/>
      <c r="E225" s="16"/>
      <c r="F225" s="16"/>
      <c r="G225" s="12"/>
      <c r="H225" s="12"/>
      <c r="I225" s="12"/>
      <c r="J225" s="12"/>
      <c r="K225" s="16"/>
    </row>
    <row r="226" spans="1:11" ht="15.75" customHeight="1" x14ac:dyDescent="0.15"/>
    <row r="227" spans="1:11" ht="15.75" customHeight="1" x14ac:dyDescent="0.15"/>
    <row r="228" spans="1:11" ht="15.75" customHeight="1" x14ac:dyDescent="0.15"/>
    <row r="229" spans="1:11" ht="15.75" customHeight="1" x14ac:dyDescent="0.15"/>
    <row r="230" spans="1:11" ht="15.75" customHeight="1" x14ac:dyDescent="0.15"/>
    <row r="231" spans="1:11" ht="15.75" customHeight="1" x14ac:dyDescent="0.15"/>
    <row r="232" spans="1:11" ht="15.75" customHeight="1" x14ac:dyDescent="0.15"/>
    <row r="233" spans="1:11" ht="15.75" customHeight="1" x14ac:dyDescent="0.15"/>
    <row r="234" spans="1:11" ht="15.75" customHeight="1" x14ac:dyDescent="0.15"/>
    <row r="235" spans="1:11" ht="15.75" customHeight="1" x14ac:dyDescent="0.15"/>
    <row r="236" spans="1:11" ht="15.75" customHeight="1" x14ac:dyDescent="0.15"/>
    <row r="237" spans="1:11" ht="15.75" customHeight="1" x14ac:dyDescent="0.15"/>
    <row r="238" spans="1:11" ht="15.75" customHeight="1" x14ac:dyDescent="0.15"/>
    <row r="239" spans="1:11" ht="15.75" customHeight="1" x14ac:dyDescent="0.15"/>
    <row r="240" spans="1:11"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hyperlinks>
    <hyperlink ref="A2" r:id="rId1" xr:uid="{00000000-0004-0000-0D00-000000000000}"/>
  </hyperlink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N1000"/>
  <sheetViews>
    <sheetView workbookViewId="0"/>
  </sheetViews>
  <sheetFormatPr baseColWidth="10" defaultColWidth="14.5" defaultRowHeight="15" customHeight="1" x14ac:dyDescent="0.15"/>
  <cols>
    <col min="1" max="1" width="16.6640625" customWidth="1"/>
    <col min="2" max="2" width="19.1640625" customWidth="1"/>
    <col min="3" max="3" width="16.1640625" customWidth="1"/>
    <col min="4" max="4" width="13.5" customWidth="1"/>
    <col min="5" max="6" width="14.5" customWidth="1"/>
    <col min="7" max="7" width="9.1640625" customWidth="1"/>
    <col min="8" max="8" width="35.5" customWidth="1"/>
    <col min="9" max="9" width="18.33203125" customWidth="1"/>
    <col min="10" max="10" width="6.5" customWidth="1"/>
    <col min="11" max="11" width="32.83203125" customWidth="1"/>
    <col min="12" max="12" width="18.1640625" customWidth="1"/>
    <col min="13" max="13" width="6.5" customWidth="1"/>
    <col min="14" max="14" width="49.33203125" customWidth="1"/>
  </cols>
  <sheetData>
    <row r="1" spans="1:14" ht="15.75" customHeight="1" x14ac:dyDescent="0.15">
      <c r="A1" s="38" t="s">
        <v>658</v>
      </c>
      <c r="B1" s="39"/>
      <c r="C1" s="39"/>
      <c r="D1" s="3"/>
      <c r="E1" s="3"/>
      <c r="F1" s="3"/>
      <c r="G1" s="40"/>
      <c r="H1" s="38" t="s">
        <v>659</v>
      </c>
      <c r="I1" s="40"/>
      <c r="J1" s="40"/>
      <c r="K1" s="40"/>
      <c r="L1" s="40"/>
      <c r="M1" s="40"/>
      <c r="N1" s="2"/>
    </row>
    <row r="2" spans="1:14" ht="15.75" customHeight="1" x14ac:dyDescent="0.15">
      <c r="A2" s="129" t="s">
        <v>660</v>
      </c>
      <c r="B2" s="43"/>
      <c r="C2" s="43"/>
      <c r="D2" s="16"/>
      <c r="E2" s="16"/>
      <c r="F2" s="16"/>
      <c r="G2" s="12"/>
      <c r="H2" s="44" t="s">
        <v>73</v>
      </c>
      <c r="I2" s="45"/>
      <c r="J2" s="12"/>
      <c r="K2" s="44" t="s">
        <v>74</v>
      </c>
      <c r="L2" s="45"/>
      <c r="M2" s="12"/>
      <c r="N2" s="44" t="s">
        <v>76</v>
      </c>
    </row>
    <row r="3" spans="1:14" ht="15.75" customHeight="1" x14ac:dyDescent="0.15">
      <c r="A3" s="7" t="s">
        <v>18</v>
      </c>
      <c r="B3" s="7" t="s">
        <v>77</v>
      </c>
      <c r="C3" s="7" t="s">
        <v>78</v>
      </c>
      <c r="D3" s="47" t="s">
        <v>79</v>
      </c>
      <c r="E3" s="47" t="s">
        <v>80</v>
      </c>
      <c r="F3" s="48" t="s">
        <v>81</v>
      </c>
      <c r="G3" s="12"/>
      <c r="H3" s="49" t="s">
        <v>82</v>
      </c>
      <c r="I3" s="50" t="s">
        <v>83</v>
      </c>
      <c r="J3" s="12"/>
      <c r="K3" s="49" t="s">
        <v>514</v>
      </c>
      <c r="L3" s="50" t="s">
        <v>661</v>
      </c>
      <c r="M3" s="12"/>
      <c r="N3" s="51" t="s">
        <v>662</v>
      </c>
    </row>
    <row r="4" spans="1:14" ht="15.75" customHeight="1" x14ac:dyDescent="0.15">
      <c r="A4" s="16">
        <v>1</v>
      </c>
      <c r="B4" s="43" t="s">
        <v>83</v>
      </c>
      <c r="C4" s="43" t="s">
        <v>663</v>
      </c>
      <c r="D4" s="15">
        <v>2.99</v>
      </c>
      <c r="E4" s="15">
        <v>19.989999999999998</v>
      </c>
      <c r="F4" s="15">
        <f t="shared" ref="F4:F27" si="0">IFERROR(D4+E4,"error")</f>
        <v>22.979999999999997</v>
      </c>
      <c r="G4" s="12"/>
      <c r="H4" s="52" t="s">
        <v>91</v>
      </c>
      <c r="I4" s="53">
        <v>2000000</v>
      </c>
      <c r="J4" s="12"/>
      <c r="K4" s="52" t="s">
        <v>518</v>
      </c>
      <c r="L4" s="53">
        <v>3</v>
      </c>
      <c r="M4" s="12"/>
      <c r="N4" s="15"/>
    </row>
    <row r="5" spans="1:14" ht="15.75" customHeight="1" x14ac:dyDescent="0.15">
      <c r="A5" s="16">
        <v>2</v>
      </c>
      <c r="B5" s="43"/>
      <c r="C5" s="43" t="s">
        <v>664</v>
      </c>
      <c r="D5" s="15">
        <v>0</v>
      </c>
      <c r="E5" s="15">
        <v>0</v>
      </c>
      <c r="F5" s="15">
        <f t="shared" si="0"/>
        <v>0</v>
      </c>
      <c r="G5" s="12"/>
      <c r="H5" s="52" t="s">
        <v>97</v>
      </c>
      <c r="I5" s="54">
        <v>5</v>
      </c>
      <c r="J5" s="12"/>
      <c r="K5" s="55" t="s">
        <v>139</v>
      </c>
      <c r="L5" s="56">
        <v>2.99</v>
      </c>
      <c r="M5" s="12"/>
      <c r="N5" s="15"/>
    </row>
    <row r="6" spans="1:14" ht="15.75" customHeight="1" x14ac:dyDescent="0.15">
      <c r="A6" s="16">
        <v>3</v>
      </c>
      <c r="B6" s="43"/>
      <c r="C6" s="43" t="s">
        <v>665</v>
      </c>
      <c r="D6" s="15">
        <v>0</v>
      </c>
      <c r="E6" s="15">
        <v>0</v>
      </c>
      <c r="F6" s="15">
        <f t="shared" si="0"/>
        <v>0</v>
      </c>
      <c r="G6" s="12"/>
      <c r="H6" s="139" t="s">
        <v>524</v>
      </c>
      <c r="I6" s="59">
        <f>I5/I4</f>
        <v>2.5000000000000002E-6</v>
      </c>
      <c r="J6" s="12"/>
      <c r="K6" s="58" t="s">
        <v>525</v>
      </c>
      <c r="L6" s="59">
        <f>IF(L4="N/A","N/A",L5/L4)</f>
        <v>0.9966666666666667</v>
      </c>
      <c r="M6" s="12"/>
      <c r="N6" s="34"/>
    </row>
    <row r="7" spans="1:14" ht="15.75" customHeight="1" x14ac:dyDescent="0.15">
      <c r="A7" s="16">
        <v>4</v>
      </c>
      <c r="B7" s="43"/>
      <c r="C7" s="43" t="s">
        <v>666</v>
      </c>
      <c r="D7" s="15">
        <v>0</v>
      </c>
      <c r="E7" s="15">
        <v>0</v>
      </c>
      <c r="F7" s="15">
        <f t="shared" si="0"/>
        <v>0</v>
      </c>
      <c r="G7" s="12"/>
      <c r="H7" s="61"/>
      <c r="I7" s="62"/>
      <c r="J7" s="12"/>
      <c r="K7" s="58" t="s">
        <v>528</v>
      </c>
      <c r="L7" s="59">
        <f>L6/24</f>
        <v>4.1527777777777782E-2</v>
      </c>
      <c r="M7" s="12"/>
      <c r="N7" s="15"/>
    </row>
    <row r="8" spans="1:14" ht="15.75" customHeight="1" x14ac:dyDescent="0.15">
      <c r="A8" s="16">
        <v>5</v>
      </c>
      <c r="B8" s="43" t="s">
        <v>83</v>
      </c>
      <c r="C8" s="43" t="s">
        <v>667</v>
      </c>
      <c r="D8" s="15">
        <v>5.99</v>
      </c>
      <c r="E8" s="15">
        <v>0</v>
      </c>
      <c r="F8" s="15">
        <f t="shared" si="0"/>
        <v>5.99</v>
      </c>
      <c r="G8" s="12"/>
      <c r="H8" s="49" t="s">
        <v>110</v>
      </c>
      <c r="I8" s="50" t="s">
        <v>111</v>
      </c>
      <c r="J8" s="12"/>
      <c r="K8" s="24"/>
      <c r="L8" s="24"/>
      <c r="M8" s="12"/>
      <c r="N8" s="63"/>
    </row>
    <row r="9" spans="1:14" ht="15.75" customHeight="1" x14ac:dyDescent="0.15">
      <c r="A9" s="16">
        <v>6</v>
      </c>
      <c r="B9" s="43"/>
      <c r="C9" s="43" t="s">
        <v>83</v>
      </c>
      <c r="D9" s="15">
        <v>0</v>
      </c>
      <c r="E9" s="15">
        <v>1.99</v>
      </c>
      <c r="F9" s="15">
        <f t="shared" si="0"/>
        <v>1.99</v>
      </c>
      <c r="G9" s="12"/>
      <c r="H9" s="52" t="s">
        <v>117</v>
      </c>
      <c r="I9" s="53" t="s">
        <v>111</v>
      </c>
      <c r="J9" s="12"/>
      <c r="K9" s="49" t="s">
        <v>532</v>
      </c>
      <c r="L9" s="50" t="s">
        <v>668</v>
      </c>
      <c r="M9" s="12"/>
      <c r="N9" s="15"/>
    </row>
    <row r="10" spans="1:14" ht="15.75" customHeight="1" x14ac:dyDescent="0.15">
      <c r="A10" s="16">
        <v>7</v>
      </c>
      <c r="B10" s="43"/>
      <c r="C10" s="43" t="s">
        <v>669</v>
      </c>
      <c r="D10" s="15">
        <v>0</v>
      </c>
      <c r="E10" s="15">
        <f>(12*L19)</f>
        <v>0.33166666666666667</v>
      </c>
      <c r="F10" s="15">
        <f t="shared" si="0"/>
        <v>0.33166666666666667</v>
      </c>
      <c r="G10" s="12"/>
      <c r="H10" s="55" t="s">
        <v>121</v>
      </c>
      <c r="I10" s="56" t="s">
        <v>111</v>
      </c>
      <c r="J10" s="12"/>
      <c r="K10" s="52" t="s">
        <v>518</v>
      </c>
      <c r="L10" s="53">
        <v>3</v>
      </c>
      <c r="M10" s="12"/>
      <c r="N10" s="15"/>
    </row>
    <row r="11" spans="1:14" ht="15.75" customHeight="1" x14ac:dyDescent="0.15">
      <c r="A11" s="16">
        <v>8</v>
      </c>
      <c r="B11" s="43"/>
      <c r="C11" s="43" t="s">
        <v>666</v>
      </c>
      <c r="D11" s="15">
        <v>0</v>
      </c>
      <c r="E11" s="15">
        <v>0</v>
      </c>
      <c r="F11" s="15">
        <f t="shared" si="0"/>
        <v>0</v>
      </c>
      <c r="G11" s="12"/>
      <c r="H11" s="58" t="s">
        <v>104</v>
      </c>
      <c r="I11" s="59" t="str">
        <f>IF(I9="N/A","N/A",I10/I9)</f>
        <v>N/A</v>
      </c>
      <c r="J11" s="12"/>
      <c r="K11" s="55" t="s">
        <v>139</v>
      </c>
      <c r="L11" s="56">
        <v>0.99</v>
      </c>
      <c r="M11" s="12"/>
      <c r="N11" s="15"/>
    </row>
    <row r="12" spans="1:14" ht="15.75" customHeight="1" x14ac:dyDescent="0.15">
      <c r="A12" s="16">
        <v>9</v>
      </c>
      <c r="B12" s="43"/>
      <c r="C12" s="43" t="s">
        <v>670</v>
      </c>
      <c r="D12" s="15">
        <v>0</v>
      </c>
      <c r="E12" s="15">
        <v>0</v>
      </c>
      <c r="F12" s="15">
        <f t="shared" si="0"/>
        <v>0</v>
      </c>
      <c r="G12" s="12"/>
      <c r="H12" s="52"/>
      <c r="I12" s="56"/>
      <c r="J12" s="12"/>
      <c r="K12" s="58" t="s">
        <v>525</v>
      </c>
      <c r="L12" s="59">
        <f>IF(L10="N/A","N/A",L11/L10)</f>
        <v>0.33</v>
      </c>
      <c r="M12" s="12"/>
      <c r="N12" s="15"/>
    </row>
    <row r="13" spans="1:14" ht="15.75" customHeight="1" x14ac:dyDescent="0.15">
      <c r="A13" s="16">
        <v>10</v>
      </c>
      <c r="B13" s="43" t="s">
        <v>666</v>
      </c>
      <c r="C13" s="43" t="s">
        <v>671</v>
      </c>
      <c r="D13" s="15">
        <v>0</v>
      </c>
      <c r="E13" s="15">
        <v>0</v>
      </c>
      <c r="F13" s="15">
        <f t="shared" si="0"/>
        <v>0</v>
      </c>
      <c r="G13" s="12"/>
      <c r="H13" s="24"/>
      <c r="I13" s="24"/>
      <c r="J13" s="12"/>
      <c r="K13" s="58" t="s">
        <v>528</v>
      </c>
      <c r="L13" s="59">
        <f>L12/24</f>
        <v>1.375E-2</v>
      </c>
      <c r="M13" s="12"/>
      <c r="N13" s="34"/>
    </row>
    <row r="14" spans="1:14" ht="15.75" customHeight="1" x14ac:dyDescent="0.15">
      <c r="A14" s="16">
        <v>11</v>
      </c>
      <c r="B14" s="43"/>
      <c r="C14" s="43" t="s">
        <v>666</v>
      </c>
      <c r="D14" s="15">
        <v>0</v>
      </c>
      <c r="E14" s="15">
        <v>0</v>
      </c>
      <c r="F14" s="15">
        <f t="shared" si="0"/>
        <v>0</v>
      </c>
      <c r="G14" s="12"/>
      <c r="H14" s="24"/>
      <c r="I14" s="24"/>
      <c r="J14" s="12"/>
      <c r="K14" s="24"/>
      <c r="L14" s="24"/>
      <c r="M14" s="12"/>
      <c r="N14" s="66"/>
    </row>
    <row r="15" spans="1:14" ht="15.75" customHeight="1" x14ac:dyDescent="0.15">
      <c r="A15" s="16">
        <v>12</v>
      </c>
      <c r="B15" s="43"/>
      <c r="C15" s="43" t="s">
        <v>666</v>
      </c>
      <c r="D15" s="15">
        <v>0</v>
      </c>
      <c r="E15" s="15">
        <v>0</v>
      </c>
      <c r="F15" s="15">
        <f t="shared" si="0"/>
        <v>0</v>
      </c>
      <c r="G15" s="12"/>
      <c r="H15" s="24"/>
      <c r="I15" s="24"/>
      <c r="J15" s="12"/>
      <c r="K15" s="49" t="s">
        <v>540</v>
      </c>
      <c r="L15" s="50" t="s">
        <v>672</v>
      </c>
      <c r="M15" s="12"/>
      <c r="N15" s="16"/>
    </row>
    <row r="16" spans="1:14" ht="15.75" customHeight="1" x14ac:dyDescent="0.15">
      <c r="A16" s="16">
        <v>13</v>
      </c>
      <c r="B16" s="43"/>
      <c r="C16" s="43" t="s">
        <v>673</v>
      </c>
      <c r="D16" s="15">
        <v>0</v>
      </c>
      <c r="E16" s="15">
        <v>0</v>
      </c>
      <c r="F16" s="15">
        <f t="shared" si="0"/>
        <v>0</v>
      </c>
      <c r="G16" s="12"/>
      <c r="H16" s="24"/>
      <c r="I16" s="24"/>
      <c r="J16" s="12"/>
      <c r="K16" s="52" t="s">
        <v>518</v>
      </c>
      <c r="L16" s="53">
        <v>3</v>
      </c>
      <c r="M16" s="12"/>
      <c r="N16" s="16"/>
    </row>
    <row r="17" spans="1:14" ht="15.75" customHeight="1" x14ac:dyDescent="0.15">
      <c r="A17" s="16">
        <v>14</v>
      </c>
      <c r="B17" s="43"/>
      <c r="C17" s="43" t="s">
        <v>670</v>
      </c>
      <c r="D17" s="15">
        <v>0</v>
      </c>
      <c r="E17" s="15">
        <v>0</v>
      </c>
      <c r="F17" s="15">
        <f t="shared" si="0"/>
        <v>0</v>
      </c>
      <c r="G17" s="12"/>
      <c r="H17" s="24"/>
      <c r="I17" s="24"/>
      <c r="J17" s="12"/>
      <c r="K17" s="55" t="s">
        <v>139</v>
      </c>
      <c r="L17" s="56">
        <v>1.99</v>
      </c>
      <c r="M17" s="12"/>
      <c r="N17" s="16"/>
    </row>
    <row r="18" spans="1:14" ht="15.75" customHeight="1" x14ac:dyDescent="0.15">
      <c r="A18" s="16">
        <v>15</v>
      </c>
      <c r="B18" s="43" t="s">
        <v>83</v>
      </c>
      <c r="C18" s="43" t="s">
        <v>674</v>
      </c>
      <c r="D18" s="15">
        <v>0.99</v>
      </c>
      <c r="E18" s="15">
        <v>0</v>
      </c>
      <c r="F18" s="15">
        <f t="shared" si="0"/>
        <v>0.99</v>
      </c>
      <c r="G18" s="12"/>
      <c r="H18" s="24"/>
      <c r="I18" s="24"/>
      <c r="J18" s="12"/>
      <c r="K18" s="58" t="s">
        <v>525</v>
      </c>
      <c r="L18" s="59">
        <f>IF(L16="N/A","N/A",L17/L16)</f>
        <v>0.66333333333333333</v>
      </c>
      <c r="M18" s="12"/>
      <c r="N18" s="16"/>
    </row>
    <row r="19" spans="1:14" ht="15.75" customHeight="1" x14ac:dyDescent="0.15">
      <c r="A19" s="16">
        <v>16</v>
      </c>
      <c r="B19" s="43"/>
      <c r="C19" s="43" t="s">
        <v>83</v>
      </c>
      <c r="D19" s="15">
        <v>0</v>
      </c>
      <c r="E19" s="15">
        <v>1.99</v>
      </c>
      <c r="F19" s="15">
        <f t="shared" si="0"/>
        <v>1.99</v>
      </c>
      <c r="G19" s="12"/>
      <c r="H19" s="24"/>
      <c r="I19" s="24"/>
      <c r="J19" s="12"/>
      <c r="K19" s="58" t="s">
        <v>528</v>
      </c>
      <c r="L19" s="59">
        <f>L18/24</f>
        <v>2.763888888888889E-2</v>
      </c>
      <c r="M19" s="12"/>
      <c r="N19" s="16"/>
    </row>
    <row r="20" spans="1:14" ht="15.75" customHeight="1" x14ac:dyDescent="0.15">
      <c r="A20" s="16">
        <v>17</v>
      </c>
      <c r="B20" s="43"/>
      <c r="C20" s="43" t="s">
        <v>675</v>
      </c>
      <c r="D20" s="15">
        <v>0</v>
      </c>
      <c r="E20" s="15">
        <f>(12*L13)</f>
        <v>0.16500000000000001</v>
      </c>
      <c r="F20" s="15">
        <f t="shared" si="0"/>
        <v>0.16500000000000001</v>
      </c>
      <c r="G20" s="12"/>
      <c r="H20" s="24"/>
      <c r="I20" s="24"/>
      <c r="J20" s="12"/>
      <c r="K20" s="12"/>
      <c r="L20" s="24"/>
      <c r="M20" s="12"/>
      <c r="N20" s="16"/>
    </row>
    <row r="21" spans="1:14" ht="15.75" customHeight="1" x14ac:dyDescent="0.15">
      <c r="A21" s="16">
        <v>18</v>
      </c>
      <c r="B21" s="43"/>
      <c r="C21" s="43" t="s">
        <v>666</v>
      </c>
      <c r="D21" s="15">
        <v>0</v>
      </c>
      <c r="E21" s="15">
        <v>0</v>
      </c>
      <c r="F21" s="15">
        <f t="shared" si="0"/>
        <v>0</v>
      </c>
      <c r="G21" s="12"/>
      <c r="H21" s="24"/>
      <c r="I21" s="24"/>
      <c r="J21" s="68"/>
      <c r="K21" s="49" t="s">
        <v>676</v>
      </c>
      <c r="L21" s="50" t="s">
        <v>677</v>
      </c>
      <c r="M21" s="68"/>
      <c r="N21" s="16"/>
    </row>
    <row r="22" spans="1:14" ht="15.75" customHeight="1" x14ac:dyDescent="0.15">
      <c r="A22" s="16">
        <v>19</v>
      </c>
      <c r="B22" s="43"/>
      <c r="C22" s="43" t="s">
        <v>673</v>
      </c>
      <c r="D22" s="15">
        <v>0</v>
      </c>
      <c r="E22" s="15">
        <v>0</v>
      </c>
      <c r="F22" s="15">
        <f t="shared" si="0"/>
        <v>0</v>
      </c>
      <c r="G22" s="12"/>
      <c r="H22" s="24"/>
      <c r="I22" s="24"/>
      <c r="J22" s="68"/>
      <c r="K22" s="52" t="s">
        <v>518</v>
      </c>
      <c r="L22" s="53">
        <v>3</v>
      </c>
      <c r="M22" s="68"/>
      <c r="N22" s="16"/>
    </row>
    <row r="23" spans="1:14" ht="15.75" customHeight="1" x14ac:dyDescent="0.15">
      <c r="A23" s="16">
        <v>20</v>
      </c>
      <c r="B23" s="43" t="s">
        <v>678</v>
      </c>
      <c r="C23" s="43" t="s">
        <v>679</v>
      </c>
      <c r="D23" s="15">
        <v>0</v>
      </c>
      <c r="E23" s="15">
        <v>0</v>
      </c>
      <c r="F23" s="15">
        <f t="shared" si="0"/>
        <v>0</v>
      </c>
      <c r="G23" s="12"/>
      <c r="H23" s="24"/>
      <c r="I23" s="24"/>
      <c r="J23" s="68"/>
      <c r="K23" s="55" t="s">
        <v>139</v>
      </c>
      <c r="L23" s="56">
        <v>3.99</v>
      </c>
      <c r="M23" s="68"/>
      <c r="N23" s="16"/>
    </row>
    <row r="24" spans="1:14" ht="15.75" customHeight="1" x14ac:dyDescent="0.15">
      <c r="A24" s="16">
        <v>21</v>
      </c>
      <c r="B24" s="43"/>
      <c r="C24" s="43" t="s">
        <v>666</v>
      </c>
      <c r="D24" s="15">
        <v>0</v>
      </c>
      <c r="E24" s="15">
        <v>0</v>
      </c>
      <c r="F24" s="15">
        <f t="shared" si="0"/>
        <v>0</v>
      </c>
      <c r="G24" s="12"/>
      <c r="H24" s="24"/>
      <c r="I24" s="24"/>
      <c r="J24" s="68"/>
      <c r="K24" s="58" t="s">
        <v>525</v>
      </c>
      <c r="L24" s="59">
        <f>IF(L22="N/A","N/A",L23/L22)</f>
        <v>1.33</v>
      </c>
      <c r="M24" s="68"/>
      <c r="N24" s="16"/>
    </row>
    <row r="25" spans="1:14" ht="15.75" customHeight="1" x14ac:dyDescent="0.15">
      <c r="A25" s="16">
        <v>22</v>
      </c>
      <c r="B25" s="43"/>
      <c r="C25" s="43" t="s">
        <v>666</v>
      </c>
      <c r="D25" s="15">
        <v>0</v>
      </c>
      <c r="E25" s="15">
        <v>0</v>
      </c>
      <c r="F25" s="15">
        <f t="shared" si="0"/>
        <v>0</v>
      </c>
      <c r="G25" s="12"/>
      <c r="H25" s="24"/>
      <c r="I25" s="24"/>
      <c r="J25" s="68"/>
      <c r="K25" s="58" t="s">
        <v>528</v>
      </c>
      <c r="L25" s="59">
        <f>L24/24</f>
        <v>5.541666666666667E-2</v>
      </c>
      <c r="M25" s="68"/>
      <c r="N25" s="16"/>
    </row>
    <row r="26" spans="1:14" ht="15.75" customHeight="1" x14ac:dyDescent="0.15">
      <c r="A26" s="16">
        <v>23</v>
      </c>
      <c r="B26" s="43"/>
      <c r="C26" s="43" t="s">
        <v>670</v>
      </c>
      <c r="D26" s="15">
        <v>0</v>
      </c>
      <c r="E26" s="15">
        <v>0</v>
      </c>
      <c r="F26" s="15">
        <f t="shared" si="0"/>
        <v>0</v>
      </c>
      <c r="G26" s="12"/>
      <c r="H26" s="24"/>
      <c r="I26" s="24"/>
      <c r="J26" s="12"/>
      <c r="K26" s="12"/>
      <c r="L26" s="12"/>
      <c r="M26" s="12"/>
      <c r="N26" s="16"/>
    </row>
    <row r="27" spans="1:14" ht="15.75" customHeight="1" x14ac:dyDescent="0.15">
      <c r="A27" s="16">
        <v>24</v>
      </c>
      <c r="B27" s="43"/>
      <c r="C27" s="43" t="s">
        <v>673</v>
      </c>
      <c r="D27" s="15">
        <v>0</v>
      </c>
      <c r="E27" s="15">
        <v>0</v>
      </c>
      <c r="F27" s="15">
        <f t="shared" si="0"/>
        <v>0</v>
      </c>
      <c r="G27" s="12"/>
      <c r="H27" s="24"/>
      <c r="I27" s="24"/>
      <c r="J27" s="12"/>
      <c r="K27" s="58" t="s">
        <v>168</v>
      </c>
      <c r="L27" s="60">
        <f>AVERAGE(L6,L12,L18,L24)</f>
        <v>0.83000000000000007</v>
      </c>
      <c r="M27" s="12"/>
      <c r="N27" s="16"/>
    </row>
    <row r="28" spans="1:14" ht="15.75" customHeight="1" x14ac:dyDescent="0.15">
      <c r="A28" s="16">
        <v>25</v>
      </c>
      <c r="B28" s="43" t="s">
        <v>83</v>
      </c>
      <c r="C28" s="43" t="s">
        <v>674</v>
      </c>
      <c r="D28" s="15">
        <v>0.99</v>
      </c>
      <c r="E28" s="15">
        <v>0</v>
      </c>
      <c r="F28" s="15" t="str">
        <f>IFERROR(#REF!+E28,"error")</f>
        <v>error</v>
      </c>
      <c r="G28" s="12"/>
      <c r="H28" s="24"/>
      <c r="I28" s="24"/>
      <c r="J28" s="12"/>
      <c r="K28" s="12"/>
      <c r="L28" s="12"/>
      <c r="M28" s="12"/>
      <c r="N28" s="16"/>
    </row>
    <row r="29" spans="1:14" ht="15.75" customHeight="1" x14ac:dyDescent="0.15">
      <c r="A29" s="16">
        <v>26</v>
      </c>
      <c r="B29" s="43"/>
      <c r="C29" s="43" t="s">
        <v>680</v>
      </c>
      <c r="D29" s="15">
        <v>0</v>
      </c>
      <c r="E29" s="15">
        <v>0</v>
      </c>
      <c r="F29" s="15">
        <f t="shared" ref="F29:F104" si="1">IFERROR(D28+E29,"error")</f>
        <v>0.99</v>
      </c>
      <c r="G29" s="12"/>
      <c r="H29" s="24"/>
      <c r="I29" s="24"/>
      <c r="J29" s="12"/>
      <c r="K29" s="12"/>
      <c r="L29" s="12"/>
      <c r="M29" s="12"/>
      <c r="N29" s="16"/>
    </row>
    <row r="30" spans="1:14" ht="15.75" customHeight="1" x14ac:dyDescent="0.15">
      <c r="A30" s="16">
        <v>27</v>
      </c>
      <c r="B30" s="43"/>
      <c r="C30" s="43" t="s">
        <v>83</v>
      </c>
      <c r="D30" s="15">
        <v>0</v>
      </c>
      <c r="E30" s="15">
        <v>1.99</v>
      </c>
      <c r="F30" s="15">
        <f t="shared" si="1"/>
        <v>1.99</v>
      </c>
      <c r="G30" s="12"/>
      <c r="H30" s="24"/>
      <c r="I30" s="24"/>
      <c r="J30" s="12"/>
      <c r="K30" s="12"/>
      <c r="L30" s="12"/>
      <c r="M30" s="12"/>
      <c r="N30" s="16"/>
    </row>
    <row r="31" spans="1:14" ht="15.75" customHeight="1" x14ac:dyDescent="0.15">
      <c r="A31" s="16">
        <v>28</v>
      </c>
      <c r="B31" s="43"/>
      <c r="C31" s="43" t="s">
        <v>666</v>
      </c>
      <c r="D31" s="15">
        <v>0</v>
      </c>
      <c r="E31" s="15">
        <v>0</v>
      </c>
      <c r="F31" s="15">
        <f t="shared" si="1"/>
        <v>0</v>
      </c>
      <c r="G31" s="12"/>
      <c r="H31" s="24"/>
      <c r="I31" s="24"/>
      <c r="J31" s="12"/>
      <c r="K31" s="12"/>
      <c r="L31" s="12"/>
      <c r="M31" s="12"/>
      <c r="N31" s="16"/>
    </row>
    <row r="32" spans="1:14" ht="15.75" customHeight="1" x14ac:dyDescent="0.15">
      <c r="A32" s="16">
        <v>29</v>
      </c>
      <c r="B32" s="43"/>
      <c r="C32" s="43" t="s">
        <v>681</v>
      </c>
      <c r="D32" s="15">
        <v>0</v>
      </c>
      <c r="E32" s="15">
        <f>(12*L7)</f>
        <v>0.49833333333333341</v>
      </c>
      <c r="F32" s="15">
        <f t="shared" si="1"/>
        <v>0.49833333333333341</v>
      </c>
      <c r="G32" s="12"/>
      <c r="H32" s="24"/>
      <c r="I32" s="24"/>
      <c r="J32" s="12"/>
      <c r="K32" s="12"/>
      <c r="L32" s="12"/>
      <c r="M32" s="12"/>
      <c r="N32" s="16"/>
    </row>
    <row r="33" spans="1:14" ht="15.75" customHeight="1" x14ac:dyDescent="0.15">
      <c r="A33" s="16">
        <v>30</v>
      </c>
      <c r="B33" s="43" t="s">
        <v>682</v>
      </c>
      <c r="C33" s="43" t="s">
        <v>83</v>
      </c>
      <c r="D33" s="15">
        <v>0</v>
      </c>
      <c r="E33" s="15">
        <v>9.99</v>
      </c>
      <c r="F33" s="15">
        <f t="shared" si="1"/>
        <v>9.99</v>
      </c>
      <c r="G33" s="12"/>
      <c r="H33" s="24"/>
      <c r="I33" s="24"/>
      <c r="J33" s="12"/>
      <c r="K33" s="12"/>
      <c r="L33" s="12"/>
      <c r="M33" s="12"/>
      <c r="N33" s="16"/>
    </row>
    <row r="34" spans="1:14" ht="15.75" customHeight="1" x14ac:dyDescent="0.15">
      <c r="A34" s="16">
        <v>31</v>
      </c>
      <c r="B34" s="43"/>
      <c r="C34" s="43" t="s">
        <v>666</v>
      </c>
      <c r="D34" s="15">
        <v>0</v>
      </c>
      <c r="E34" s="15">
        <v>0</v>
      </c>
      <c r="F34" s="15">
        <f t="shared" si="1"/>
        <v>0</v>
      </c>
      <c r="G34" s="12"/>
      <c r="H34" s="24"/>
      <c r="I34" s="24"/>
      <c r="J34" s="12"/>
      <c r="K34" s="12"/>
      <c r="L34" s="12"/>
      <c r="M34" s="12"/>
      <c r="N34" s="16"/>
    </row>
    <row r="35" spans="1:14" ht="15.75" customHeight="1" x14ac:dyDescent="0.15">
      <c r="A35" s="16">
        <v>32</v>
      </c>
      <c r="B35" s="43"/>
      <c r="C35" s="43" t="s">
        <v>670</v>
      </c>
      <c r="D35" s="15">
        <v>0</v>
      </c>
      <c r="E35" s="15">
        <v>0</v>
      </c>
      <c r="F35" s="15">
        <f t="shared" si="1"/>
        <v>0</v>
      </c>
      <c r="G35" s="12"/>
      <c r="H35" s="24"/>
      <c r="I35" s="24"/>
      <c r="J35" s="12"/>
      <c r="K35" s="12"/>
      <c r="L35" s="12"/>
      <c r="M35" s="12"/>
      <c r="N35" s="16"/>
    </row>
    <row r="36" spans="1:14" ht="15.75" customHeight="1" x14ac:dyDescent="0.15">
      <c r="A36" s="16">
        <v>33</v>
      </c>
      <c r="B36" s="43"/>
      <c r="C36" s="43" t="s">
        <v>673</v>
      </c>
      <c r="D36" s="15">
        <v>0</v>
      </c>
      <c r="E36" s="15">
        <v>0</v>
      </c>
      <c r="F36" s="15">
        <f t="shared" si="1"/>
        <v>0</v>
      </c>
      <c r="G36" s="12"/>
      <c r="H36" s="130"/>
      <c r="I36" s="24"/>
      <c r="J36" s="12"/>
      <c r="K36" s="12"/>
      <c r="L36" s="12"/>
      <c r="M36" s="12"/>
      <c r="N36" s="16"/>
    </row>
    <row r="37" spans="1:14" ht="15.75" customHeight="1" x14ac:dyDescent="0.15">
      <c r="A37" s="16">
        <v>34</v>
      </c>
      <c r="B37" s="43"/>
      <c r="C37" s="43" t="s">
        <v>666</v>
      </c>
      <c r="D37" s="15">
        <v>0</v>
      </c>
      <c r="E37" s="15">
        <v>0</v>
      </c>
      <c r="F37" s="15">
        <f t="shared" si="1"/>
        <v>0</v>
      </c>
      <c r="G37" s="12"/>
      <c r="H37" s="12"/>
      <c r="I37" s="12"/>
      <c r="J37" s="12"/>
      <c r="K37" s="12"/>
      <c r="L37" s="12"/>
      <c r="M37" s="12"/>
      <c r="N37" s="16"/>
    </row>
    <row r="38" spans="1:14" ht="15.75" customHeight="1" x14ac:dyDescent="0.15">
      <c r="A38" s="16">
        <v>35</v>
      </c>
      <c r="B38" s="43" t="s">
        <v>83</v>
      </c>
      <c r="C38" s="43" t="s">
        <v>671</v>
      </c>
      <c r="D38" s="15">
        <v>0.99</v>
      </c>
      <c r="E38" s="15">
        <v>0</v>
      </c>
      <c r="F38" s="15">
        <f t="shared" si="1"/>
        <v>0</v>
      </c>
      <c r="G38" s="12"/>
      <c r="H38" s="12"/>
      <c r="I38" s="12"/>
      <c r="J38" s="12"/>
      <c r="K38" s="12"/>
      <c r="L38" s="12"/>
      <c r="M38" s="12"/>
      <c r="N38" s="16"/>
    </row>
    <row r="39" spans="1:14" ht="15.75" customHeight="1" x14ac:dyDescent="0.15">
      <c r="A39" s="16">
        <v>36</v>
      </c>
      <c r="B39" s="43"/>
      <c r="C39" s="43" t="s">
        <v>83</v>
      </c>
      <c r="D39" s="15">
        <v>0</v>
      </c>
      <c r="E39" s="15">
        <v>1.99</v>
      </c>
      <c r="F39" s="15">
        <f t="shared" si="1"/>
        <v>2.98</v>
      </c>
      <c r="G39" s="12"/>
      <c r="H39" s="12"/>
      <c r="I39" s="12"/>
      <c r="J39" s="12"/>
      <c r="K39" s="12"/>
      <c r="L39" s="12"/>
      <c r="M39" s="12"/>
      <c r="N39" s="16"/>
    </row>
    <row r="40" spans="1:14" ht="15.75" customHeight="1" x14ac:dyDescent="0.15">
      <c r="A40" s="16">
        <v>37</v>
      </c>
      <c r="B40" s="43"/>
      <c r="C40" s="43" t="s">
        <v>683</v>
      </c>
      <c r="D40" s="15">
        <v>0</v>
      </c>
      <c r="E40" s="15">
        <v>0</v>
      </c>
      <c r="F40" s="15">
        <f t="shared" si="1"/>
        <v>0</v>
      </c>
      <c r="G40" s="12"/>
      <c r="H40" s="12"/>
      <c r="I40" s="12"/>
      <c r="J40" s="12"/>
      <c r="K40" s="12"/>
      <c r="L40" s="12"/>
      <c r="M40" s="12"/>
      <c r="N40" s="16"/>
    </row>
    <row r="41" spans="1:14" ht="15.75" customHeight="1" x14ac:dyDescent="0.15">
      <c r="A41" s="16">
        <v>38</v>
      </c>
      <c r="B41" s="43"/>
      <c r="C41" s="43" t="s">
        <v>666</v>
      </c>
      <c r="D41" s="15">
        <v>0</v>
      </c>
      <c r="E41" s="15">
        <v>0</v>
      </c>
      <c r="F41" s="15">
        <f t="shared" si="1"/>
        <v>0</v>
      </c>
      <c r="G41" s="12"/>
      <c r="H41" s="12"/>
      <c r="I41" s="12"/>
      <c r="J41" s="12"/>
      <c r="K41" s="12"/>
      <c r="L41" s="12"/>
      <c r="M41" s="12"/>
      <c r="N41" s="16"/>
    </row>
    <row r="42" spans="1:14" ht="15.75" customHeight="1" x14ac:dyDescent="0.15">
      <c r="A42" s="16">
        <v>39</v>
      </c>
      <c r="B42" s="43"/>
      <c r="C42" s="43" t="s">
        <v>673</v>
      </c>
      <c r="D42" s="15">
        <v>0</v>
      </c>
      <c r="E42" s="15">
        <v>0</v>
      </c>
      <c r="F42" s="15">
        <f t="shared" si="1"/>
        <v>0</v>
      </c>
      <c r="G42" s="12"/>
      <c r="H42" s="12"/>
      <c r="I42" s="12"/>
      <c r="J42" s="12"/>
      <c r="K42" s="12"/>
      <c r="L42" s="12"/>
      <c r="M42" s="12"/>
      <c r="N42" s="16"/>
    </row>
    <row r="43" spans="1:14" ht="15.75" customHeight="1" x14ac:dyDescent="0.15">
      <c r="A43" s="16">
        <v>40</v>
      </c>
      <c r="B43" s="43" t="s">
        <v>684</v>
      </c>
      <c r="C43" s="43" t="s">
        <v>83</v>
      </c>
      <c r="D43" s="15">
        <v>0</v>
      </c>
      <c r="E43" s="15">
        <v>9.99</v>
      </c>
      <c r="F43" s="15">
        <f t="shared" si="1"/>
        <v>9.99</v>
      </c>
      <c r="G43" s="12"/>
      <c r="H43" s="12"/>
      <c r="I43" s="12"/>
      <c r="J43" s="12"/>
      <c r="K43" s="12"/>
      <c r="L43" s="12"/>
      <c r="M43" s="12"/>
      <c r="N43" s="16"/>
    </row>
    <row r="44" spans="1:14" ht="15.75" customHeight="1" x14ac:dyDescent="0.15">
      <c r="A44" s="16">
        <v>41</v>
      </c>
      <c r="B44" s="43"/>
      <c r="C44" s="43" t="s">
        <v>666</v>
      </c>
      <c r="D44" s="15">
        <v>0</v>
      </c>
      <c r="E44" s="15">
        <v>0</v>
      </c>
      <c r="F44" s="15">
        <f t="shared" si="1"/>
        <v>0</v>
      </c>
      <c r="G44" s="12"/>
      <c r="H44" s="12"/>
      <c r="I44" s="12"/>
      <c r="J44" s="12"/>
      <c r="K44" s="12"/>
      <c r="L44" s="12"/>
      <c r="M44" s="12"/>
      <c r="N44" s="16"/>
    </row>
    <row r="45" spans="1:14" ht="15.75" customHeight="1" x14ac:dyDescent="0.15">
      <c r="A45" s="16">
        <v>42</v>
      </c>
      <c r="B45" s="43"/>
      <c r="C45" s="43" t="s">
        <v>667</v>
      </c>
      <c r="D45" s="15">
        <v>0</v>
      </c>
      <c r="E45" s="15">
        <v>0</v>
      </c>
      <c r="F45" s="15">
        <f t="shared" si="1"/>
        <v>0</v>
      </c>
      <c r="G45" s="12"/>
      <c r="H45" s="12"/>
      <c r="I45" s="12"/>
      <c r="J45" s="12"/>
      <c r="K45" s="12"/>
      <c r="L45" s="12"/>
      <c r="M45" s="12"/>
      <c r="N45" s="16"/>
    </row>
    <row r="46" spans="1:14" ht="15.75" customHeight="1" x14ac:dyDescent="0.15">
      <c r="A46" s="16">
        <v>43</v>
      </c>
      <c r="B46" s="43"/>
      <c r="C46" s="43" t="s">
        <v>673</v>
      </c>
      <c r="D46" s="15">
        <v>0</v>
      </c>
      <c r="E46" s="15">
        <v>0</v>
      </c>
      <c r="F46" s="15">
        <f t="shared" si="1"/>
        <v>0</v>
      </c>
      <c r="G46" s="12"/>
      <c r="H46" s="12"/>
      <c r="I46" s="12"/>
      <c r="J46" s="12"/>
      <c r="K46" s="12"/>
      <c r="L46" s="12"/>
      <c r="M46" s="12"/>
      <c r="N46" s="16"/>
    </row>
    <row r="47" spans="1:14" ht="15.75" customHeight="1" x14ac:dyDescent="0.15">
      <c r="A47" s="16">
        <v>44</v>
      </c>
      <c r="B47" s="43"/>
      <c r="C47" s="43" t="s">
        <v>670</v>
      </c>
      <c r="D47" s="15">
        <v>0</v>
      </c>
      <c r="E47" s="15">
        <v>0</v>
      </c>
      <c r="F47" s="15">
        <f t="shared" si="1"/>
        <v>0</v>
      </c>
      <c r="G47" s="12"/>
      <c r="H47" s="12"/>
      <c r="I47" s="12"/>
      <c r="J47" s="12"/>
      <c r="K47" s="12"/>
      <c r="L47" s="12"/>
      <c r="M47" s="12"/>
      <c r="N47" s="16"/>
    </row>
    <row r="48" spans="1:14" ht="15.75" customHeight="1" x14ac:dyDescent="0.15">
      <c r="A48" s="16">
        <v>45</v>
      </c>
      <c r="B48" s="43" t="s">
        <v>679</v>
      </c>
      <c r="C48" s="43" t="s">
        <v>678</v>
      </c>
      <c r="D48" s="15">
        <v>0</v>
      </c>
      <c r="E48" s="15">
        <v>0</v>
      </c>
      <c r="F48" s="15">
        <f t="shared" si="1"/>
        <v>0</v>
      </c>
      <c r="G48" s="12"/>
      <c r="H48" s="12"/>
      <c r="I48" s="12"/>
      <c r="J48" s="12"/>
      <c r="K48" s="12"/>
      <c r="L48" s="12"/>
      <c r="M48" s="12"/>
      <c r="N48" s="16"/>
    </row>
    <row r="49" spans="1:14" ht="15.75" customHeight="1" x14ac:dyDescent="0.15">
      <c r="A49" s="16">
        <v>46</v>
      </c>
      <c r="B49" s="43"/>
      <c r="C49" s="43" t="s">
        <v>83</v>
      </c>
      <c r="D49" s="15">
        <v>0</v>
      </c>
      <c r="E49" s="15">
        <v>1.99</v>
      </c>
      <c r="F49" s="15">
        <f t="shared" si="1"/>
        <v>1.99</v>
      </c>
      <c r="G49" s="12"/>
      <c r="H49" s="12"/>
      <c r="I49" s="12"/>
      <c r="J49" s="12"/>
      <c r="K49" s="12"/>
      <c r="L49" s="12"/>
      <c r="M49" s="12"/>
      <c r="N49" s="16"/>
    </row>
    <row r="50" spans="1:14" ht="15.75" customHeight="1" x14ac:dyDescent="0.15">
      <c r="A50" s="16">
        <v>47</v>
      </c>
      <c r="B50" s="43"/>
      <c r="C50" s="43" t="s">
        <v>666</v>
      </c>
      <c r="D50" s="15">
        <v>0</v>
      </c>
      <c r="E50" s="15">
        <v>0</v>
      </c>
      <c r="F50" s="15">
        <f t="shared" si="1"/>
        <v>0</v>
      </c>
      <c r="G50" s="12"/>
      <c r="H50" s="12"/>
      <c r="I50" s="12"/>
      <c r="J50" s="12"/>
      <c r="K50" s="12"/>
      <c r="L50" s="12"/>
      <c r="M50" s="12"/>
      <c r="N50" s="16"/>
    </row>
    <row r="51" spans="1:14" ht="15.75" customHeight="1" x14ac:dyDescent="0.15">
      <c r="A51" s="16">
        <v>48</v>
      </c>
      <c r="B51" s="43"/>
      <c r="C51" s="43" t="s">
        <v>666</v>
      </c>
      <c r="D51" s="15">
        <v>0</v>
      </c>
      <c r="E51" s="15">
        <v>0</v>
      </c>
      <c r="F51" s="15">
        <f t="shared" si="1"/>
        <v>0</v>
      </c>
      <c r="G51" s="12"/>
      <c r="H51" s="12"/>
      <c r="I51" s="12"/>
      <c r="J51" s="12"/>
      <c r="K51" s="12"/>
      <c r="L51" s="12"/>
      <c r="M51" s="12"/>
      <c r="N51" s="16"/>
    </row>
    <row r="52" spans="1:14" ht="15.75" customHeight="1" x14ac:dyDescent="0.15">
      <c r="A52" s="16">
        <v>49</v>
      </c>
      <c r="B52" s="43"/>
      <c r="C52" s="43" t="s">
        <v>673</v>
      </c>
      <c r="D52" s="15">
        <v>0</v>
      </c>
      <c r="E52" s="15">
        <v>0</v>
      </c>
      <c r="F52" s="15">
        <f t="shared" si="1"/>
        <v>0</v>
      </c>
      <c r="G52" s="12"/>
      <c r="H52" s="12"/>
      <c r="I52" s="12"/>
      <c r="J52" s="12"/>
      <c r="K52" s="12"/>
      <c r="L52" s="12"/>
      <c r="M52" s="12"/>
      <c r="N52" s="16"/>
    </row>
    <row r="53" spans="1:14" ht="15.75" customHeight="1" x14ac:dyDescent="0.15">
      <c r="A53" s="16">
        <v>50</v>
      </c>
      <c r="B53" s="43" t="s">
        <v>678</v>
      </c>
      <c r="C53" s="43" t="s">
        <v>685</v>
      </c>
      <c r="D53" s="15">
        <v>0</v>
      </c>
      <c r="E53" s="15">
        <v>0</v>
      </c>
      <c r="F53" s="15">
        <f t="shared" si="1"/>
        <v>0</v>
      </c>
      <c r="G53" s="12"/>
      <c r="H53" s="12"/>
      <c r="I53" s="12"/>
      <c r="J53" s="12"/>
      <c r="K53" s="12"/>
      <c r="L53" s="12"/>
      <c r="M53" s="12"/>
      <c r="N53" s="16"/>
    </row>
    <row r="54" spans="1:14" ht="15.75" customHeight="1" x14ac:dyDescent="0.15">
      <c r="A54" s="16">
        <v>51</v>
      </c>
      <c r="B54" s="43"/>
      <c r="C54" s="43" t="s">
        <v>666</v>
      </c>
      <c r="D54" s="15">
        <v>0</v>
      </c>
      <c r="E54" s="15">
        <v>0</v>
      </c>
      <c r="F54" s="15">
        <f t="shared" si="1"/>
        <v>0</v>
      </c>
      <c r="G54" s="12"/>
      <c r="H54" s="12"/>
      <c r="I54" s="12"/>
      <c r="J54" s="12"/>
      <c r="K54" s="12"/>
      <c r="L54" s="12"/>
      <c r="M54" s="12"/>
      <c r="N54" s="16"/>
    </row>
    <row r="55" spans="1:14" ht="15.75" customHeight="1" x14ac:dyDescent="0.15">
      <c r="A55" s="16">
        <v>52</v>
      </c>
      <c r="B55" s="43"/>
      <c r="C55" s="43" t="s">
        <v>670</v>
      </c>
      <c r="D55" s="15">
        <v>0</v>
      </c>
      <c r="E55" s="15">
        <v>0</v>
      </c>
      <c r="F55" s="15">
        <f t="shared" si="1"/>
        <v>0</v>
      </c>
      <c r="G55" s="12"/>
      <c r="H55" s="12"/>
      <c r="I55" s="12"/>
      <c r="J55" s="12"/>
      <c r="K55" s="12"/>
      <c r="L55" s="12"/>
      <c r="M55" s="12"/>
      <c r="N55" s="16"/>
    </row>
    <row r="56" spans="1:14" ht="15.75" customHeight="1" x14ac:dyDescent="0.15">
      <c r="A56" s="16">
        <v>53</v>
      </c>
      <c r="B56" s="43"/>
      <c r="C56" s="43" t="s">
        <v>667</v>
      </c>
      <c r="D56" s="15">
        <v>0</v>
      </c>
      <c r="E56" s="15">
        <v>0</v>
      </c>
      <c r="F56" s="15">
        <f t="shared" si="1"/>
        <v>0</v>
      </c>
      <c r="G56" s="12"/>
      <c r="H56" s="12"/>
      <c r="I56" s="12"/>
      <c r="J56" s="12"/>
      <c r="K56" s="12"/>
      <c r="L56" s="12"/>
      <c r="M56" s="12"/>
      <c r="N56" s="16"/>
    </row>
    <row r="57" spans="1:14" ht="15.75" customHeight="1" x14ac:dyDescent="0.15">
      <c r="A57" s="16">
        <v>54</v>
      </c>
      <c r="B57" s="43"/>
      <c r="C57" s="43" t="s">
        <v>666</v>
      </c>
      <c r="D57" s="15">
        <v>0</v>
      </c>
      <c r="E57" s="15">
        <v>0</v>
      </c>
      <c r="F57" s="15">
        <f t="shared" si="1"/>
        <v>0</v>
      </c>
      <c r="G57" s="12"/>
      <c r="H57" s="12"/>
      <c r="I57" s="12"/>
      <c r="J57" s="12"/>
      <c r="K57" s="12"/>
      <c r="L57" s="12"/>
      <c r="M57" s="12"/>
      <c r="N57" s="16"/>
    </row>
    <row r="58" spans="1:14" ht="15.75" customHeight="1" x14ac:dyDescent="0.15">
      <c r="A58" s="16">
        <v>55</v>
      </c>
      <c r="B58" s="43" t="s">
        <v>83</v>
      </c>
      <c r="C58" s="43" t="s">
        <v>671</v>
      </c>
      <c r="D58" s="15">
        <v>1.99</v>
      </c>
      <c r="E58" s="15">
        <v>0</v>
      </c>
      <c r="F58" s="15">
        <f t="shared" si="1"/>
        <v>0</v>
      </c>
      <c r="G58" s="12"/>
      <c r="H58" s="12"/>
      <c r="I58" s="12"/>
      <c r="J58" s="12"/>
      <c r="K58" s="12"/>
      <c r="L58" s="12"/>
      <c r="M58" s="12"/>
      <c r="N58" s="16"/>
    </row>
    <row r="59" spans="1:14" ht="15.75" customHeight="1" x14ac:dyDescent="0.15">
      <c r="A59" s="16">
        <v>56</v>
      </c>
      <c r="B59" s="43"/>
      <c r="C59" s="43" t="s">
        <v>83</v>
      </c>
      <c r="D59" s="15">
        <v>0</v>
      </c>
      <c r="E59" s="15">
        <v>3.99</v>
      </c>
      <c r="F59" s="15">
        <f t="shared" si="1"/>
        <v>5.98</v>
      </c>
      <c r="G59" s="12"/>
      <c r="H59" s="12"/>
      <c r="I59" s="12"/>
      <c r="J59" s="12"/>
      <c r="K59" s="12"/>
      <c r="L59" s="12"/>
      <c r="M59" s="12"/>
      <c r="N59" s="16"/>
    </row>
    <row r="60" spans="1:14" ht="15.75" customHeight="1" x14ac:dyDescent="0.15">
      <c r="A60" s="16">
        <v>57</v>
      </c>
      <c r="B60" s="43"/>
      <c r="C60" s="43" t="s">
        <v>686</v>
      </c>
      <c r="D60" s="15">
        <v>0</v>
      </c>
      <c r="E60" s="15">
        <v>0</v>
      </c>
      <c r="F60" s="15">
        <f t="shared" si="1"/>
        <v>0</v>
      </c>
      <c r="G60" s="12"/>
      <c r="H60" s="12"/>
      <c r="I60" s="12"/>
      <c r="J60" s="12"/>
      <c r="K60" s="12"/>
      <c r="L60" s="12"/>
      <c r="M60" s="12"/>
      <c r="N60" s="16"/>
    </row>
    <row r="61" spans="1:14" ht="15.75" customHeight="1" x14ac:dyDescent="0.15">
      <c r="A61" s="16">
        <v>58</v>
      </c>
      <c r="B61" s="43"/>
      <c r="C61" s="43" t="s">
        <v>666</v>
      </c>
      <c r="D61" s="15">
        <v>0</v>
      </c>
      <c r="E61" s="15">
        <v>0</v>
      </c>
      <c r="F61" s="15">
        <f t="shared" si="1"/>
        <v>0</v>
      </c>
      <c r="G61" s="12"/>
      <c r="H61" s="12"/>
      <c r="I61" s="12"/>
      <c r="J61" s="12"/>
      <c r="K61" s="12"/>
      <c r="L61" s="12"/>
      <c r="M61" s="12"/>
      <c r="N61" s="16"/>
    </row>
    <row r="62" spans="1:14" ht="15.75" customHeight="1" x14ac:dyDescent="0.15">
      <c r="A62" s="16">
        <v>59</v>
      </c>
      <c r="B62" s="43"/>
      <c r="C62" s="43" t="s">
        <v>687</v>
      </c>
      <c r="D62" s="15">
        <v>0</v>
      </c>
      <c r="E62" s="15">
        <f>(2*L24)</f>
        <v>2.66</v>
      </c>
      <c r="F62" s="15">
        <f t="shared" si="1"/>
        <v>2.66</v>
      </c>
      <c r="G62" s="12"/>
      <c r="H62" s="12"/>
      <c r="I62" s="12"/>
      <c r="J62" s="12"/>
      <c r="K62" s="12"/>
      <c r="L62" s="12"/>
      <c r="M62" s="12"/>
      <c r="N62" s="16"/>
    </row>
    <row r="63" spans="1:14" ht="15.75" customHeight="1" x14ac:dyDescent="0.15">
      <c r="A63" s="16">
        <v>60</v>
      </c>
      <c r="B63" s="43" t="s">
        <v>688</v>
      </c>
      <c r="C63" s="43" t="s">
        <v>83</v>
      </c>
      <c r="D63" s="15">
        <f>12*L7</f>
        <v>0.49833333333333341</v>
      </c>
      <c r="E63" s="15">
        <v>19.989999999999998</v>
      </c>
      <c r="F63" s="15">
        <f t="shared" si="1"/>
        <v>19.989999999999998</v>
      </c>
      <c r="G63" s="12"/>
      <c r="H63" s="12"/>
      <c r="I63" s="12"/>
      <c r="J63" s="12"/>
      <c r="K63" s="12"/>
      <c r="L63" s="12"/>
      <c r="M63" s="12"/>
      <c r="N63" s="16"/>
    </row>
    <row r="64" spans="1:14" ht="15.75" customHeight="1" x14ac:dyDescent="0.15">
      <c r="A64" s="16">
        <v>61</v>
      </c>
      <c r="B64" s="43"/>
      <c r="C64" s="43" t="s">
        <v>666</v>
      </c>
      <c r="D64" s="15">
        <v>0</v>
      </c>
      <c r="E64" s="15">
        <v>0</v>
      </c>
      <c r="F64" s="15">
        <f t="shared" si="1"/>
        <v>0.49833333333333341</v>
      </c>
      <c r="G64" s="12"/>
      <c r="H64" s="12"/>
      <c r="I64" s="12"/>
      <c r="J64" s="12"/>
      <c r="K64" s="12"/>
      <c r="L64" s="12"/>
      <c r="M64" s="12"/>
      <c r="N64" s="16"/>
    </row>
    <row r="65" spans="1:14" ht="15.75" customHeight="1" x14ac:dyDescent="0.15">
      <c r="A65" s="16">
        <v>62</v>
      </c>
      <c r="B65" s="43"/>
      <c r="C65" s="43" t="s">
        <v>670</v>
      </c>
      <c r="D65" s="15">
        <v>0</v>
      </c>
      <c r="E65" s="15">
        <v>0</v>
      </c>
      <c r="F65" s="15">
        <f t="shared" si="1"/>
        <v>0</v>
      </c>
      <c r="G65" s="12"/>
      <c r="H65" s="12"/>
      <c r="I65" s="12"/>
      <c r="J65" s="12"/>
      <c r="K65" s="12"/>
      <c r="L65" s="12"/>
      <c r="M65" s="12"/>
      <c r="N65" s="16"/>
    </row>
    <row r="66" spans="1:14" ht="15.75" customHeight="1" x14ac:dyDescent="0.15">
      <c r="A66" s="16">
        <v>63</v>
      </c>
      <c r="B66" s="43"/>
      <c r="C66" s="43" t="s">
        <v>666</v>
      </c>
      <c r="D66" s="15">
        <v>0</v>
      </c>
      <c r="E66" s="15">
        <v>0</v>
      </c>
      <c r="F66" s="15">
        <f t="shared" si="1"/>
        <v>0</v>
      </c>
      <c r="G66" s="12"/>
      <c r="H66" s="12"/>
      <c r="I66" s="12"/>
      <c r="J66" s="12"/>
      <c r="K66" s="12"/>
      <c r="L66" s="12"/>
      <c r="M66" s="12"/>
      <c r="N66" s="16"/>
    </row>
    <row r="67" spans="1:14" ht="15.75" customHeight="1" x14ac:dyDescent="0.15">
      <c r="A67" s="16">
        <v>64</v>
      </c>
      <c r="B67" s="43"/>
      <c r="C67" s="43" t="s">
        <v>673</v>
      </c>
      <c r="D67" s="15">
        <v>0</v>
      </c>
      <c r="E67" s="15">
        <v>0</v>
      </c>
      <c r="F67" s="15">
        <f t="shared" si="1"/>
        <v>0</v>
      </c>
      <c r="G67" s="12"/>
      <c r="H67" s="12"/>
      <c r="I67" s="12"/>
      <c r="J67" s="12"/>
      <c r="K67" s="12"/>
      <c r="L67" s="12"/>
      <c r="M67" s="12"/>
      <c r="N67" s="16"/>
    </row>
    <row r="68" spans="1:14" ht="15.75" customHeight="1" x14ac:dyDescent="0.15">
      <c r="A68" s="16">
        <v>65</v>
      </c>
      <c r="B68" s="43" t="s">
        <v>83</v>
      </c>
      <c r="C68" s="43" t="s">
        <v>674</v>
      </c>
      <c r="D68" s="15">
        <v>1.99</v>
      </c>
      <c r="E68" s="15">
        <v>0</v>
      </c>
      <c r="F68" s="15">
        <f t="shared" si="1"/>
        <v>0</v>
      </c>
      <c r="G68" s="12"/>
      <c r="H68" s="12"/>
      <c r="I68" s="12"/>
      <c r="J68" s="12"/>
      <c r="K68" s="12"/>
      <c r="L68" s="12"/>
      <c r="M68" s="12"/>
      <c r="N68" s="16"/>
    </row>
    <row r="69" spans="1:14" ht="15.75" customHeight="1" x14ac:dyDescent="0.15">
      <c r="A69" s="16">
        <v>66</v>
      </c>
      <c r="B69" s="43"/>
      <c r="C69" s="43" t="s">
        <v>83</v>
      </c>
      <c r="D69" s="15">
        <v>0</v>
      </c>
      <c r="E69" s="15">
        <v>3.99</v>
      </c>
      <c r="F69" s="15">
        <f t="shared" si="1"/>
        <v>5.98</v>
      </c>
      <c r="G69" s="12"/>
      <c r="H69" s="12"/>
      <c r="I69" s="12"/>
      <c r="J69" s="12"/>
      <c r="K69" s="12"/>
      <c r="L69" s="12"/>
      <c r="M69" s="12"/>
      <c r="N69" s="16"/>
    </row>
    <row r="70" spans="1:14" ht="15.75" customHeight="1" x14ac:dyDescent="0.15">
      <c r="A70" s="16">
        <v>67</v>
      </c>
      <c r="B70" s="43"/>
      <c r="C70" s="43" t="s">
        <v>83</v>
      </c>
      <c r="D70" s="15">
        <v>0</v>
      </c>
      <c r="E70" s="15">
        <v>3.99</v>
      </c>
      <c r="F70" s="15">
        <f t="shared" si="1"/>
        <v>3.99</v>
      </c>
      <c r="G70" s="12"/>
      <c r="H70" s="12"/>
      <c r="I70" s="12"/>
      <c r="J70" s="12"/>
      <c r="K70" s="12"/>
      <c r="L70" s="12"/>
      <c r="M70" s="12"/>
      <c r="N70" s="16"/>
    </row>
    <row r="71" spans="1:14" ht="15.75" customHeight="1" x14ac:dyDescent="0.15">
      <c r="A71" s="16">
        <v>68</v>
      </c>
      <c r="B71" s="43"/>
      <c r="C71" s="43" t="s">
        <v>666</v>
      </c>
      <c r="D71" s="15">
        <v>0</v>
      </c>
      <c r="E71" s="15">
        <v>0</v>
      </c>
      <c r="F71" s="15">
        <f t="shared" si="1"/>
        <v>0</v>
      </c>
      <c r="G71" s="12"/>
      <c r="H71" s="12"/>
      <c r="I71" s="12"/>
      <c r="J71" s="12"/>
      <c r="K71" s="12"/>
      <c r="L71" s="12"/>
      <c r="M71" s="12"/>
      <c r="N71" s="16"/>
    </row>
    <row r="72" spans="1:14" ht="15.75" customHeight="1" x14ac:dyDescent="0.15">
      <c r="A72" s="16">
        <v>69</v>
      </c>
      <c r="B72" s="43"/>
      <c r="C72" s="43" t="s">
        <v>673</v>
      </c>
      <c r="D72" s="15">
        <v>0</v>
      </c>
      <c r="E72" s="15">
        <v>0</v>
      </c>
      <c r="F72" s="15">
        <f t="shared" si="1"/>
        <v>0</v>
      </c>
      <c r="G72" s="12"/>
      <c r="H72" s="12"/>
      <c r="I72" s="12"/>
      <c r="J72" s="12"/>
      <c r="K72" s="12"/>
      <c r="L72" s="12"/>
      <c r="M72" s="12"/>
      <c r="N72" s="16"/>
    </row>
    <row r="73" spans="1:14" ht="15.75" customHeight="1" x14ac:dyDescent="0.15">
      <c r="A73" s="16">
        <v>70</v>
      </c>
      <c r="B73" s="43" t="s">
        <v>689</v>
      </c>
      <c r="C73" s="43" t="s">
        <v>678</v>
      </c>
      <c r="D73" s="15">
        <f>(12*L19)+(12*L13)</f>
        <v>0.4966666666666667</v>
      </c>
      <c r="E73" s="15">
        <v>0</v>
      </c>
      <c r="F73" s="15">
        <f t="shared" si="1"/>
        <v>0</v>
      </c>
      <c r="G73" s="12"/>
      <c r="H73" s="12"/>
      <c r="I73" s="12"/>
      <c r="J73" s="12"/>
      <c r="K73" s="12"/>
      <c r="L73" s="12"/>
      <c r="M73" s="12"/>
      <c r="N73" s="16"/>
    </row>
    <row r="74" spans="1:14" ht="15.75" customHeight="1" x14ac:dyDescent="0.15">
      <c r="A74" s="16">
        <v>71</v>
      </c>
      <c r="B74" s="43"/>
      <c r="C74" s="43" t="s">
        <v>666</v>
      </c>
      <c r="D74" s="15">
        <v>0</v>
      </c>
      <c r="E74" s="15">
        <v>0</v>
      </c>
      <c r="F74" s="15">
        <f t="shared" si="1"/>
        <v>0.4966666666666667</v>
      </c>
      <c r="G74" s="12"/>
      <c r="H74" s="12"/>
      <c r="I74" s="12"/>
      <c r="J74" s="12"/>
      <c r="K74" s="12"/>
      <c r="L74" s="12"/>
      <c r="M74" s="12"/>
      <c r="N74" s="16"/>
    </row>
    <row r="75" spans="1:14" ht="15.75" customHeight="1" x14ac:dyDescent="0.15">
      <c r="A75" s="16">
        <v>72</v>
      </c>
      <c r="B75" s="43"/>
      <c r="C75" s="43" t="s">
        <v>667</v>
      </c>
      <c r="D75" s="15">
        <v>0</v>
      </c>
      <c r="E75" s="15">
        <v>0</v>
      </c>
      <c r="F75" s="15">
        <f t="shared" si="1"/>
        <v>0</v>
      </c>
      <c r="G75" s="12"/>
      <c r="H75" s="12"/>
      <c r="I75" s="12"/>
      <c r="J75" s="12"/>
      <c r="K75" s="12"/>
      <c r="L75" s="12"/>
      <c r="M75" s="12"/>
      <c r="N75" s="16"/>
    </row>
    <row r="76" spans="1:14" ht="15.75" customHeight="1" x14ac:dyDescent="0.15">
      <c r="A76" s="16">
        <v>73</v>
      </c>
      <c r="B76" s="43"/>
      <c r="C76" s="43" t="s">
        <v>670</v>
      </c>
      <c r="D76" s="15">
        <v>0</v>
      </c>
      <c r="E76" s="15">
        <v>0</v>
      </c>
      <c r="F76" s="15">
        <f t="shared" si="1"/>
        <v>0</v>
      </c>
      <c r="G76" s="12"/>
      <c r="H76" s="12"/>
      <c r="I76" s="12"/>
      <c r="J76" s="12"/>
      <c r="K76" s="12"/>
      <c r="L76" s="12"/>
      <c r="M76" s="12"/>
      <c r="N76" s="16"/>
    </row>
    <row r="77" spans="1:14" ht="15.75" customHeight="1" x14ac:dyDescent="0.15">
      <c r="A77" s="16">
        <v>74</v>
      </c>
      <c r="B77" s="43"/>
      <c r="C77" s="43" t="s">
        <v>690</v>
      </c>
      <c r="D77" s="15">
        <v>0</v>
      </c>
      <c r="E77" s="15">
        <v>0</v>
      </c>
      <c r="F77" s="15">
        <f t="shared" si="1"/>
        <v>0</v>
      </c>
      <c r="G77" s="12"/>
      <c r="H77" s="12"/>
      <c r="I77" s="12"/>
      <c r="J77" s="12"/>
      <c r="K77" s="12"/>
      <c r="L77" s="12"/>
      <c r="M77" s="12"/>
      <c r="N77" s="16"/>
    </row>
    <row r="78" spans="1:14" ht="15.75" customHeight="1" x14ac:dyDescent="0.15">
      <c r="A78" s="16">
        <v>75</v>
      </c>
      <c r="B78" s="43" t="s">
        <v>686</v>
      </c>
      <c r="C78" s="43" t="s">
        <v>671</v>
      </c>
      <c r="D78" s="15">
        <v>0</v>
      </c>
      <c r="E78" s="15">
        <v>0</v>
      </c>
      <c r="F78" s="15">
        <f t="shared" si="1"/>
        <v>0</v>
      </c>
      <c r="G78" s="12"/>
      <c r="H78" s="12"/>
      <c r="I78" s="12"/>
      <c r="J78" s="12"/>
      <c r="K78" s="12"/>
      <c r="L78" s="12"/>
      <c r="M78" s="12"/>
      <c r="N78" s="16"/>
    </row>
    <row r="79" spans="1:14" ht="15.75" customHeight="1" x14ac:dyDescent="0.15">
      <c r="A79" s="16">
        <v>76</v>
      </c>
      <c r="B79" s="43"/>
      <c r="C79" s="43" t="s">
        <v>83</v>
      </c>
      <c r="D79" s="15">
        <v>0</v>
      </c>
      <c r="E79" s="15">
        <v>3.99</v>
      </c>
      <c r="F79" s="15">
        <f t="shared" si="1"/>
        <v>3.99</v>
      </c>
      <c r="G79" s="12"/>
      <c r="H79" s="12"/>
      <c r="I79" s="12"/>
      <c r="J79" s="12"/>
      <c r="K79" s="12"/>
      <c r="L79" s="12"/>
      <c r="M79" s="12"/>
      <c r="N79" s="16"/>
    </row>
    <row r="80" spans="1:14" ht="15.75" customHeight="1" x14ac:dyDescent="0.15">
      <c r="A80" s="16">
        <v>77</v>
      </c>
      <c r="B80" s="43"/>
      <c r="C80" s="43" t="s">
        <v>666</v>
      </c>
      <c r="D80" s="15">
        <v>0</v>
      </c>
      <c r="E80" s="15">
        <v>0</v>
      </c>
      <c r="F80" s="15">
        <f t="shared" si="1"/>
        <v>0</v>
      </c>
      <c r="G80" s="12"/>
      <c r="H80" s="12"/>
      <c r="I80" s="12"/>
      <c r="J80" s="12"/>
      <c r="K80" s="12"/>
      <c r="L80" s="12"/>
      <c r="M80" s="12"/>
      <c r="N80" s="16"/>
    </row>
    <row r="81" spans="1:14" ht="15.75" customHeight="1" x14ac:dyDescent="0.15">
      <c r="A81" s="16">
        <v>78</v>
      </c>
      <c r="B81" s="43"/>
      <c r="C81" s="43" t="s">
        <v>666</v>
      </c>
      <c r="D81" s="15">
        <v>0</v>
      </c>
      <c r="E81" s="15">
        <v>0</v>
      </c>
      <c r="F81" s="15">
        <f t="shared" si="1"/>
        <v>0</v>
      </c>
      <c r="G81" s="12"/>
      <c r="H81" s="12"/>
      <c r="I81" s="12"/>
      <c r="J81" s="12"/>
      <c r="K81" s="12"/>
      <c r="L81" s="12"/>
      <c r="M81" s="12"/>
      <c r="N81" s="16"/>
    </row>
    <row r="82" spans="1:14" ht="15.75" customHeight="1" x14ac:dyDescent="0.15">
      <c r="A82" s="16">
        <v>79</v>
      </c>
      <c r="B82" s="43"/>
      <c r="C82" s="43" t="s">
        <v>687</v>
      </c>
      <c r="D82" s="15">
        <v>0</v>
      </c>
      <c r="E82" s="15">
        <f>(2*L24)</f>
        <v>2.66</v>
      </c>
      <c r="F82" s="15">
        <f t="shared" si="1"/>
        <v>2.66</v>
      </c>
      <c r="G82" s="12"/>
      <c r="H82" s="12"/>
      <c r="I82" s="12"/>
      <c r="J82" s="12"/>
      <c r="K82" s="12"/>
      <c r="L82" s="12"/>
      <c r="M82" s="12"/>
      <c r="N82" s="16"/>
    </row>
    <row r="83" spans="1:14" ht="15.75" customHeight="1" x14ac:dyDescent="0.15">
      <c r="A83" s="16">
        <v>80</v>
      </c>
      <c r="B83" s="43" t="s">
        <v>678</v>
      </c>
      <c r="C83" s="43" t="s">
        <v>83</v>
      </c>
      <c r="D83" s="15">
        <v>0</v>
      </c>
      <c r="E83" s="15">
        <v>19.989999999999998</v>
      </c>
      <c r="F83" s="15">
        <f t="shared" si="1"/>
        <v>19.989999999999998</v>
      </c>
      <c r="G83" s="12"/>
      <c r="H83" s="12"/>
      <c r="I83" s="12"/>
      <c r="J83" s="12"/>
      <c r="K83" s="12"/>
      <c r="L83" s="12"/>
      <c r="M83" s="12"/>
      <c r="N83" s="16"/>
    </row>
    <row r="84" spans="1:14" ht="15.75" customHeight="1" x14ac:dyDescent="0.15">
      <c r="A84" s="16">
        <v>81</v>
      </c>
      <c r="B84" s="43"/>
      <c r="C84" s="43" t="s">
        <v>666</v>
      </c>
      <c r="D84" s="15">
        <v>0</v>
      </c>
      <c r="E84" s="15">
        <v>0</v>
      </c>
      <c r="F84" s="15">
        <f t="shared" si="1"/>
        <v>0</v>
      </c>
      <c r="G84" s="12"/>
      <c r="H84" s="12"/>
      <c r="I84" s="12"/>
      <c r="J84" s="12"/>
      <c r="K84" s="12"/>
      <c r="L84" s="12"/>
      <c r="M84" s="12"/>
      <c r="N84" s="16"/>
    </row>
    <row r="85" spans="1:14" ht="15.75" customHeight="1" x14ac:dyDescent="0.15">
      <c r="A85" s="16">
        <v>82</v>
      </c>
      <c r="B85" s="43"/>
      <c r="C85" s="43" t="s">
        <v>670</v>
      </c>
      <c r="D85" s="15">
        <v>0</v>
      </c>
      <c r="E85" s="15">
        <v>0</v>
      </c>
      <c r="F85" s="15">
        <f t="shared" si="1"/>
        <v>0</v>
      </c>
      <c r="G85" s="12"/>
      <c r="H85" s="12"/>
      <c r="I85" s="12"/>
      <c r="J85" s="12"/>
      <c r="K85" s="12"/>
      <c r="L85" s="12"/>
      <c r="M85" s="12"/>
      <c r="N85" s="16"/>
    </row>
    <row r="86" spans="1:14" ht="15.75" customHeight="1" x14ac:dyDescent="0.15">
      <c r="A86" s="16">
        <v>83</v>
      </c>
      <c r="B86" s="43"/>
      <c r="C86" s="43" t="s">
        <v>666</v>
      </c>
      <c r="D86" s="15">
        <v>0</v>
      </c>
      <c r="E86" s="15">
        <v>0</v>
      </c>
      <c r="F86" s="15">
        <f t="shared" si="1"/>
        <v>0</v>
      </c>
      <c r="G86" s="12"/>
      <c r="H86" s="12"/>
      <c r="I86" s="12"/>
      <c r="J86" s="12"/>
      <c r="K86" s="12"/>
      <c r="L86" s="12"/>
      <c r="M86" s="12"/>
      <c r="N86" s="16"/>
    </row>
    <row r="87" spans="1:14" ht="15.75" customHeight="1" x14ac:dyDescent="0.15">
      <c r="A87" s="16">
        <v>84</v>
      </c>
      <c r="B87" s="43"/>
      <c r="C87" s="43" t="s">
        <v>673</v>
      </c>
      <c r="D87" s="15">
        <v>0</v>
      </c>
      <c r="E87" s="15">
        <v>0</v>
      </c>
      <c r="F87" s="15">
        <f t="shared" si="1"/>
        <v>0</v>
      </c>
      <c r="G87" s="12"/>
      <c r="H87" s="12"/>
      <c r="I87" s="12"/>
      <c r="J87" s="12"/>
      <c r="K87" s="12"/>
      <c r="L87" s="12"/>
      <c r="M87" s="12"/>
      <c r="N87" s="16"/>
    </row>
    <row r="88" spans="1:14" ht="15.75" customHeight="1" x14ac:dyDescent="0.15">
      <c r="A88" s="16">
        <v>85</v>
      </c>
      <c r="B88" s="140" t="s">
        <v>691</v>
      </c>
      <c r="C88" s="43" t="s">
        <v>678</v>
      </c>
      <c r="D88" s="15">
        <v>4.99</v>
      </c>
      <c r="E88" s="15">
        <v>0</v>
      </c>
      <c r="F88" s="15">
        <f t="shared" si="1"/>
        <v>0</v>
      </c>
      <c r="G88" s="12"/>
      <c r="H88" s="12"/>
      <c r="I88" s="12"/>
      <c r="J88" s="12"/>
      <c r="K88" s="12"/>
      <c r="L88" s="12"/>
      <c r="M88" s="12"/>
      <c r="N88" s="16"/>
    </row>
    <row r="89" spans="1:14" ht="15.75" customHeight="1" x14ac:dyDescent="0.15">
      <c r="A89" s="16">
        <v>86</v>
      </c>
      <c r="B89" s="43"/>
      <c r="C89" s="43" t="s">
        <v>83</v>
      </c>
      <c r="D89" s="15">
        <v>0</v>
      </c>
      <c r="E89" s="15">
        <v>3.99</v>
      </c>
      <c r="F89" s="15">
        <f t="shared" si="1"/>
        <v>8.98</v>
      </c>
      <c r="G89" s="12"/>
      <c r="H89" s="12"/>
      <c r="I89" s="12"/>
      <c r="J89" s="12"/>
      <c r="K89" s="12"/>
      <c r="L89" s="12"/>
      <c r="M89" s="12"/>
      <c r="N89" s="16"/>
    </row>
    <row r="90" spans="1:14" ht="15.75" customHeight="1" x14ac:dyDescent="0.15">
      <c r="A90" s="16">
        <v>87</v>
      </c>
      <c r="B90" s="43"/>
      <c r="C90" s="43" t="s">
        <v>680</v>
      </c>
      <c r="D90" s="15">
        <v>0</v>
      </c>
      <c r="E90" s="15">
        <v>0</v>
      </c>
      <c r="F90" s="15">
        <f t="shared" si="1"/>
        <v>0</v>
      </c>
      <c r="G90" s="12"/>
      <c r="H90" s="12"/>
      <c r="I90" s="12"/>
      <c r="J90" s="12"/>
      <c r="K90" s="12"/>
      <c r="L90" s="12"/>
      <c r="M90" s="12"/>
      <c r="N90" s="16"/>
    </row>
    <row r="91" spans="1:14" ht="15.75" customHeight="1" x14ac:dyDescent="0.15">
      <c r="A91" s="16">
        <v>88</v>
      </c>
      <c r="B91" s="43"/>
      <c r="C91" s="43" t="s">
        <v>666</v>
      </c>
      <c r="D91" s="15">
        <v>0</v>
      </c>
      <c r="E91" s="15">
        <v>0</v>
      </c>
      <c r="F91" s="15">
        <f t="shared" si="1"/>
        <v>0</v>
      </c>
      <c r="G91" s="12"/>
      <c r="H91" s="12"/>
      <c r="I91" s="12"/>
      <c r="J91" s="12"/>
      <c r="K91" s="12"/>
      <c r="L91" s="12"/>
      <c r="M91" s="12"/>
      <c r="N91" s="16"/>
    </row>
    <row r="92" spans="1:14" ht="15.75" customHeight="1" x14ac:dyDescent="0.15">
      <c r="A92" s="16">
        <v>89</v>
      </c>
      <c r="B92" s="43"/>
      <c r="C92" s="43" t="s">
        <v>673</v>
      </c>
      <c r="D92" s="15">
        <v>0</v>
      </c>
      <c r="E92" s="15">
        <v>0</v>
      </c>
      <c r="F92" s="15">
        <f t="shared" si="1"/>
        <v>0</v>
      </c>
      <c r="G92" s="12"/>
      <c r="H92" s="12"/>
      <c r="I92" s="12"/>
      <c r="J92" s="12"/>
      <c r="K92" s="12"/>
      <c r="L92" s="12"/>
      <c r="M92" s="12"/>
      <c r="N92" s="16"/>
    </row>
    <row r="93" spans="1:14" ht="15.75" customHeight="1" x14ac:dyDescent="0.15">
      <c r="A93" s="16">
        <v>90</v>
      </c>
      <c r="B93" s="43" t="s">
        <v>692</v>
      </c>
      <c r="C93" s="43" t="s">
        <v>83</v>
      </c>
      <c r="D93" s="15">
        <v>0</v>
      </c>
      <c r="E93" s="15">
        <v>19.989999999999998</v>
      </c>
      <c r="F93" s="15">
        <f t="shared" si="1"/>
        <v>19.989999999999998</v>
      </c>
      <c r="G93" s="12"/>
      <c r="H93" s="12"/>
      <c r="I93" s="12"/>
      <c r="J93" s="12"/>
      <c r="K93" s="12"/>
      <c r="L93" s="12"/>
      <c r="M93" s="12"/>
      <c r="N93" s="16"/>
    </row>
    <row r="94" spans="1:14" ht="15.75" customHeight="1" x14ac:dyDescent="0.15">
      <c r="A94" s="16">
        <v>91</v>
      </c>
      <c r="B94" s="43"/>
      <c r="C94" s="43" t="s">
        <v>666</v>
      </c>
      <c r="D94" s="15">
        <v>0</v>
      </c>
      <c r="E94" s="15">
        <v>0</v>
      </c>
      <c r="F94" s="15">
        <f t="shared" si="1"/>
        <v>0</v>
      </c>
      <c r="G94" s="12"/>
      <c r="H94" s="12"/>
      <c r="I94" s="12"/>
      <c r="J94" s="12"/>
      <c r="K94" s="12"/>
      <c r="L94" s="12"/>
      <c r="M94" s="12"/>
      <c r="N94" s="16"/>
    </row>
    <row r="95" spans="1:14" ht="15.75" customHeight="1" x14ac:dyDescent="0.15">
      <c r="A95" s="16">
        <v>92</v>
      </c>
      <c r="B95" s="43"/>
      <c r="C95" s="43" t="s">
        <v>667</v>
      </c>
      <c r="D95" s="15">
        <v>0</v>
      </c>
      <c r="E95" s="15">
        <v>0</v>
      </c>
      <c r="F95" s="15">
        <f t="shared" si="1"/>
        <v>0</v>
      </c>
      <c r="G95" s="12"/>
      <c r="H95" s="12"/>
      <c r="I95" s="12"/>
      <c r="J95" s="12"/>
      <c r="K95" s="12"/>
      <c r="L95" s="12"/>
      <c r="M95" s="12"/>
      <c r="N95" s="16"/>
    </row>
    <row r="96" spans="1:14" ht="15.75" customHeight="1" x14ac:dyDescent="0.15">
      <c r="A96" s="16">
        <v>93</v>
      </c>
      <c r="B96" s="43"/>
      <c r="C96" s="43" t="s">
        <v>670</v>
      </c>
      <c r="D96" s="15">
        <v>0</v>
      </c>
      <c r="E96" s="15">
        <v>0</v>
      </c>
      <c r="F96" s="15">
        <f t="shared" si="1"/>
        <v>0</v>
      </c>
      <c r="G96" s="12"/>
      <c r="H96" s="12"/>
      <c r="I96" s="12"/>
      <c r="J96" s="12"/>
      <c r="K96" s="12"/>
      <c r="L96" s="12"/>
      <c r="M96" s="12"/>
      <c r="N96" s="16"/>
    </row>
    <row r="97" spans="1:14" ht="15.75" customHeight="1" x14ac:dyDescent="0.15">
      <c r="A97" s="16">
        <v>94</v>
      </c>
      <c r="B97" s="43"/>
      <c r="C97" s="43" t="s">
        <v>673</v>
      </c>
      <c r="D97" s="15">
        <v>0</v>
      </c>
      <c r="E97" s="15">
        <v>0</v>
      </c>
      <c r="F97" s="15">
        <f t="shared" si="1"/>
        <v>0</v>
      </c>
      <c r="G97" s="12"/>
      <c r="H97" s="12"/>
      <c r="I97" s="12"/>
      <c r="J97" s="12"/>
      <c r="K97" s="12"/>
      <c r="L97" s="12"/>
      <c r="M97" s="12"/>
      <c r="N97" s="16"/>
    </row>
    <row r="98" spans="1:14" ht="15.75" customHeight="1" x14ac:dyDescent="0.15">
      <c r="A98" s="16">
        <v>95</v>
      </c>
      <c r="B98" s="43" t="s">
        <v>693</v>
      </c>
      <c r="C98" s="43" t="s">
        <v>678</v>
      </c>
      <c r="D98" s="15">
        <v>0</v>
      </c>
      <c r="E98" s="15">
        <v>0</v>
      </c>
      <c r="F98" s="15">
        <f t="shared" si="1"/>
        <v>0</v>
      </c>
      <c r="G98" s="12"/>
      <c r="H98" s="12"/>
      <c r="I98" s="12"/>
      <c r="J98" s="12"/>
      <c r="K98" s="12"/>
      <c r="L98" s="12"/>
      <c r="M98" s="12"/>
      <c r="N98" s="16"/>
    </row>
    <row r="99" spans="1:14" ht="15.75" customHeight="1" x14ac:dyDescent="0.15">
      <c r="A99" s="16">
        <v>96</v>
      </c>
      <c r="B99" s="43"/>
      <c r="C99" s="43" t="s">
        <v>83</v>
      </c>
      <c r="D99" s="15">
        <v>0</v>
      </c>
      <c r="E99" s="15">
        <v>3.99</v>
      </c>
      <c r="F99" s="15">
        <f t="shared" si="1"/>
        <v>3.99</v>
      </c>
      <c r="G99" s="12"/>
      <c r="H99" s="12"/>
      <c r="I99" s="12"/>
      <c r="J99" s="12"/>
      <c r="K99" s="12"/>
      <c r="L99" s="12"/>
      <c r="M99" s="12"/>
      <c r="N99" s="16"/>
    </row>
    <row r="100" spans="1:14" ht="15.75" customHeight="1" x14ac:dyDescent="0.15">
      <c r="A100" s="16">
        <v>97</v>
      </c>
      <c r="B100" s="43"/>
      <c r="C100" s="43" t="s">
        <v>671</v>
      </c>
      <c r="D100" s="15">
        <v>0</v>
      </c>
      <c r="E100" s="15">
        <v>0</v>
      </c>
      <c r="F100" s="15">
        <f t="shared" si="1"/>
        <v>0</v>
      </c>
      <c r="G100" s="12"/>
      <c r="H100" s="12"/>
      <c r="I100" s="12"/>
      <c r="J100" s="12"/>
      <c r="K100" s="12"/>
      <c r="L100" s="12"/>
      <c r="M100" s="12"/>
      <c r="N100" s="16"/>
    </row>
    <row r="101" spans="1:14" ht="15.75" customHeight="1" x14ac:dyDescent="0.15">
      <c r="A101" s="16">
        <v>98</v>
      </c>
      <c r="B101" s="43"/>
      <c r="C101" s="43" t="s">
        <v>666</v>
      </c>
      <c r="D101" s="15">
        <v>0</v>
      </c>
      <c r="E101" s="15">
        <v>0</v>
      </c>
      <c r="F101" s="15">
        <f t="shared" si="1"/>
        <v>0</v>
      </c>
      <c r="G101" s="12"/>
      <c r="H101" s="12"/>
      <c r="I101" s="12"/>
      <c r="J101" s="12"/>
      <c r="K101" s="12"/>
      <c r="L101" s="12"/>
      <c r="M101" s="12"/>
      <c r="N101" s="16"/>
    </row>
    <row r="102" spans="1:14" ht="15.75" customHeight="1" x14ac:dyDescent="0.15">
      <c r="A102" s="16">
        <v>99</v>
      </c>
      <c r="B102" s="43"/>
      <c r="C102" s="43" t="s">
        <v>694</v>
      </c>
      <c r="D102" s="15">
        <v>0</v>
      </c>
      <c r="E102" s="15">
        <v>0</v>
      </c>
      <c r="F102" s="15">
        <f t="shared" si="1"/>
        <v>0</v>
      </c>
      <c r="G102" s="12"/>
      <c r="H102" s="12"/>
      <c r="I102" s="12"/>
      <c r="J102" s="12"/>
      <c r="K102" s="12"/>
      <c r="L102" s="12"/>
      <c r="M102" s="12"/>
      <c r="N102" s="16"/>
    </row>
    <row r="103" spans="1:14" ht="15.75" customHeight="1" x14ac:dyDescent="0.15">
      <c r="A103" s="16">
        <v>100</v>
      </c>
      <c r="B103" s="43" t="s">
        <v>695</v>
      </c>
      <c r="C103" s="43" t="s">
        <v>696</v>
      </c>
      <c r="D103" s="15">
        <v>0</v>
      </c>
      <c r="E103" s="15">
        <v>0</v>
      </c>
      <c r="F103" s="15">
        <f t="shared" si="1"/>
        <v>0</v>
      </c>
      <c r="G103" s="12"/>
      <c r="H103" s="12"/>
      <c r="I103" s="12"/>
      <c r="J103" s="12"/>
      <c r="K103" s="12"/>
      <c r="L103" s="12"/>
      <c r="M103" s="12"/>
      <c r="N103" s="16"/>
    </row>
    <row r="104" spans="1:14" ht="15.75" customHeight="1" x14ac:dyDescent="0.15">
      <c r="A104" s="28" t="s">
        <v>171</v>
      </c>
      <c r="B104" s="43" t="s">
        <v>697</v>
      </c>
      <c r="C104" s="43" t="s">
        <v>697</v>
      </c>
      <c r="D104" s="15">
        <v>0</v>
      </c>
      <c r="E104" s="15">
        <v>0</v>
      </c>
      <c r="F104" s="15">
        <f t="shared" si="1"/>
        <v>0</v>
      </c>
      <c r="G104" s="12"/>
      <c r="H104" s="12"/>
      <c r="I104" s="12"/>
      <c r="J104" s="12"/>
      <c r="K104" s="12"/>
      <c r="L104" s="12"/>
      <c r="M104" s="12"/>
      <c r="N104" s="16"/>
    </row>
    <row r="105" spans="1:14" ht="15.75" customHeight="1" x14ac:dyDescent="0.15">
      <c r="A105" s="28" t="s">
        <v>81</v>
      </c>
      <c r="B105" s="32"/>
      <c r="C105" s="34"/>
      <c r="D105" s="72">
        <f t="shared" ref="D105:F105" si="2">SUM(D4:D104)</f>
        <v>21.914999999999999</v>
      </c>
      <c r="E105" s="72">
        <f t="shared" si="2"/>
        <v>140.14499999999998</v>
      </c>
      <c r="F105" s="72">
        <f t="shared" si="2"/>
        <v>162.06</v>
      </c>
      <c r="G105" s="12"/>
      <c r="H105" s="12"/>
      <c r="I105" s="12"/>
      <c r="J105" s="12"/>
      <c r="K105" s="12"/>
      <c r="L105" s="12"/>
      <c r="M105" s="12"/>
      <c r="N105" s="16"/>
    </row>
    <row r="106" spans="1:14" ht="15.75" customHeight="1" x14ac:dyDescent="0.15">
      <c r="A106" s="28" t="s">
        <v>174</v>
      </c>
      <c r="B106" s="32"/>
      <c r="C106" s="34"/>
      <c r="D106" s="34">
        <f t="shared" ref="D106:F106" si="3">AVERAGE(D4:D104)</f>
        <v>0.21698019801980198</v>
      </c>
      <c r="E106" s="34">
        <f t="shared" si="3"/>
        <v>1.3875742574257424</v>
      </c>
      <c r="F106" s="34">
        <f t="shared" si="3"/>
        <v>1.6206</v>
      </c>
      <c r="G106" s="12"/>
      <c r="H106" s="12"/>
      <c r="I106" s="12"/>
      <c r="J106" s="12"/>
      <c r="K106" s="12"/>
      <c r="L106" s="12"/>
      <c r="M106" s="12"/>
      <c r="N106" s="16"/>
    </row>
    <row r="107" spans="1:14" ht="15.75" customHeight="1" x14ac:dyDescent="0.15">
      <c r="A107" s="16"/>
      <c r="B107" s="141"/>
      <c r="C107" s="43"/>
      <c r="D107" s="15"/>
      <c r="E107" s="16"/>
      <c r="F107" s="16"/>
      <c r="G107" s="12"/>
      <c r="H107" s="12"/>
      <c r="I107" s="12"/>
      <c r="J107" s="12"/>
      <c r="K107" s="12"/>
      <c r="L107" s="12"/>
      <c r="M107" s="12"/>
      <c r="N107" s="16"/>
    </row>
    <row r="108" spans="1:14" ht="15.75" customHeight="1" x14ac:dyDescent="0.15">
      <c r="A108" s="16"/>
      <c r="B108" s="141"/>
      <c r="C108" s="43"/>
      <c r="D108" s="15"/>
      <c r="E108" s="16"/>
      <c r="F108" s="16"/>
      <c r="G108" s="12"/>
      <c r="H108" s="12"/>
      <c r="I108" s="12"/>
      <c r="J108" s="12"/>
      <c r="K108" s="12"/>
      <c r="L108" s="12"/>
      <c r="M108" s="12"/>
      <c r="N108" s="16"/>
    </row>
    <row r="109" spans="1:14" ht="15.75" customHeight="1" x14ac:dyDescent="0.15">
      <c r="A109" s="16"/>
      <c r="B109" s="43"/>
      <c r="C109" s="43"/>
      <c r="D109" s="15"/>
      <c r="E109" s="16"/>
      <c r="F109" s="16"/>
      <c r="G109" s="12"/>
      <c r="H109" s="12"/>
      <c r="I109" s="12"/>
      <c r="J109" s="12"/>
      <c r="K109" s="12"/>
      <c r="L109" s="12"/>
      <c r="M109" s="12"/>
      <c r="N109" s="16"/>
    </row>
    <row r="110" spans="1:14" ht="15.75" customHeight="1" x14ac:dyDescent="0.15">
      <c r="A110" s="16"/>
      <c r="B110" s="43"/>
      <c r="C110" s="43"/>
      <c r="D110" s="15"/>
      <c r="E110" s="16"/>
      <c r="F110" s="16"/>
      <c r="G110" s="12"/>
      <c r="H110" s="12"/>
      <c r="I110" s="12"/>
      <c r="J110" s="12"/>
      <c r="K110" s="12"/>
      <c r="L110" s="12"/>
      <c r="M110" s="12"/>
      <c r="N110" s="16"/>
    </row>
    <row r="111" spans="1:14" ht="15.75" customHeight="1" x14ac:dyDescent="0.15">
      <c r="A111" s="16"/>
      <c r="B111" s="43"/>
      <c r="C111" s="43"/>
      <c r="D111" s="15"/>
      <c r="E111" s="16"/>
      <c r="F111" s="16"/>
      <c r="G111" s="12"/>
      <c r="H111" s="12"/>
      <c r="I111" s="12"/>
      <c r="J111" s="12"/>
      <c r="K111" s="12"/>
      <c r="L111" s="12"/>
      <c r="M111" s="12"/>
      <c r="N111" s="16"/>
    </row>
    <row r="112" spans="1:14" ht="15.75" customHeight="1" x14ac:dyDescent="0.15">
      <c r="A112" s="16"/>
      <c r="B112" s="43"/>
      <c r="C112" s="43"/>
      <c r="D112" s="15"/>
      <c r="E112" s="16"/>
      <c r="F112" s="16"/>
      <c r="G112" s="12"/>
      <c r="H112" s="12"/>
      <c r="I112" s="12"/>
      <c r="J112" s="12"/>
      <c r="K112" s="12"/>
      <c r="L112" s="12"/>
      <c r="M112" s="12"/>
      <c r="N112" s="16"/>
    </row>
    <row r="113" spans="1:14" ht="15.75" customHeight="1" x14ac:dyDescent="0.15">
      <c r="A113" s="16"/>
      <c r="B113" s="43"/>
      <c r="C113" s="43"/>
      <c r="D113" s="15"/>
      <c r="E113" s="16"/>
      <c r="F113" s="16"/>
      <c r="G113" s="12"/>
      <c r="H113" s="12"/>
      <c r="I113" s="12"/>
      <c r="J113" s="12"/>
      <c r="K113" s="12"/>
      <c r="L113" s="12"/>
      <c r="M113" s="12"/>
      <c r="N113" s="16"/>
    </row>
    <row r="114" spans="1:14" ht="15.75" customHeight="1" x14ac:dyDescent="0.15">
      <c r="A114" s="16"/>
      <c r="B114" s="43"/>
      <c r="C114" s="43"/>
      <c r="D114" s="15"/>
      <c r="E114" s="16"/>
      <c r="F114" s="16"/>
      <c r="G114" s="12"/>
      <c r="H114" s="12"/>
      <c r="I114" s="12"/>
      <c r="J114" s="12"/>
      <c r="K114" s="12"/>
      <c r="L114" s="12"/>
      <c r="M114" s="12"/>
      <c r="N114" s="16"/>
    </row>
    <row r="115" spans="1:14" ht="15.75" customHeight="1" x14ac:dyDescent="0.15">
      <c r="A115" s="16"/>
      <c r="B115" s="43"/>
      <c r="C115" s="43"/>
      <c r="D115" s="15"/>
      <c r="E115" s="16"/>
      <c r="F115" s="16"/>
      <c r="G115" s="12"/>
      <c r="H115" s="12"/>
      <c r="I115" s="12"/>
      <c r="J115" s="12"/>
      <c r="K115" s="12"/>
      <c r="L115" s="12"/>
      <c r="M115" s="12"/>
      <c r="N115" s="16"/>
    </row>
    <row r="116" spans="1:14" ht="15.75" customHeight="1" x14ac:dyDescent="0.15">
      <c r="A116" s="16"/>
      <c r="B116" s="43"/>
      <c r="C116" s="43"/>
      <c r="D116" s="15"/>
      <c r="E116" s="16"/>
      <c r="F116" s="16"/>
      <c r="G116" s="12"/>
      <c r="H116" s="12"/>
      <c r="I116" s="12"/>
      <c r="J116" s="12"/>
      <c r="K116" s="12"/>
      <c r="L116" s="12"/>
      <c r="M116" s="12"/>
      <c r="N116" s="16"/>
    </row>
    <row r="117" spans="1:14" ht="15.75" customHeight="1" x14ac:dyDescent="0.15">
      <c r="A117" s="16"/>
      <c r="B117" s="43"/>
      <c r="C117" s="43"/>
      <c r="D117" s="15"/>
      <c r="E117" s="16"/>
      <c r="F117" s="16"/>
      <c r="G117" s="12"/>
      <c r="H117" s="12"/>
      <c r="I117" s="12"/>
      <c r="J117" s="12"/>
      <c r="K117" s="12"/>
      <c r="L117" s="12"/>
      <c r="M117" s="12"/>
      <c r="N117" s="16"/>
    </row>
    <row r="118" spans="1:14" ht="15.75" customHeight="1" x14ac:dyDescent="0.15">
      <c r="A118" s="16"/>
      <c r="B118" s="43"/>
      <c r="C118" s="43"/>
      <c r="D118" s="15"/>
      <c r="E118" s="16"/>
      <c r="F118" s="16"/>
      <c r="G118" s="12"/>
      <c r="H118" s="12"/>
      <c r="I118" s="12"/>
      <c r="J118" s="12"/>
      <c r="K118" s="12"/>
      <c r="L118" s="12"/>
      <c r="M118" s="12"/>
      <c r="N118" s="16"/>
    </row>
    <row r="119" spans="1:14" ht="15.75" customHeight="1" x14ac:dyDescent="0.15">
      <c r="A119" s="16"/>
      <c r="B119" s="43"/>
      <c r="C119" s="43"/>
      <c r="D119" s="15"/>
      <c r="E119" s="16"/>
      <c r="F119" s="16"/>
      <c r="G119" s="12"/>
      <c r="H119" s="12"/>
      <c r="I119" s="12"/>
      <c r="J119" s="12"/>
      <c r="K119" s="12"/>
      <c r="L119" s="12"/>
      <c r="M119" s="12"/>
      <c r="N119" s="16"/>
    </row>
    <row r="120" spans="1:14" ht="15.75" customHeight="1" x14ac:dyDescent="0.15">
      <c r="A120" s="16"/>
      <c r="B120" s="43"/>
      <c r="C120" s="43"/>
      <c r="D120" s="15"/>
      <c r="E120" s="16"/>
      <c r="F120" s="16"/>
      <c r="G120" s="12"/>
      <c r="H120" s="12"/>
      <c r="I120" s="12"/>
      <c r="J120" s="12"/>
      <c r="K120" s="12"/>
      <c r="L120" s="12"/>
      <c r="M120" s="12"/>
      <c r="N120" s="16"/>
    </row>
    <row r="121" spans="1:14" ht="15.75" customHeight="1" x14ac:dyDescent="0.15">
      <c r="A121" s="16"/>
      <c r="B121" s="43"/>
      <c r="C121" s="43"/>
      <c r="D121" s="15"/>
      <c r="E121" s="16"/>
      <c r="F121" s="16"/>
      <c r="G121" s="12"/>
      <c r="H121" s="12"/>
      <c r="I121" s="12"/>
      <c r="J121" s="12"/>
      <c r="K121" s="12"/>
      <c r="L121" s="12"/>
      <c r="M121" s="12"/>
      <c r="N121" s="16"/>
    </row>
    <row r="122" spans="1:14" ht="15.75" customHeight="1" x14ac:dyDescent="0.15">
      <c r="A122" s="16"/>
      <c r="B122" s="43"/>
      <c r="C122" s="43"/>
      <c r="D122" s="15"/>
      <c r="E122" s="16"/>
      <c r="F122" s="16"/>
      <c r="G122" s="12"/>
      <c r="H122" s="12"/>
      <c r="I122" s="12"/>
      <c r="J122" s="12"/>
      <c r="K122" s="12"/>
      <c r="L122" s="12"/>
      <c r="M122" s="12"/>
      <c r="N122" s="16"/>
    </row>
    <row r="123" spans="1:14" ht="15.75" customHeight="1" x14ac:dyDescent="0.15">
      <c r="A123" s="16"/>
      <c r="B123" s="43"/>
      <c r="C123" s="43"/>
      <c r="D123" s="15"/>
      <c r="E123" s="16"/>
      <c r="F123" s="16"/>
      <c r="G123" s="12"/>
      <c r="H123" s="12"/>
      <c r="I123" s="12"/>
      <c r="J123" s="12"/>
      <c r="K123" s="12"/>
      <c r="L123" s="12"/>
      <c r="M123" s="12"/>
      <c r="N123" s="16"/>
    </row>
    <row r="124" spans="1:14" ht="15.75" customHeight="1" x14ac:dyDescent="0.15">
      <c r="A124" s="16"/>
      <c r="B124" s="43"/>
      <c r="C124" s="43"/>
      <c r="D124" s="15"/>
      <c r="E124" s="16"/>
      <c r="F124" s="16"/>
      <c r="G124" s="12"/>
      <c r="H124" s="12"/>
      <c r="I124" s="12"/>
      <c r="J124" s="12"/>
      <c r="K124" s="12"/>
      <c r="L124" s="12"/>
      <c r="M124" s="12"/>
      <c r="N124" s="16"/>
    </row>
    <row r="125" spans="1:14" ht="15.75" customHeight="1" x14ac:dyDescent="0.15">
      <c r="A125" s="16"/>
      <c r="B125" s="43"/>
      <c r="C125" s="43"/>
      <c r="D125" s="15"/>
      <c r="E125" s="16"/>
      <c r="F125" s="16"/>
      <c r="G125" s="12"/>
      <c r="H125" s="12"/>
      <c r="I125" s="12"/>
      <c r="J125" s="12"/>
      <c r="K125" s="12"/>
      <c r="L125" s="12"/>
      <c r="M125" s="12"/>
      <c r="N125" s="16"/>
    </row>
    <row r="126" spans="1:14" ht="15.75" customHeight="1" x14ac:dyDescent="0.15">
      <c r="A126" s="16"/>
      <c r="B126" s="43"/>
      <c r="C126" s="43"/>
      <c r="D126" s="16"/>
      <c r="E126" s="16"/>
      <c r="F126" s="16"/>
      <c r="G126" s="12"/>
      <c r="H126" s="12"/>
      <c r="I126" s="12"/>
      <c r="J126" s="12"/>
      <c r="K126" s="12"/>
      <c r="L126" s="12"/>
      <c r="M126" s="12"/>
      <c r="N126" s="16"/>
    </row>
    <row r="127" spans="1:14" ht="15.75" customHeight="1" x14ac:dyDescent="0.15">
      <c r="A127" s="16"/>
      <c r="B127" s="43"/>
      <c r="C127" s="43"/>
      <c r="D127" s="16"/>
      <c r="E127" s="16"/>
      <c r="F127" s="16"/>
      <c r="G127" s="12"/>
      <c r="H127" s="12"/>
      <c r="I127" s="12"/>
      <c r="J127" s="12"/>
      <c r="K127" s="12"/>
      <c r="L127" s="12"/>
      <c r="M127" s="12"/>
      <c r="N127" s="16"/>
    </row>
    <row r="128" spans="1:14" ht="15.75" customHeight="1" x14ac:dyDescent="0.15">
      <c r="A128" s="16"/>
      <c r="B128" s="43"/>
      <c r="C128" s="43"/>
      <c r="D128" s="16"/>
      <c r="E128" s="16"/>
      <c r="F128" s="16"/>
      <c r="G128" s="12"/>
      <c r="H128" s="12"/>
      <c r="I128" s="12"/>
      <c r="J128" s="12"/>
      <c r="K128" s="12"/>
      <c r="L128" s="12"/>
      <c r="M128" s="12"/>
      <c r="N128" s="16"/>
    </row>
    <row r="129" spans="1:14" ht="15.75" customHeight="1" x14ac:dyDescent="0.15">
      <c r="A129" s="16"/>
      <c r="B129" s="43"/>
      <c r="C129" s="43"/>
      <c r="D129" s="16"/>
      <c r="E129" s="16"/>
      <c r="F129" s="16"/>
      <c r="G129" s="12"/>
      <c r="H129" s="12"/>
      <c r="I129" s="12"/>
      <c r="J129" s="12"/>
      <c r="K129" s="12"/>
      <c r="L129" s="12"/>
      <c r="M129" s="12"/>
      <c r="N129" s="16"/>
    </row>
    <row r="130" spans="1:14" ht="15.75" customHeight="1" x14ac:dyDescent="0.15">
      <c r="A130" s="16"/>
      <c r="B130" s="43"/>
      <c r="C130" s="43"/>
      <c r="D130" s="16"/>
      <c r="E130" s="16"/>
      <c r="F130" s="16"/>
      <c r="G130" s="12"/>
      <c r="H130" s="12"/>
      <c r="I130" s="12"/>
      <c r="J130" s="12"/>
      <c r="K130" s="12"/>
      <c r="L130" s="12"/>
      <c r="M130" s="12"/>
      <c r="N130" s="16"/>
    </row>
    <row r="131" spans="1:14" ht="15.75" customHeight="1" x14ac:dyDescent="0.15">
      <c r="A131" s="16"/>
      <c r="B131" s="43"/>
      <c r="C131" s="43"/>
      <c r="D131" s="16"/>
      <c r="E131" s="16"/>
      <c r="F131" s="16"/>
      <c r="G131" s="12"/>
      <c r="H131" s="12"/>
      <c r="I131" s="12"/>
      <c r="J131" s="12"/>
      <c r="K131" s="12"/>
      <c r="L131" s="12"/>
      <c r="M131" s="12"/>
      <c r="N131" s="16"/>
    </row>
    <row r="132" spans="1:14" ht="15.75" customHeight="1" x14ac:dyDescent="0.15">
      <c r="A132" s="16"/>
      <c r="B132" s="43"/>
      <c r="C132" s="43"/>
      <c r="D132" s="16"/>
      <c r="E132" s="16"/>
      <c r="F132" s="16"/>
      <c r="G132" s="12"/>
      <c r="H132" s="12"/>
      <c r="I132" s="12"/>
      <c r="J132" s="12"/>
      <c r="K132" s="12"/>
      <c r="L132" s="12"/>
      <c r="M132" s="12"/>
      <c r="N132" s="16"/>
    </row>
    <row r="133" spans="1:14" ht="15.75" customHeight="1" x14ac:dyDescent="0.15">
      <c r="A133" s="16"/>
      <c r="B133" s="43"/>
      <c r="C133" s="43"/>
      <c r="D133" s="16"/>
      <c r="E133" s="16"/>
      <c r="F133" s="16"/>
      <c r="G133" s="12"/>
      <c r="H133" s="12"/>
      <c r="I133" s="12"/>
      <c r="J133" s="12"/>
      <c r="K133" s="12"/>
      <c r="L133" s="12"/>
      <c r="M133" s="12"/>
      <c r="N133" s="16"/>
    </row>
    <row r="134" spans="1:14" ht="15.75" customHeight="1" x14ac:dyDescent="0.15">
      <c r="A134" s="16"/>
      <c r="B134" s="43"/>
      <c r="C134" s="43"/>
      <c r="D134" s="16"/>
      <c r="E134" s="16"/>
      <c r="F134" s="16"/>
      <c r="G134" s="12"/>
      <c r="H134" s="12"/>
      <c r="I134" s="12"/>
      <c r="J134" s="12"/>
      <c r="K134" s="12"/>
      <c r="L134" s="12"/>
      <c r="M134" s="12"/>
      <c r="N134" s="16"/>
    </row>
    <row r="135" spans="1:14" ht="15.75" customHeight="1" x14ac:dyDescent="0.15">
      <c r="A135" s="16"/>
      <c r="B135" s="43"/>
      <c r="C135" s="43"/>
      <c r="D135" s="16"/>
      <c r="E135" s="16"/>
      <c r="F135" s="16"/>
      <c r="G135" s="12"/>
      <c r="H135" s="12"/>
      <c r="I135" s="12"/>
      <c r="J135" s="12"/>
      <c r="K135" s="12"/>
      <c r="L135" s="12"/>
      <c r="M135" s="12"/>
      <c r="N135" s="16"/>
    </row>
    <row r="136" spans="1:14" ht="15.75" customHeight="1" x14ac:dyDescent="0.15">
      <c r="A136" s="16"/>
      <c r="B136" s="43"/>
      <c r="C136" s="43"/>
      <c r="D136" s="16"/>
      <c r="E136" s="16"/>
      <c r="F136" s="16"/>
      <c r="G136" s="12"/>
      <c r="H136" s="12"/>
      <c r="I136" s="12"/>
      <c r="J136" s="12"/>
      <c r="K136" s="12"/>
      <c r="L136" s="12"/>
      <c r="M136" s="12"/>
      <c r="N136" s="16"/>
    </row>
    <row r="137" spans="1:14" ht="15.75" customHeight="1" x14ac:dyDescent="0.15">
      <c r="A137" s="16"/>
      <c r="B137" s="43"/>
      <c r="C137" s="43"/>
      <c r="D137" s="16"/>
      <c r="E137" s="16"/>
      <c r="F137" s="16"/>
      <c r="G137" s="12"/>
      <c r="H137" s="12"/>
      <c r="I137" s="12"/>
      <c r="J137" s="12"/>
      <c r="K137" s="12"/>
      <c r="L137" s="12"/>
      <c r="M137" s="12"/>
      <c r="N137" s="16"/>
    </row>
    <row r="138" spans="1:14" ht="15.75" customHeight="1" x14ac:dyDescent="0.15">
      <c r="A138" s="16"/>
      <c r="B138" s="43"/>
      <c r="C138" s="43"/>
      <c r="D138" s="16"/>
      <c r="E138" s="16"/>
      <c r="F138" s="16"/>
      <c r="G138" s="12"/>
      <c r="H138" s="12"/>
      <c r="I138" s="12"/>
      <c r="J138" s="12"/>
      <c r="K138" s="12"/>
      <c r="L138" s="12"/>
      <c r="M138" s="12"/>
      <c r="N138" s="16"/>
    </row>
    <row r="139" spans="1:14" ht="15.75" customHeight="1" x14ac:dyDescent="0.15">
      <c r="A139" s="16"/>
      <c r="B139" s="43"/>
      <c r="C139" s="43"/>
      <c r="D139" s="16"/>
      <c r="E139" s="16"/>
      <c r="F139" s="16"/>
      <c r="G139" s="12"/>
      <c r="H139" s="12"/>
      <c r="I139" s="12"/>
      <c r="J139" s="12"/>
      <c r="K139" s="12"/>
      <c r="L139" s="12"/>
      <c r="M139" s="12"/>
      <c r="N139" s="16"/>
    </row>
    <row r="140" spans="1:14" ht="15.75" customHeight="1" x14ac:dyDescent="0.15">
      <c r="A140" s="16"/>
      <c r="B140" s="43"/>
      <c r="C140" s="43"/>
      <c r="D140" s="16"/>
      <c r="E140" s="16"/>
      <c r="F140" s="16"/>
      <c r="G140" s="12"/>
      <c r="H140" s="12"/>
      <c r="I140" s="12"/>
      <c r="J140" s="12"/>
      <c r="K140" s="12"/>
      <c r="L140" s="12"/>
      <c r="M140" s="12"/>
      <c r="N140" s="16"/>
    </row>
    <row r="141" spans="1:14" ht="15.75" customHeight="1" x14ac:dyDescent="0.15">
      <c r="A141" s="16"/>
      <c r="B141" s="43"/>
      <c r="C141" s="43"/>
      <c r="D141" s="16"/>
      <c r="E141" s="16"/>
      <c r="F141" s="16"/>
      <c r="G141" s="12"/>
      <c r="H141" s="12"/>
      <c r="I141" s="12"/>
      <c r="J141" s="12"/>
      <c r="K141" s="12"/>
      <c r="L141" s="12"/>
      <c r="M141" s="12"/>
      <c r="N141" s="16"/>
    </row>
    <row r="142" spans="1:14" ht="15.75" customHeight="1" x14ac:dyDescent="0.15">
      <c r="A142" s="16"/>
      <c r="B142" s="43"/>
      <c r="C142" s="43"/>
      <c r="D142" s="16"/>
      <c r="E142" s="16"/>
      <c r="F142" s="16"/>
      <c r="G142" s="12"/>
      <c r="H142" s="12"/>
      <c r="I142" s="12"/>
      <c r="J142" s="12"/>
      <c r="K142" s="12"/>
      <c r="L142" s="12"/>
      <c r="M142" s="12"/>
      <c r="N142" s="16"/>
    </row>
    <row r="143" spans="1:14" ht="15.75" customHeight="1" x14ac:dyDescent="0.15">
      <c r="A143" s="16"/>
      <c r="B143" s="43"/>
      <c r="C143" s="43"/>
      <c r="D143" s="16"/>
      <c r="E143" s="16"/>
      <c r="F143" s="16"/>
      <c r="G143" s="12"/>
      <c r="H143" s="12"/>
      <c r="I143" s="12"/>
      <c r="J143" s="12"/>
      <c r="K143" s="12"/>
      <c r="L143" s="12"/>
      <c r="M143" s="12"/>
      <c r="N143" s="16"/>
    </row>
    <row r="144" spans="1:14" ht="15.75" customHeight="1" x14ac:dyDescent="0.15">
      <c r="A144" s="16"/>
      <c r="B144" s="43"/>
      <c r="C144" s="43"/>
      <c r="D144" s="16"/>
      <c r="E144" s="16"/>
      <c r="F144" s="16"/>
      <c r="G144" s="12"/>
      <c r="H144" s="12"/>
      <c r="I144" s="12"/>
      <c r="J144" s="12"/>
      <c r="K144" s="12"/>
      <c r="L144" s="12"/>
      <c r="M144" s="12"/>
      <c r="N144" s="16"/>
    </row>
    <row r="145" spans="1:14" ht="15.75" customHeight="1" x14ac:dyDescent="0.15">
      <c r="A145" s="16"/>
      <c r="B145" s="43"/>
      <c r="C145" s="43"/>
      <c r="D145" s="16"/>
      <c r="E145" s="16"/>
      <c r="F145" s="16"/>
      <c r="G145" s="12"/>
      <c r="H145" s="12"/>
      <c r="I145" s="12"/>
      <c r="J145" s="12"/>
      <c r="K145" s="12"/>
      <c r="L145" s="12"/>
      <c r="M145" s="12"/>
      <c r="N145" s="16"/>
    </row>
    <row r="146" spans="1:14" ht="15.75" customHeight="1" x14ac:dyDescent="0.15">
      <c r="A146" s="16"/>
      <c r="B146" s="43"/>
      <c r="C146" s="43"/>
      <c r="D146" s="16"/>
      <c r="E146" s="16"/>
      <c r="F146" s="16"/>
      <c r="G146" s="12"/>
      <c r="H146" s="12"/>
      <c r="I146" s="12"/>
      <c r="J146" s="12"/>
      <c r="K146" s="12"/>
      <c r="L146" s="12"/>
      <c r="M146" s="12"/>
      <c r="N146" s="16"/>
    </row>
    <row r="147" spans="1:14" ht="15.75" customHeight="1" x14ac:dyDescent="0.15">
      <c r="A147" s="16"/>
      <c r="B147" s="43"/>
      <c r="C147" s="43"/>
      <c r="D147" s="16"/>
      <c r="E147" s="16"/>
      <c r="F147" s="16"/>
      <c r="G147" s="12"/>
      <c r="H147" s="12"/>
      <c r="I147" s="12"/>
      <c r="J147" s="12"/>
      <c r="K147" s="12"/>
      <c r="L147" s="12"/>
      <c r="M147" s="12"/>
      <c r="N147" s="16"/>
    </row>
    <row r="148" spans="1:14" ht="15.75" customHeight="1" x14ac:dyDescent="0.15">
      <c r="A148" s="16"/>
      <c r="B148" s="43"/>
      <c r="C148" s="43"/>
      <c r="D148" s="16"/>
      <c r="E148" s="16"/>
      <c r="F148" s="16"/>
      <c r="G148" s="12"/>
      <c r="H148" s="12"/>
      <c r="I148" s="12"/>
      <c r="J148" s="12"/>
      <c r="K148" s="12"/>
      <c r="L148" s="12"/>
      <c r="M148" s="12"/>
      <c r="N148" s="16"/>
    </row>
    <row r="149" spans="1:14" ht="15.75" customHeight="1" x14ac:dyDescent="0.15">
      <c r="A149" s="16"/>
      <c r="B149" s="43"/>
      <c r="C149" s="43"/>
      <c r="D149" s="16"/>
      <c r="E149" s="16"/>
      <c r="F149" s="16"/>
      <c r="G149" s="12"/>
      <c r="H149" s="12"/>
      <c r="I149" s="12"/>
      <c r="J149" s="12"/>
      <c r="K149" s="12"/>
      <c r="L149" s="12"/>
      <c r="M149" s="12"/>
      <c r="N149" s="16"/>
    </row>
    <row r="150" spans="1:14" ht="15.75" customHeight="1" x14ac:dyDescent="0.15">
      <c r="A150" s="16"/>
      <c r="B150" s="43"/>
      <c r="C150" s="43"/>
      <c r="D150" s="16"/>
      <c r="E150" s="16"/>
      <c r="F150" s="16"/>
      <c r="G150" s="12"/>
      <c r="H150" s="12"/>
      <c r="I150" s="12"/>
      <c r="J150" s="12"/>
      <c r="K150" s="12"/>
      <c r="L150" s="12"/>
      <c r="M150" s="12"/>
      <c r="N150" s="16"/>
    </row>
    <row r="151" spans="1:14" ht="15.75" customHeight="1" x14ac:dyDescent="0.15">
      <c r="A151" s="16"/>
      <c r="B151" s="43"/>
      <c r="C151" s="43"/>
      <c r="D151" s="16"/>
      <c r="E151" s="16"/>
      <c r="F151" s="16"/>
      <c r="G151" s="12"/>
      <c r="H151" s="12"/>
      <c r="I151" s="12"/>
      <c r="J151" s="12"/>
      <c r="K151" s="12"/>
      <c r="L151" s="12"/>
      <c r="M151" s="12"/>
      <c r="N151" s="16"/>
    </row>
    <row r="152" spans="1:14" ht="15.75" customHeight="1" x14ac:dyDescent="0.15">
      <c r="A152" s="16"/>
      <c r="B152" s="43"/>
      <c r="C152" s="43"/>
      <c r="D152" s="16"/>
      <c r="E152" s="16"/>
      <c r="F152" s="16"/>
      <c r="G152" s="12"/>
      <c r="H152" s="12"/>
      <c r="I152" s="12"/>
      <c r="J152" s="12"/>
      <c r="K152" s="12"/>
      <c r="L152" s="12"/>
      <c r="M152" s="12"/>
      <c r="N152" s="16"/>
    </row>
    <row r="153" spans="1:14" ht="15.75" customHeight="1" x14ac:dyDescent="0.15">
      <c r="A153" s="16"/>
      <c r="B153" s="43"/>
      <c r="C153" s="43"/>
      <c r="D153" s="16"/>
      <c r="E153" s="16"/>
      <c r="F153" s="16"/>
      <c r="G153" s="12"/>
      <c r="H153" s="12"/>
      <c r="I153" s="12"/>
      <c r="J153" s="12"/>
      <c r="K153" s="12"/>
      <c r="L153" s="12"/>
      <c r="M153" s="12"/>
      <c r="N153" s="16"/>
    </row>
    <row r="154" spans="1:14" ht="15.75" customHeight="1" x14ac:dyDescent="0.15">
      <c r="A154" s="16"/>
      <c r="B154" s="43"/>
      <c r="C154" s="43"/>
      <c r="D154" s="16"/>
      <c r="E154" s="16"/>
      <c r="F154" s="16"/>
      <c r="G154" s="12"/>
      <c r="H154" s="12"/>
      <c r="I154" s="12"/>
      <c r="J154" s="12"/>
      <c r="K154" s="12"/>
      <c r="L154" s="12"/>
      <c r="M154" s="12"/>
      <c r="N154" s="16"/>
    </row>
    <row r="155" spans="1:14" ht="15.75" customHeight="1" x14ac:dyDescent="0.15">
      <c r="A155" s="16"/>
      <c r="B155" s="43"/>
      <c r="C155" s="43"/>
      <c r="D155" s="16"/>
      <c r="E155" s="16"/>
      <c r="F155" s="16"/>
      <c r="G155" s="12"/>
      <c r="H155" s="12"/>
      <c r="I155" s="12"/>
      <c r="J155" s="12"/>
      <c r="K155" s="12"/>
      <c r="L155" s="12"/>
      <c r="M155" s="12"/>
      <c r="N155" s="16"/>
    </row>
    <row r="156" spans="1:14" ht="15.75" customHeight="1" x14ac:dyDescent="0.15">
      <c r="A156" s="16"/>
      <c r="B156" s="43"/>
      <c r="C156" s="43"/>
      <c r="D156" s="16"/>
      <c r="E156" s="16"/>
      <c r="F156" s="16"/>
      <c r="G156" s="12"/>
      <c r="H156" s="12"/>
      <c r="I156" s="12"/>
      <c r="J156" s="12"/>
      <c r="K156" s="12"/>
      <c r="L156" s="12"/>
      <c r="M156" s="12"/>
      <c r="N156" s="16"/>
    </row>
    <row r="157" spans="1:14" ht="15.75" customHeight="1" x14ac:dyDescent="0.15">
      <c r="A157" s="16"/>
      <c r="B157" s="43"/>
      <c r="C157" s="43"/>
      <c r="D157" s="16"/>
      <c r="E157" s="16"/>
      <c r="F157" s="16"/>
      <c r="G157" s="12"/>
      <c r="H157" s="12"/>
      <c r="I157" s="12"/>
      <c r="J157" s="12"/>
      <c r="K157" s="12"/>
      <c r="L157" s="12"/>
      <c r="M157" s="12"/>
      <c r="N157" s="16"/>
    </row>
    <row r="158" spans="1:14" ht="15.75" customHeight="1" x14ac:dyDescent="0.15">
      <c r="A158" s="16"/>
      <c r="B158" s="43"/>
      <c r="C158" s="43"/>
      <c r="D158" s="16"/>
      <c r="E158" s="16"/>
      <c r="F158" s="16"/>
      <c r="G158" s="12"/>
      <c r="H158" s="12"/>
      <c r="I158" s="12"/>
      <c r="J158" s="12"/>
      <c r="K158" s="12"/>
      <c r="L158" s="12"/>
      <c r="M158" s="12"/>
      <c r="N158" s="16"/>
    </row>
    <row r="159" spans="1:14" ht="15.75" customHeight="1" x14ac:dyDescent="0.15">
      <c r="A159" s="16"/>
      <c r="B159" s="43"/>
      <c r="C159" s="43"/>
      <c r="D159" s="16"/>
      <c r="E159" s="16"/>
      <c r="F159" s="16"/>
      <c r="G159" s="12"/>
      <c r="H159" s="12"/>
      <c r="I159" s="12"/>
      <c r="J159" s="12"/>
      <c r="K159" s="12"/>
      <c r="L159" s="12"/>
      <c r="M159" s="12"/>
      <c r="N159" s="16"/>
    </row>
    <row r="160" spans="1:14" ht="15.75" customHeight="1" x14ac:dyDescent="0.15">
      <c r="A160" s="16"/>
      <c r="B160" s="43"/>
      <c r="C160" s="43"/>
      <c r="D160" s="16"/>
      <c r="E160" s="16"/>
      <c r="F160" s="16"/>
      <c r="G160" s="12"/>
      <c r="H160" s="12"/>
      <c r="I160" s="12"/>
      <c r="J160" s="12"/>
      <c r="K160" s="12"/>
      <c r="L160" s="12"/>
      <c r="M160" s="12"/>
      <c r="N160" s="16"/>
    </row>
    <row r="161" spans="1:14" ht="15.75" customHeight="1" x14ac:dyDescent="0.15">
      <c r="A161" s="16"/>
      <c r="B161" s="43"/>
      <c r="C161" s="43"/>
      <c r="D161" s="16"/>
      <c r="E161" s="16"/>
      <c r="F161" s="16"/>
      <c r="G161" s="12"/>
      <c r="H161" s="12"/>
      <c r="I161" s="12"/>
      <c r="J161" s="12"/>
      <c r="K161" s="12"/>
      <c r="L161" s="12"/>
      <c r="M161" s="12"/>
      <c r="N161" s="16"/>
    </row>
    <row r="162" spans="1:14" ht="15.75" customHeight="1" x14ac:dyDescent="0.15">
      <c r="A162" s="16"/>
      <c r="B162" s="43"/>
      <c r="C162" s="43"/>
      <c r="D162" s="16"/>
      <c r="E162" s="16"/>
      <c r="F162" s="16"/>
      <c r="G162" s="12"/>
      <c r="H162" s="12"/>
      <c r="I162" s="12"/>
      <c r="J162" s="12"/>
      <c r="K162" s="12"/>
      <c r="L162" s="12"/>
      <c r="M162" s="12"/>
      <c r="N162" s="16"/>
    </row>
    <row r="163" spans="1:14" ht="15.75" customHeight="1" x14ac:dyDescent="0.15">
      <c r="A163" s="16"/>
      <c r="B163" s="43"/>
      <c r="C163" s="43"/>
      <c r="D163" s="16"/>
      <c r="E163" s="16"/>
      <c r="F163" s="16"/>
      <c r="G163" s="12"/>
      <c r="H163" s="12"/>
      <c r="I163" s="12"/>
      <c r="J163" s="12"/>
      <c r="K163" s="12"/>
      <c r="L163" s="12"/>
      <c r="M163" s="12"/>
      <c r="N163" s="16"/>
    </row>
    <row r="164" spans="1:14" ht="15.75" customHeight="1" x14ac:dyDescent="0.15">
      <c r="A164" s="16"/>
      <c r="B164" s="43"/>
      <c r="C164" s="43"/>
      <c r="D164" s="16"/>
      <c r="E164" s="16"/>
      <c r="F164" s="16"/>
      <c r="G164" s="12"/>
      <c r="H164" s="12"/>
      <c r="I164" s="12"/>
      <c r="J164" s="12"/>
      <c r="K164" s="12"/>
      <c r="L164" s="12"/>
      <c r="M164" s="12"/>
      <c r="N164" s="16"/>
    </row>
    <row r="165" spans="1:14" ht="15.75" customHeight="1" x14ac:dyDescent="0.15">
      <c r="A165" s="16"/>
      <c r="B165" s="43"/>
      <c r="C165" s="43"/>
      <c r="D165" s="16"/>
      <c r="E165" s="16"/>
      <c r="F165" s="16"/>
      <c r="G165" s="12"/>
      <c r="H165" s="12"/>
      <c r="I165" s="12"/>
      <c r="J165" s="12"/>
      <c r="K165" s="12"/>
      <c r="L165" s="12"/>
      <c r="M165" s="12"/>
      <c r="N165" s="16"/>
    </row>
    <row r="166" spans="1:14" ht="15.75" customHeight="1" x14ac:dyDescent="0.15">
      <c r="A166" s="16"/>
      <c r="B166" s="43"/>
      <c r="C166" s="43"/>
      <c r="D166" s="16"/>
      <c r="E166" s="16"/>
      <c r="F166" s="16"/>
      <c r="G166" s="12"/>
      <c r="H166" s="12"/>
      <c r="I166" s="12"/>
      <c r="J166" s="12"/>
      <c r="K166" s="12"/>
      <c r="L166" s="12"/>
      <c r="M166" s="12"/>
      <c r="N166" s="16"/>
    </row>
    <row r="167" spans="1:14" ht="15.75" customHeight="1" x14ac:dyDescent="0.15">
      <c r="A167" s="16"/>
      <c r="B167" s="43"/>
      <c r="C167" s="43"/>
      <c r="D167" s="16"/>
      <c r="E167" s="16"/>
      <c r="F167" s="16"/>
      <c r="G167" s="12"/>
      <c r="H167" s="12"/>
      <c r="I167" s="12"/>
      <c r="J167" s="12"/>
      <c r="K167" s="12"/>
      <c r="L167" s="12"/>
      <c r="M167" s="12"/>
      <c r="N167" s="16"/>
    </row>
    <row r="168" spans="1:14" ht="15.75" customHeight="1" x14ac:dyDescent="0.15">
      <c r="A168" s="16"/>
      <c r="B168" s="43"/>
      <c r="C168" s="43"/>
      <c r="D168" s="16"/>
      <c r="E168" s="16"/>
      <c r="F168" s="16"/>
      <c r="G168" s="12"/>
      <c r="H168" s="12"/>
      <c r="I168" s="12"/>
      <c r="J168" s="12"/>
      <c r="K168" s="12"/>
      <c r="L168" s="12"/>
      <c r="M168" s="12"/>
      <c r="N168" s="16"/>
    </row>
    <row r="169" spans="1:14" ht="15.75" customHeight="1" x14ac:dyDescent="0.15">
      <c r="A169" s="16"/>
      <c r="B169" s="43"/>
      <c r="C169" s="43"/>
      <c r="D169" s="16"/>
      <c r="E169" s="16"/>
      <c r="F169" s="16"/>
      <c r="G169" s="12"/>
      <c r="H169" s="12"/>
      <c r="I169" s="12"/>
      <c r="J169" s="12"/>
      <c r="K169" s="12"/>
      <c r="L169" s="12"/>
      <c r="M169" s="12"/>
      <c r="N169" s="16"/>
    </row>
    <row r="170" spans="1:14" ht="15.75" customHeight="1" x14ac:dyDescent="0.15">
      <c r="A170" s="16"/>
      <c r="B170" s="43"/>
      <c r="C170" s="43"/>
      <c r="D170" s="16"/>
      <c r="E170" s="16"/>
      <c r="F170" s="16"/>
      <c r="G170" s="12"/>
      <c r="H170" s="12"/>
      <c r="I170" s="12"/>
      <c r="J170" s="12"/>
      <c r="K170" s="12"/>
      <c r="L170" s="12"/>
      <c r="M170" s="12"/>
      <c r="N170" s="16"/>
    </row>
    <row r="171" spans="1:14" ht="15.75" customHeight="1" x14ac:dyDescent="0.15">
      <c r="A171" s="16"/>
      <c r="B171" s="43"/>
      <c r="C171" s="43"/>
      <c r="D171" s="16"/>
      <c r="E171" s="16"/>
      <c r="F171" s="16"/>
      <c r="G171" s="12"/>
      <c r="H171" s="12"/>
      <c r="I171" s="12"/>
      <c r="J171" s="12"/>
      <c r="K171" s="12"/>
      <c r="L171" s="12"/>
      <c r="M171" s="12"/>
      <c r="N171" s="16"/>
    </row>
    <row r="172" spans="1:14" ht="15.75" customHeight="1" x14ac:dyDescent="0.15">
      <c r="A172" s="16"/>
      <c r="B172" s="43"/>
      <c r="C172" s="43"/>
      <c r="D172" s="16"/>
      <c r="E172" s="16"/>
      <c r="F172" s="16"/>
      <c r="G172" s="12"/>
      <c r="H172" s="12"/>
      <c r="I172" s="12"/>
      <c r="J172" s="12"/>
      <c r="K172" s="12"/>
      <c r="L172" s="12"/>
      <c r="M172" s="12"/>
      <c r="N172" s="16"/>
    </row>
    <row r="173" spans="1:14" ht="15.75" customHeight="1" x14ac:dyDescent="0.15">
      <c r="A173" s="16"/>
      <c r="B173" s="43"/>
      <c r="C173" s="43"/>
      <c r="D173" s="16"/>
      <c r="E173" s="16"/>
      <c r="F173" s="16"/>
      <c r="G173" s="12"/>
      <c r="H173" s="12"/>
      <c r="I173" s="12"/>
      <c r="J173" s="12"/>
      <c r="K173" s="12"/>
      <c r="L173" s="12"/>
      <c r="M173" s="12"/>
      <c r="N173" s="16"/>
    </row>
    <row r="174" spans="1:14" ht="15.75" customHeight="1" x14ac:dyDescent="0.15">
      <c r="A174" s="16"/>
      <c r="B174" s="43"/>
      <c r="C174" s="43"/>
      <c r="D174" s="16"/>
      <c r="E174" s="16"/>
      <c r="F174" s="16"/>
      <c r="G174" s="12"/>
      <c r="H174" s="12"/>
      <c r="I174" s="12"/>
      <c r="J174" s="12"/>
      <c r="K174" s="12"/>
      <c r="L174" s="12"/>
      <c r="M174" s="12"/>
      <c r="N174" s="16"/>
    </row>
    <row r="175" spans="1:14" ht="15.75" customHeight="1" x14ac:dyDescent="0.15">
      <c r="A175" s="16"/>
      <c r="B175" s="43"/>
      <c r="C175" s="43"/>
      <c r="D175" s="16"/>
      <c r="E175" s="16"/>
      <c r="F175" s="16"/>
      <c r="G175" s="12"/>
      <c r="H175" s="12"/>
      <c r="I175" s="12"/>
      <c r="J175" s="12"/>
      <c r="K175" s="12"/>
      <c r="L175" s="12"/>
      <c r="M175" s="12"/>
      <c r="N175" s="16"/>
    </row>
    <row r="176" spans="1:14" ht="15.75" customHeight="1" x14ac:dyDescent="0.15">
      <c r="A176" s="16"/>
      <c r="B176" s="43"/>
      <c r="C176" s="43"/>
      <c r="D176" s="16"/>
      <c r="E176" s="16"/>
      <c r="F176" s="16"/>
      <c r="G176" s="12"/>
      <c r="H176" s="12"/>
      <c r="I176" s="12"/>
      <c r="J176" s="12"/>
      <c r="K176" s="12"/>
      <c r="L176" s="12"/>
      <c r="M176" s="12"/>
      <c r="N176" s="16"/>
    </row>
    <row r="177" spans="1:14" ht="15.75" customHeight="1" x14ac:dyDescent="0.15">
      <c r="A177" s="16"/>
      <c r="B177" s="43"/>
      <c r="C177" s="43"/>
      <c r="D177" s="16"/>
      <c r="E177" s="16"/>
      <c r="F177" s="16"/>
      <c r="G177" s="12"/>
      <c r="H177" s="12"/>
      <c r="I177" s="12"/>
      <c r="J177" s="12"/>
      <c r="K177" s="12"/>
      <c r="L177" s="12"/>
      <c r="M177" s="12"/>
      <c r="N177" s="16"/>
    </row>
    <row r="178" spans="1:14" ht="15.75" customHeight="1" x14ac:dyDescent="0.15">
      <c r="A178" s="16"/>
      <c r="B178" s="43"/>
      <c r="C178" s="43"/>
      <c r="D178" s="16"/>
      <c r="E178" s="16"/>
      <c r="F178" s="16"/>
      <c r="G178" s="12"/>
      <c r="H178" s="12"/>
      <c r="I178" s="12"/>
      <c r="J178" s="12"/>
      <c r="K178" s="12"/>
      <c r="L178" s="12"/>
      <c r="M178" s="12"/>
      <c r="N178" s="16"/>
    </row>
    <row r="179" spans="1:14" ht="15.75" customHeight="1" x14ac:dyDescent="0.15">
      <c r="A179" s="16"/>
      <c r="B179" s="43"/>
      <c r="C179" s="43"/>
      <c r="D179" s="16"/>
      <c r="E179" s="16"/>
      <c r="F179" s="16"/>
      <c r="G179" s="12"/>
      <c r="H179" s="12"/>
      <c r="I179" s="12"/>
      <c r="J179" s="12"/>
      <c r="K179" s="12"/>
      <c r="L179" s="12"/>
      <c r="M179" s="12"/>
      <c r="N179" s="16"/>
    </row>
    <row r="180" spans="1:14" ht="15.75" customHeight="1" x14ac:dyDescent="0.15">
      <c r="A180" s="16"/>
      <c r="B180" s="43"/>
      <c r="C180" s="43"/>
      <c r="D180" s="16"/>
      <c r="E180" s="16"/>
      <c r="F180" s="16"/>
      <c r="G180" s="12"/>
      <c r="H180" s="12"/>
      <c r="I180" s="12"/>
      <c r="J180" s="12"/>
      <c r="K180" s="12"/>
      <c r="L180" s="12"/>
      <c r="M180" s="12"/>
      <c r="N180" s="16"/>
    </row>
    <row r="181" spans="1:14" ht="15.75" customHeight="1" x14ac:dyDescent="0.15">
      <c r="A181" s="16"/>
      <c r="B181" s="43"/>
      <c r="C181" s="43"/>
      <c r="D181" s="16"/>
      <c r="E181" s="16"/>
      <c r="F181" s="16"/>
      <c r="G181" s="12"/>
      <c r="H181" s="12"/>
      <c r="I181" s="12"/>
      <c r="J181" s="12"/>
      <c r="K181" s="12"/>
      <c r="L181" s="12"/>
      <c r="M181" s="12"/>
      <c r="N181" s="16"/>
    </row>
    <row r="182" spans="1:14" ht="15.75" customHeight="1" x14ac:dyDescent="0.15">
      <c r="A182" s="16"/>
      <c r="B182" s="43"/>
      <c r="C182" s="43"/>
      <c r="D182" s="16"/>
      <c r="E182" s="16"/>
      <c r="F182" s="16"/>
      <c r="G182" s="12"/>
      <c r="H182" s="12"/>
      <c r="I182" s="12"/>
      <c r="J182" s="12"/>
      <c r="K182" s="12"/>
      <c r="L182" s="12"/>
      <c r="M182" s="12"/>
      <c r="N182" s="16"/>
    </row>
    <row r="183" spans="1:14" ht="15.75" customHeight="1" x14ac:dyDescent="0.15">
      <c r="A183" s="16"/>
      <c r="B183" s="43"/>
      <c r="C183" s="43"/>
      <c r="D183" s="16"/>
      <c r="E183" s="16"/>
      <c r="F183" s="16"/>
      <c r="G183" s="12"/>
      <c r="H183" s="12"/>
      <c r="I183" s="12"/>
      <c r="J183" s="12"/>
      <c r="K183" s="12"/>
      <c r="L183" s="12"/>
      <c r="M183" s="12"/>
      <c r="N183" s="16"/>
    </row>
    <row r="184" spans="1:14" ht="15.75" customHeight="1" x14ac:dyDescent="0.15">
      <c r="A184" s="16"/>
      <c r="B184" s="43"/>
      <c r="C184" s="43"/>
      <c r="D184" s="16"/>
      <c r="E184" s="16"/>
      <c r="F184" s="16"/>
      <c r="G184" s="12"/>
      <c r="H184" s="12"/>
      <c r="I184" s="12"/>
      <c r="J184" s="12"/>
      <c r="K184" s="12"/>
      <c r="L184" s="12"/>
      <c r="M184" s="12"/>
      <c r="N184" s="16"/>
    </row>
    <row r="185" spans="1:14" ht="15.75" customHeight="1" x14ac:dyDescent="0.15">
      <c r="A185" s="16"/>
      <c r="B185" s="43"/>
      <c r="C185" s="43"/>
      <c r="D185" s="16"/>
      <c r="E185" s="16"/>
      <c r="F185" s="16"/>
      <c r="G185" s="12"/>
      <c r="H185" s="12"/>
      <c r="I185" s="12"/>
      <c r="J185" s="12"/>
      <c r="K185" s="12"/>
      <c r="L185" s="12"/>
      <c r="M185" s="12"/>
      <c r="N185" s="16"/>
    </row>
    <row r="186" spans="1:14" ht="15.75" customHeight="1" x14ac:dyDescent="0.15">
      <c r="A186" s="16"/>
      <c r="B186" s="43"/>
      <c r="C186" s="43"/>
      <c r="D186" s="16"/>
      <c r="E186" s="16"/>
      <c r="F186" s="16"/>
      <c r="G186" s="12"/>
      <c r="H186" s="12"/>
      <c r="I186" s="12"/>
      <c r="J186" s="12"/>
      <c r="K186" s="12"/>
      <c r="L186" s="12"/>
      <c r="M186" s="12"/>
      <c r="N186" s="16"/>
    </row>
    <row r="187" spans="1:14" ht="15.75" customHeight="1" x14ac:dyDescent="0.15">
      <c r="A187" s="16"/>
      <c r="B187" s="43"/>
      <c r="C187" s="43"/>
      <c r="D187" s="16"/>
      <c r="E187" s="16"/>
      <c r="F187" s="16"/>
      <c r="G187" s="12"/>
      <c r="H187" s="12"/>
      <c r="I187" s="12"/>
      <c r="J187" s="12"/>
      <c r="K187" s="12"/>
      <c r="L187" s="12"/>
      <c r="M187" s="12"/>
      <c r="N187" s="16"/>
    </row>
    <row r="188" spans="1:14" ht="15.75" customHeight="1" x14ac:dyDescent="0.15">
      <c r="A188" s="16"/>
      <c r="B188" s="43"/>
      <c r="C188" s="43"/>
      <c r="D188" s="16"/>
      <c r="E188" s="16"/>
      <c r="F188" s="16"/>
      <c r="G188" s="12"/>
      <c r="H188" s="12"/>
      <c r="I188" s="12"/>
      <c r="J188" s="12"/>
      <c r="K188" s="12"/>
      <c r="L188" s="12"/>
      <c r="M188" s="12"/>
      <c r="N188" s="16"/>
    </row>
    <row r="189" spans="1:14" ht="15.75" customHeight="1" x14ac:dyDescent="0.15">
      <c r="A189" s="16"/>
      <c r="B189" s="43"/>
      <c r="C189" s="43"/>
      <c r="D189" s="16"/>
      <c r="E189" s="16"/>
      <c r="F189" s="16"/>
      <c r="G189" s="12"/>
      <c r="H189" s="12"/>
      <c r="I189" s="12"/>
      <c r="J189" s="12"/>
      <c r="K189" s="12"/>
      <c r="L189" s="12"/>
      <c r="M189" s="12"/>
      <c r="N189" s="16"/>
    </row>
    <row r="190" spans="1:14" ht="15.75" customHeight="1" x14ac:dyDescent="0.15">
      <c r="A190" s="16"/>
      <c r="B190" s="43"/>
      <c r="C190" s="43"/>
      <c r="D190" s="16"/>
      <c r="E190" s="16"/>
      <c r="F190" s="16"/>
      <c r="G190" s="12"/>
      <c r="H190" s="12"/>
      <c r="I190" s="12"/>
      <c r="J190" s="12"/>
      <c r="K190" s="12"/>
      <c r="L190" s="12"/>
      <c r="M190" s="12"/>
      <c r="N190" s="16"/>
    </row>
    <row r="191" spans="1:14" ht="15.75" customHeight="1" x14ac:dyDescent="0.15">
      <c r="A191" s="16"/>
      <c r="B191" s="43"/>
      <c r="C191" s="43"/>
      <c r="D191" s="16"/>
      <c r="E191" s="16"/>
      <c r="F191" s="16"/>
      <c r="G191" s="12"/>
      <c r="H191" s="12"/>
      <c r="I191" s="12"/>
      <c r="J191" s="12"/>
      <c r="K191" s="12"/>
      <c r="L191" s="12"/>
      <c r="M191" s="12"/>
      <c r="N191" s="16"/>
    </row>
    <row r="192" spans="1:14" ht="15.75" customHeight="1" x14ac:dyDescent="0.15">
      <c r="A192" s="16"/>
      <c r="B192" s="43"/>
      <c r="C192" s="43"/>
      <c r="D192" s="16"/>
      <c r="E192" s="16"/>
      <c r="F192" s="16"/>
      <c r="G192" s="12"/>
      <c r="H192" s="12"/>
      <c r="I192" s="12"/>
      <c r="J192" s="12"/>
      <c r="K192" s="12"/>
      <c r="L192" s="12"/>
      <c r="M192" s="12"/>
      <c r="N192" s="16"/>
    </row>
    <row r="193" spans="1:14" ht="15.75" customHeight="1" x14ac:dyDescent="0.15">
      <c r="A193" s="16"/>
      <c r="B193" s="43"/>
      <c r="C193" s="43"/>
      <c r="D193" s="16"/>
      <c r="E193" s="16"/>
      <c r="F193" s="16"/>
      <c r="G193" s="12"/>
      <c r="H193" s="12"/>
      <c r="I193" s="12"/>
      <c r="J193" s="12"/>
      <c r="K193" s="12"/>
      <c r="L193" s="12"/>
      <c r="M193" s="12"/>
      <c r="N193" s="16"/>
    </row>
    <row r="194" spans="1:14" ht="15.75" customHeight="1" x14ac:dyDescent="0.15">
      <c r="A194" s="16"/>
      <c r="B194" s="43"/>
      <c r="C194" s="43"/>
      <c r="D194" s="16"/>
      <c r="E194" s="16"/>
      <c r="F194" s="16"/>
      <c r="G194" s="12"/>
      <c r="H194" s="12"/>
      <c r="I194" s="12"/>
      <c r="J194" s="12"/>
      <c r="K194" s="12"/>
      <c r="L194" s="12"/>
      <c r="M194" s="12"/>
      <c r="N194" s="16"/>
    </row>
    <row r="195" spans="1:14" ht="15.75" customHeight="1" x14ac:dyDescent="0.15">
      <c r="A195" s="16"/>
      <c r="B195" s="43"/>
      <c r="C195" s="43"/>
      <c r="D195" s="16"/>
      <c r="E195" s="16"/>
      <c r="F195" s="16"/>
      <c r="G195" s="12"/>
      <c r="H195" s="12"/>
      <c r="I195" s="12"/>
      <c r="J195" s="12"/>
      <c r="K195" s="12"/>
      <c r="L195" s="12"/>
      <c r="M195" s="12"/>
      <c r="N195" s="16"/>
    </row>
    <row r="196" spans="1:14" ht="15.75" customHeight="1" x14ac:dyDescent="0.15">
      <c r="A196" s="16"/>
      <c r="B196" s="43"/>
      <c r="C196" s="43"/>
      <c r="D196" s="16"/>
      <c r="E196" s="16"/>
      <c r="F196" s="16"/>
      <c r="G196" s="12"/>
      <c r="H196" s="12"/>
      <c r="I196" s="12"/>
      <c r="J196" s="12"/>
      <c r="K196" s="12"/>
      <c r="L196" s="12"/>
      <c r="M196" s="12"/>
      <c r="N196" s="16"/>
    </row>
    <row r="197" spans="1:14" ht="15.75" customHeight="1" x14ac:dyDescent="0.15">
      <c r="A197" s="16"/>
      <c r="B197" s="43"/>
      <c r="C197" s="43"/>
      <c r="D197" s="16"/>
      <c r="E197" s="16"/>
      <c r="F197" s="16"/>
      <c r="G197" s="12"/>
      <c r="H197" s="12"/>
      <c r="I197" s="12"/>
      <c r="J197" s="12"/>
      <c r="K197" s="12"/>
      <c r="L197" s="12"/>
      <c r="M197" s="12"/>
      <c r="N197" s="16"/>
    </row>
    <row r="198" spans="1:14" ht="15.75" customHeight="1" x14ac:dyDescent="0.15">
      <c r="A198" s="16"/>
      <c r="B198" s="43"/>
      <c r="C198" s="43"/>
      <c r="D198" s="16"/>
      <c r="E198" s="16"/>
      <c r="F198" s="16"/>
      <c r="G198" s="12"/>
      <c r="H198" s="12"/>
      <c r="I198" s="12"/>
      <c r="J198" s="12"/>
      <c r="K198" s="12"/>
      <c r="L198" s="12"/>
      <c r="M198" s="12"/>
      <c r="N198" s="16"/>
    </row>
    <row r="199" spans="1:14" ht="15.75" customHeight="1" x14ac:dyDescent="0.15">
      <c r="A199" s="16"/>
      <c r="B199" s="43"/>
      <c r="C199" s="43"/>
      <c r="D199" s="16"/>
      <c r="E199" s="16"/>
      <c r="F199" s="16"/>
      <c r="G199" s="12"/>
      <c r="H199" s="12"/>
      <c r="I199" s="12"/>
      <c r="J199" s="12"/>
      <c r="K199" s="12"/>
      <c r="L199" s="12"/>
      <c r="M199" s="12"/>
      <c r="N199" s="16"/>
    </row>
    <row r="200" spans="1:14" ht="15.75" customHeight="1" x14ac:dyDescent="0.15">
      <c r="A200" s="16"/>
      <c r="B200" s="43"/>
      <c r="C200" s="43"/>
      <c r="D200" s="16"/>
      <c r="E200" s="16"/>
      <c r="F200" s="16"/>
      <c r="G200" s="12"/>
      <c r="H200" s="12"/>
      <c r="I200" s="12"/>
      <c r="J200" s="12"/>
      <c r="K200" s="12"/>
      <c r="L200" s="12"/>
      <c r="M200" s="12"/>
      <c r="N200" s="16"/>
    </row>
    <row r="201" spans="1:14" ht="15.75" customHeight="1" x14ac:dyDescent="0.15">
      <c r="A201" s="16"/>
      <c r="B201" s="43"/>
      <c r="C201" s="43"/>
      <c r="D201" s="16"/>
      <c r="E201" s="16"/>
      <c r="F201" s="16"/>
      <c r="G201" s="12"/>
      <c r="H201" s="12"/>
      <c r="I201" s="12"/>
      <c r="J201" s="12"/>
      <c r="K201" s="12"/>
      <c r="L201" s="12"/>
      <c r="M201" s="12"/>
      <c r="N201" s="16"/>
    </row>
    <row r="202" spans="1:14" ht="15.75" customHeight="1" x14ac:dyDescent="0.15">
      <c r="A202" s="16"/>
      <c r="B202" s="43"/>
      <c r="C202" s="43"/>
      <c r="D202" s="16"/>
      <c r="E202" s="16"/>
      <c r="F202" s="16"/>
      <c r="G202" s="12"/>
      <c r="H202" s="12"/>
      <c r="I202" s="12"/>
      <c r="J202" s="12"/>
      <c r="K202" s="12"/>
      <c r="L202" s="12"/>
      <c r="M202" s="12"/>
      <c r="N202" s="16"/>
    </row>
    <row r="203" spans="1:14" ht="15.75" customHeight="1" x14ac:dyDescent="0.15">
      <c r="A203" s="16"/>
      <c r="B203" s="43"/>
      <c r="C203" s="43"/>
      <c r="D203" s="16"/>
      <c r="E203" s="16"/>
      <c r="F203" s="16"/>
      <c r="G203" s="12"/>
      <c r="H203" s="12"/>
      <c r="I203" s="12"/>
      <c r="J203" s="12"/>
      <c r="K203" s="12"/>
      <c r="L203" s="12"/>
      <c r="M203" s="12"/>
      <c r="N203" s="16"/>
    </row>
    <row r="204" spans="1:14" ht="15.75" customHeight="1" x14ac:dyDescent="0.15">
      <c r="A204" s="16"/>
      <c r="B204" s="43"/>
      <c r="C204" s="43"/>
      <c r="D204" s="16"/>
      <c r="E204" s="16"/>
      <c r="F204" s="16"/>
      <c r="G204" s="12"/>
      <c r="H204" s="12"/>
      <c r="I204" s="12"/>
      <c r="J204" s="12"/>
      <c r="K204" s="12"/>
      <c r="L204" s="12"/>
      <c r="M204" s="12"/>
      <c r="N204" s="16"/>
    </row>
    <row r="205" spans="1:14" ht="15.75" customHeight="1" x14ac:dyDescent="0.15">
      <c r="A205" s="16"/>
      <c r="B205" s="43"/>
      <c r="C205" s="43"/>
      <c r="D205" s="16"/>
      <c r="E205" s="16"/>
      <c r="F205" s="16"/>
      <c r="G205" s="12"/>
      <c r="H205" s="12"/>
      <c r="I205" s="12"/>
      <c r="J205" s="12"/>
      <c r="K205" s="12"/>
      <c r="L205" s="12"/>
      <c r="M205" s="12"/>
      <c r="N205" s="16"/>
    </row>
    <row r="206" spans="1:14" ht="15.75" customHeight="1" x14ac:dyDescent="0.15">
      <c r="A206" s="16"/>
      <c r="B206" s="43"/>
      <c r="C206" s="43"/>
      <c r="D206" s="16"/>
      <c r="E206" s="16"/>
      <c r="F206" s="16"/>
      <c r="G206" s="12"/>
      <c r="H206" s="12"/>
      <c r="I206" s="12"/>
      <c r="J206" s="12"/>
      <c r="K206" s="12"/>
      <c r="L206" s="12"/>
      <c r="M206" s="12"/>
      <c r="N206" s="16"/>
    </row>
    <row r="207" spans="1:14" ht="15.75" customHeight="1" x14ac:dyDescent="0.15">
      <c r="A207" s="16"/>
      <c r="B207" s="43"/>
      <c r="C207" s="43"/>
      <c r="D207" s="16"/>
      <c r="E207" s="16"/>
      <c r="F207" s="16"/>
      <c r="G207" s="12"/>
      <c r="H207" s="12"/>
      <c r="I207" s="12"/>
      <c r="J207" s="12"/>
      <c r="K207" s="12"/>
      <c r="L207" s="12"/>
      <c r="M207" s="12"/>
      <c r="N207" s="16"/>
    </row>
    <row r="208" spans="1:14" ht="15.75" customHeight="1" x14ac:dyDescent="0.15">
      <c r="A208" s="16"/>
      <c r="B208" s="43"/>
      <c r="C208" s="43"/>
      <c r="D208" s="16"/>
      <c r="E208" s="16"/>
      <c r="F208" s="16"/>
      <c r="G208" s="12"/>
      <c r="H208" s="12"/>
      <c r="I208" s="12"/>
      <c r="J208" s="12"/>
      <c r="K208" s="12"/>
      <c r="L208" s="12"/>
      <c r="M208" s="12"/>
      <c r="N208" s="16"/>
    </row>
    <row r="209" spans="1:14" ht="15.75" customHeight="1" x14ac:dyDescent="0.15">
      <c r="A209" s="16"/>
      <c r="B209" s="43"/>
      <c r="C209" s="43"/>
      <c r="D209" s="16"/>
      <c r="E209" s="16"/>
      <c r="F209" s="16"/>
      <c r="G209" s="12"/>
      <c r="H209" s="12"/>
      <c r="I209" s="12"/>
      <c r="J209" s="12"/>
      <c r="K209" s="12"/>
      <c r="L209" s="12"/>
      <c r="M209" s="12"/>
      <c r="N209" s="16"/>
    </row>
    <row r="210" spans="1:14" ht="15.75" customHeight="1" x14ac:dyDescent="0.15">
      <c r="A210" s="16"/>
      <c r="B210" s="43"/>
      <c r="C210" s="43"/>
      <c r="D210" s="16"/>
      <c r="E210" s="16"/>
      <c r="F210" s="16"/>
      <c r="G210" s="12"/>
      <c r="H210" s="12"/>
      <c r="I210" s="12"/>
      <c r="J210" s="12"/>
      <c r="K210" s="12"/>
      <c r="L210" s="12"/>
      <c r="M210" s="12"/>
      <c r="N210" s="16"/>
    </row>
    <row r="211" spans="1:14" ht="15.75" customHeight="1" x14ac:dyDescent="0.15">
      <c r="A211" s="16"/>
      <c r="B211" s="43"/>
      <c r="C211" s="43"/>
      <c r="D211" s="16"/>
      <c r="E211" s="16"/>
      <c r="F211" s="16"/>
      <c r="G211" s="12"/>
      <c r="H211" s="12"/>
      <c r="I211" s="12"/>
      <c r="J211" s="12"/>
      <c r="K211" s="12"/>
      <c r="L211" s="12"/>
      <c r="M211" s="12"/>
      <c r="N211" s="16"/>
    </row>
    <row r="212" spans="1:14" ht="15.75" customHeight="1" x14ac:dyDescent="0.15">
      <c r="A212" s="16"/>
      <c r="B212" s="43"/>
      <c r="C212" s="43"/>
      <c r="D212" s="16"/>
      <c r="E212" s="16"/>
      <c r="F212" s="16"/>
      <c r="G212" s="12"/>
      <c r="H212" s="12"/>
      <c r="I212" s="12"/>
      <c r="J212" s="12"/>
      <c r="K212" s="12"/>
      <c r="L212" s="12"/>
      <c r="M212" s="12"/>
      <c r="N212" s="16"/>
    </row>
    <row r="213" spans="1:14" ht="15.75" customHeight="1" x14ac:dyDescent="0.15">
      <c r="A213" s="16"/>
      <c r="B213" s="43"/>
      <c r="C213" s="43"/>
      <c r="D213" s="16"/>
      <c r="E213" s="16"/>
      <c r="F213" s="16"/>
      <c r="G213" s="12"/>
      <c r="H213" s="12"/>
      <c r="I213" s="12"/>
      <c r="J213" s="12"/>
      <c r="K213" s="12"/>
      <c r="L213" s="12"/>
      <c r="M213" s="12"/>
      <c r="N213" s="16"/>
    </row>
    <row r="214" spans="1:14" ht="15.75" customHeight="1" x14ac:dyDescent="0.15">
      <c r="A214" s="16"/>
      <c r="B214" s="43"/>
      <c r="C214" s="43"/>
      <c r="D214" s="16"/>
      <c r="E214" s="16"/>
      <c r="F214" s="16"/>
      <c r="G214" s="12"/>
      <c r="H214" s="12"/>
      <c r="I214" s="12"/>
      <c r="J214" s="12"/>
      <c r="K214" s="12"/>
      <c r="L214" s="12"/>
      <c r="M214" s="12"/>
      <c r="N214" s="16"/>
    </row>
    <row r="215" spans="1:14" ht="15.75" customHeight="1" x14ac:dyDescent="0.15">
      <c r="A215" s="16"/>
      <c r="B215" s="43"/>
      <c r="C215" s="43"/>
      <c r="D215" s="16"/>
      <c r="E215" s="16"/>
      <c r="F215" s="16"/>
      <c r="G215" s="12"/>
      <c r="H215" s="12"/>
      <c r="I215" s="12"/>
      <c r="J215" s="12"/>
      <c r="K215" s="12"/>
      <c r="L215" s="12"/>
      <c r="M215" s="12"/>
      <c r="N215" s="16"/>
    </row>
    <row r="216" spans="1:14" ht="15.75" customHeight="1" x14ac:dyDescent="0.15">
      <c r="A216" s="16"/>
      <c r="B216" s="43"/>
      <c r="C216" s="43"/>
      <c r="D216" s="16"/>
      <c r="E216" s="16"/>
      <c r="F216" s="16"/>
      <c r="G216" s="12"/>
      <c r="H216" s="12"/>
      <c r="I216" s="12"/>
      <c r="J216" s="12"/>
      <c r="K216" s="12"/>
      <c r="L216" s="12"/>
      <c r="M216" s="12"/>
      <c r="N216" s="16"/>
    </row>
    <row r="217" spans="1:14" ht="15.75" customHeight="1" x14ac:dyDescent="0.15">
      <c r="A217" s="16"/>
      <c r="B217" s="43"/>
      <c r="C217" s="43"/>
      <c r="D217" s="16"/>
      <c r="E217" s="16"/>
      <c r="F217" s="16"/>
      <c r="G217" s="12"/>
      <c r="H217" s="12"/>
      <c r="I217" s="12"/>
      <c r="J217" s="12"/>
      <c r="K217" s="12"/>
      <c r="L217" s="12"/>
      <c r="M217" s="12"/>
      <c r="N217" s="16"/>
    </row>
    <row r="218" spans="1:14" ht="15.75" customHeight="1" x14ac:dyDescent="0.15">
      <c r="A218" s="16"/>
      <c r="B218" s="43"/>
      <c r="C218" s="43"/>
      <c r="D218" s="16"/>
      <c r="E218" s="16"/>
      <c r="F218" s="16"/>
      <c r="G218" s="12"/>
      <c r="H218" s="12"/>
      <c r="I218" s="12"/>
      <c r="J218" s="12"/>
      <c r="K218" s="12"/>
      <c r="L218" s="12"/>
      <c r="M218" s="12"/>
      <c r="N218" s="16"/>
    </row>
    <row r="219" spans="1:14" ht="15.75" customHeight="1" x14ac:dyDescent="0.15">
      <c r="A219" s="16"/>
      <c r="B219" s="43"/>
      <c r="C219" s="43"/>
      <c r="D219" s="16"/>
      <c r="E219" s="16"/>
      <c r="F219" s="16"/>
      <c r="G219" s="12"/>
      <c r="H219" s="12"/>
      <c r="I219" s="12"/>
      <c r="J219" s="12"/>
      <c r="K219" s="12"/>
      <c r="L219" s="12"/>
      <c r="M219" s="12"/>
      <c r="N219" s="16"/>
    </row>
    <row r="220" spans="1:14" ht="15.75" customHeight="1" x14ac:dyDescent="0.15">
      <c r="A220" s="16"/>
      <c r="B220" s="43"/>
      <c r="C220" s="43"/>
      <c r="D220" s="16"/>
      <c r="E220" s="16"/>
      <c r="F220" s="16"/>
      <c r="G220" s="12"/>
      <c r="H220" s="12"/>
      <c r="I220" s="12"/>
      <c r="J220" s="12"/>
      <c r="K220" s="12"/>
      <c r="L220" s="12"/>
      <c r="M220" s="12"/>
      <c r="N220" s="16"/>
    </row>
    <row r="221" spans="1:14" ht="15.75" customHeight="1" x14ac:dyDescent="0.15">
      <c r="A221" s="16"/>
      <c r="B221" s="43"/>
      <c r="C221" s="43"/>
      <c r="D221" s="16"/>
      <c r="E221" s="16"/>
      <c r="F221" s="16"/>
      <c r="G221" s="12"/>
      <c r="H221" s="12"/>
      <c r="I221" s="12"/>
      <c r="J221" s="12"/>
      <c r="K221" s="12"/>
      <c r="L221" s="12"/>
      <c r="M221" s="12"/>
      <c r="N221" s="16"/>
    </row>
    <row r="222" spans="1:14" ht="15.75" customHeight="1" x14ac:dyDescent="0.15">
      <c r="A222" s="16"/>
      <c r="B222" s="43"/>
      <c r="C222" s="43"/>
      <c r="D222" s="16"/>
      <c r="E222" s="16"/>
      <c r="F222" s="16"/>
      <c r="G222" s="12"/>
      <c r="H222" s="12"/>
      <c r="I222" s="12"/>
      <c r="J222" s="12"/>
      <c r="K222" s="12"/>
      <c r="L222" s="12"/>
      <c r="M222" s="12"/>
      <c r="N222" s="16"/>
    </row>
    <row r="223" spans="1:14" ht="15.75" customHeight="1" x14ac:dyDescent="0.15">
      <c r="A223" s="16"/>
      <c r="B223" s="43"/>
      <c r="C223" s="43"/>
      <c r="D223" s="16"/>
      <c r="E223" s="16"/>
      <c r="F223" s="16"/>
      <c r="G223" s="12"/>
      <c r="H223" s="12"/>
      <c r="I223" s="12"/>
      <c r="J223" s="12"/>
      <c r="K223" s="12"/>
      <c r="L223" s="12"/>
      <c r="M223" s="12"/>
      <c r="N223" s="16"/>
    </row>
    <row r="224" spans="1:14" ht="15.75" customHeight="1" x14ac:dyDescent="0.15">
      <c r="A224" s="16"/>
      <c r="B224" s="43"/>
      <c r="C224" s="43"/>
      <c r="D224" s="16"/>
      <c r="E224" s="16"/>
      <c r="F224" s="16"/>
      <c r="G224" s="12"/>
      <c r="H224" s="12"/>
      <c r="I224" s="12"/>
      <c r="J224" s="12"/>
      <c r="K224" s="12"/>
      <c r="L224" s="12"/>
      <c r="M224" s="12"/>
      <c r="N224" s="16"/>
    </row>
    <row r="225" spans="1:14" ht="15.75" customHeight="1" x14ac:dyDescent="0.15">
      <c r="A225" s="16"/>
      <c r="B225" s="43"/>
      <c r="C225" s="43"/>
      <c r="D225" s="16"/>
      <c r="E225" s="16"/>
      <c r="F225" s="16"/>
      <c r="G225" s="12"/>
      <c r="H225" s="12"/>
      <c r="I225" s="12"/>
      <c r="J225" s="12"/>
      <c r="K225" s="12"/>
      <c r="L225" s="12"/>
      <c r="M225" s="12"/>
      <c r="N225" s="16"/>
    </row>
    <row r="226" spans="1:14" ht="15.75" customHeight="1" x14ac:dyDescent="0.15">
      <c r="A226" s="16"/>
      <c r="B226" s="43"/>
      <c r="C226" s="43"/>
      <c r="D226" s="16"/>
      <c r="E226" s="16"/>
      <c r="F226" s="16"/>
      <c r="G226" s="12"/>
      <c r="H226" s="12"/>
      <c r="I226" s="12"/>
      <c r="J226" s="12"/>
      <c r="K226" s="12"/>
      <c r="L226" s="12"/>
      <c r="M226" s="12"/>
      <c r="N226" s="16"/>
    </row>
    <row r="227" spans="1:14" ht="15.75" customHeight="1" x14ac:dyDescent="0.15">
      <c r="A227" s="16"/>
      <c r="B227" s="43"/>
      <c r="C227" s="43"/>
      <c r="D227" s="16"/>
      <c r="E227" s="16"/>
      <c r="F227" s="16"/>
      <c r="G227" s="12"/>
      <c r="H227" s="12"/>
      <c r="I227" s="12"/>
      <c r="J227" s="12"/>
      <c r="K227" s="12"/>
      <c r="L227" s="12"/>
      <c r="M227" s="12"/>
      <c r="N227" s="16"/>
    </row>
    <row r="228" spans="1:14" ht="15.75" customHeight="1" x14ac:dyDescent="0.15">
      <c r="A228" s="16"/>
      <c r="B228" s="43"/>
      <c r="C228" s="43"/>
      <c r="D228" s="16"/>
      <c r="E228" s="16"/>
      <c r="F228" s="16"/>
      <c r="G228" s="12"/>
      <c r="H228" s="12"/>
      <c r="I228" s="12"/>
      <c r="J228" s="12"/>
      <c r="K228" s="12"/>
      <c r="L228" s="12"/>
      <c r="M228" s="12"/>
      <c r="N228" s="16"/>
    </row>
    <row r="229" spans="1:14" ht="15.75" customHeight="1" x14ac:dyDescent="0.15">
      <c r="A229" s="16"/>
      <c r="B229" s="43"/>
      <c r="C229" s="43"/>
      <c r="D229" s="16"/>
      <c r="E229" s="16"/>
      <c r="F229" s="16"/>
      <c r="G229" s="12"/>
      <c r="H229" s="12"/>
      <c r="I229" s="12"/>
      <c r="J229" s="12"/>
      <c r="K229" s="12"/>
      <c r="L229" s="12"/>
      <c r="M229" s="12"/>
      <c r="N229" s="16"/>
    </row>
    <row r="230" spans="1:14" ht="15.75" customHeight="1" x14ac:dyDescent="0.15">
      <c r="A230" s="16"/>
      <c r="B230" s="43"/>
      <c r="C230" s="43"/>
      <c r="D230" s="16"/>
      <c r="E230" s="16"/>
      <c r="F230" s="16"/>
      <c r="G230" s="12"/>
      <c r="H230" s="12"/>
      <c r="I230" s="12"/>
      <c r="J230" s="12"/>
      <c r="K230" s="12"/>
      <c r="L230" s="12"/>
      <c r="M230" s="12"/>
      <c r="N230" s="16"/>
    </row>
    <row r="231" spans="1:14" ht="15.75" customHeight="1" x14ac:dyDescent="0.15">
      <c r="A231" s="16"/>
      <c r="B231" s="43"/>
      <c r="C231" s="43"/>
      <c r="D231" s="16"/>
      <c r="E231" s="16"/>
      <c r="F231" s="16"/>
      <c r="G231" s="12"/>
      <c r="H231" s="12"/>
      <c r="I231" s="12"/>
      <c r="J231" s="12"/>
      <c r="K231" s="12"/>
      <c r="L231" s="12"/>
      <c r="M231" s="12"/>
      <c r="N231" s="16"/>
    </row>
    <row r="232" spans="1:14" ht="15.75" customHeight="1" x14ac:dyDescent="0.15">
      <c r="A232" s="16"/>
      <c r="B232" s="43"/>
      <c r="C232" s="43"/>
      <c r="D232" s="16"/>
      <c r="E232" s="16"/>
      <c r="F232" s="16"/>
      <c r="G232" s="12"/>
      <c r="H232" s="12"/>
      <c r="I232" s="12"/>
      <c r="J232" s="12"/>
      <c r="K232" s="12"/>
      <c r="L232" s="12"/>
      <c r="M232" s="12"/>
      <c r="N232" s="16"/>
    </row>
    <row r="233" spans="1:14" ht="15.75" customHeight="1" x14ac:dyDescent="0.15">
      <c r="A233" s="16"/>
      <c r="B233" s="43"/>
      <c r="C233" s="43"/>
      <c r="D233" s="16"/>
      <c r="E233" s="16"/>
      <c r="F233" s="16"/>
      <c r="G233" s="12"/>
      <c r="H233" s="12"/>
      <c r="I233" s="12"/>
      <c r="J233" s="12"/>
      <c r="K233" s="12"/>
      <c r="L233" s="12"/>
      <c r="M233" s="12"/>
      <c r="N233" s="16"/>
    </row>
    <row r="234" spans="1:14" ht="15.75" customHeight="1" x14ac:dyDescent="0.15">
      <c r="A234" s="16"/>
      <c r="B234" s="43"/>
      <c r="C234" s="43"/>
      <c r="D234" s="16"/>
      <c r="E234" s="16"/>
      <c r="F234" s="16"/>
      <c r="G234" s="12"/>
      <c r="H234" s="12"/>
      <c r="I234" s="12"/>
      <c r="J234" s="12"/>
      <c r="K234" s="12"/>
      <c r="L234" s="12"/>
      <c r="M234" s="12"/>
      <c r="N234" s="16"/>
    </row>
    <row r="235" spans="1:14" ht="15.75" customHeight="1" x14ac:dyDescent="0.15">
      <c r="A235" s="16"/>
      <c r="B235" s="43"/>
      <c r="C235" s="43"/>
      <c r="D235" s="16"/>
      <c r="E235" s="16"/>
      <c r="F235" s="16"/>
      <c r="G235" s="12"/>
      <c r="H235" s="12"/>
      <c r="I235" s="12"/>
      <c r="J235" s="12"/>
      <c r="K235" s="12"/>
      <c r="L235" s="12"/>
      <c r="M235" s="12"/>
      <c r="N235" s="16"/>
    </row>
    <row r="236" spans="1:14" ht="15.75" customHeight="1" x14ac:dyDescent="0.15">
      <c r="A236" s="16"/>
      <c r="B236" s="43"/>
      <c r="C236" s="43"/>
      <c r="D236" s="16"/>
      <c r="E236" s="16"/>
      <c r="F236" s="16"/>
      <c r="G236" s="12"/>
      <c r="H236" s="12"/>
      <c r="I236" s="12"/>
      <c r="J236" s="12"/>
      <c r="K236" s="12"/>
      <c r="L236" s="12"/>
      <c r="M236" s="12"/>
      <c r="N236" s="16"/>
    </row>
    <row r="237" spans="1:14" ht="15.75" customHeight="1" x14ac:dyDescent="0.15">
      <c r="A237" s="16"/>
      <c r="B237" s="43"/>
      <c r="C237" s="43"/>
      <c r="D237" s="16"/>
      <c r="E237" s="16"/>
      <c r="F237" s="16"/>
      <c r="G237" s="12"/>
      <c r="H237" s="12"/>
      <c r="I237" s="12"/>
      <c r="J237" s="12"/>
      <c r="K237" s="12"/>
      <c r="L237" s="12"/>
      <c r="M237" s="12"/>
      <c r="N237" s="16"/>
    </row>
    <row r="238" spans="1:14" ht="15.75" customHeight="1" x14ac:dyDescent="0.15">
      <c r="A238" s="16"/>
      <c r="B238" s="43"/>
      <c r="C238" s="43"/>
      <c r="D238" s="16"/>
      <c r="E238" s="16"/>
      <c r="F238" s="16"/>
      <c r="G238" s="12"/>
      <c r="H238" s="12"/>
      <c r="I238" s="12"/>
      <c r="J238" s="12"/>
      <c r="K238" s="12"/>
      <c r="L238" s="12"/>
      <c r="M238" s="12"/>
      <c r="N238" s="16"/>
    </row>
    <row r="239" spans="1:14" ht="15.75" customHeight="1" x14ac:dyDescent="0.15">
      <c r="A239" s="16"/>
      <c r="B239" s="43"/>
      <c r="C239" s="43"/>
      <c r="D239" s="16"/>
      <c r="E239" s="16"/>
      <c r="F239" s="16"/>
      <c r="G239" s="12"/>
      <c r="H239" s="12"/>
      <c r="I239" s="12"/>
      <c r="J239" s="12"/>
      <c r="K239" s="12"/>
      <c r="L239" s="12"/>
      <c r="M239" s="12"/>
      <c r="N239" s="16"/>
    </row>
    <row r="240" spans="1:14" ht="15.75" customHeight="1" x14ac:dyDescent="0.15">
      <c r="A240" s="16"/>
      <c r="B240" s="43"/>
      <c r="C240" s="43"/>
      <c r="D240" s="16"/>
      <c r="E240" s="16"/>
      <c r="F240" s="16"/>
      <c r="G240" s="12"/>
      <c r="H240" s="12"/>
      <c r="I240" s="12"/>
      <c r="J240" s="12"/>
      <c r="K240" s="12"/>
      <c r="L240" s="12"/>
      <c r="M240" s="12"/>
      <c r="N240" s="16"/>
    </row>
    <row r="241" spans="1:14" ht="15.75" customHeight="1" x14ac:dyDescent="0.15">
      <c r="A241" s="16"/>
      <c r="B241" s="43"/>
      <c r="C241" s="43"/>
      <c r="D241" s="16"/>
      <c r="E241" s="16"/>
      <c r="F241" s="16"/>
      <c r="G241" s="12"/>
      <c r="H241" s="12"/>
      <c r="I241" s="12"/>
      <c r="J241" s="12"/>
      <c r="K241" s="12"/>
      <c r="L241" s="12"/>
      <c r="M241" s="12"/>
      <c r="N241" s="16"/>
    </row>
    <row r="242" spans="1:14" ht="15.75" customHeight="1" x14ac:dyDescent="0.15">
      <c r="A242" s="16"/>
      <c r="B242" s="43"/>
      <c r="C242" s="43"/>
      <c r="D242" s="16"/>
      <c r="E242" s="16"/>
      <c r="F242" s="16"/>
      <c r="G242" s="12"/>
      <c r="H242" s="12"/>
      <c r="I242" s="12"/>
      <c r="J242" s="12"/>
      <c r="K242" s="12"/>
      <c r="L242" s="12"/>
      <c r="M242" s="12"/>
      <c r="N242" s="16"/>
    </row>
    <row r="243" spans="1:14" ht="15.75" customHeight="1" x14ac:dyDescent="0.15">
      <c r="A243" s="16"/>
      <c r="B243" s="43"/>
      <c r="C243" s="43"/>
      <c r="D243" s="16"/>
      <c r="E243" s="16"/>
      <c r="F243" s="16"/>
      <c r="G243" s="12"/>
      <c r="H243" s="12"/>
      <c r="I243" s="12"/>
      <c r="J243" s="12"/>
      <c r="K243" s="12"/>
      <c r="L243" s="12"/>
      <c r="M243" s="12"/>
      <c r="N243" s="16"/>
    </row>
    <row r="244" spans="1:14" ht="15.75" customHeight="1" x14ac:dyDescent="0.15">
      <c r="A244" s="16"/>
      <c r="B244" s="43"/>
      <c r="C244" s="43"/>
      <c r="D244" s="16"/>
      <c r="E244" s="16"/>
      <c r="F244" s="16"/>
      <c r="G244" s="12"/>
      <c r="H244" s="12"/>
      <c r="I244" s="12"/>
      <c r="J244" s="12"/>
      <c r="K244" s="12"/>
      <c r="L244" s="12"/>
      <c r="M244" s="12"/>
      <c r="N244" s="16"/>
    </row>
    <row r="245" spans="1:14" ht="15.75" customHeight="1" x14ac:dyDescent="0.15">
      <c r="A245" s="16"/>
      <c r="B245" s="43"/>
      <c r="C245" s="43"/>
      <c r="D245" s="16"/>
      <c r="E245" s="16"/>
      <c r="F245" s="16"/>
      <c r="G245" s="12"/>
      <c r="H245" s="12"/>
      <c r="I245" s="12"/>
      <c r="J245" s="12"/>
      <c r="K245" s="12"/>
      <c r="L245" s="12"/>
      <c r="M245" s="12"/>
      <c r="N245" s="16"/>
    </row>
    <row r="246" spans="1:14" ht="15.75" customHeight="1" x14ac:dyDescent="0.15">
      <c r="A246" s="16"/>
      <c r="B246" s="43"/>
      <c r="C246" s="43"/>
      <c r="D246" s="16"/>
      <c r="E246" s="16"/>
      <c r="F246" s="16"/>
      <c r="G246" s="12"/>
      <c r="H246" s="12"/>
      <c r="I246" s="12"/>
      <c r="J246" s="12"/>
      <c r="K246" s="12"/>
      <c r="L246" s="12"/>
      <c r="M246" s="12"/>
      <c r="N246" s="16"/>
    </row>
    <row r="247" spans="1:14" ht="15.75" customHeight="1" x14ac:dyDescent="0.15">
      <c r="A247" s="16"/>
      <c r="B247" s="43"/>
      <c r="C247" s="43"/>
      <c r="D247" s="16"/>
      <c r="E247" s="16"/>
      <c r="F247" s="16"/>
      <c r="G247" s="12"/>
      <c r="H247" s="12"/>
      <c r="I247" s="12"/>
      <c r="J247" s="12"/>
      <c r="K247" s="12"/>
      <c r="L247" s="12"/>
      <c r="M247" s="12"/>
      <c r="N247" s="16"/>
    </row>
    <row r="248" spans="1:14" ht="15.75" customHeight="1" x14ac:dyDescent="0.15">
      <c r="A248" s="16"/>
      <c r="B248" s="43"/>
      <c r="C248" s="43"/>
      <c r="D248" s="16"/>
      <c r="E248" s="16"/>
      <c r="F248" s="16"/>
      <c r="G248" s="12"/>
      <c r="H248" s="12"/>
      <c r="I248" s="12"/>
      <c r="J248" s="12"/>
      <c r="K248" s="12"/>
      <c r="L248" s="12"/>
      <c r="M248" s="12"/>
      <c r="N248" s="16"/>
    </row>
    <row r="249" spans="1:14" ht="15.75" customHeight="1" x14ac:dyDescent="0.15">
      <c r="A249" s="16"/>
      <c r="B249" s="43"/>
      <c r="C249" s="43"/>
      <c r="D249" s="16"/>
      <c r="E249" s="16"/>
      <c r="F249" s="16"/>
      <c r="G249" s="12"/>
      <c r="H249" s="12"/>
      <c r="I249" s="12"/>
      <c r="J249" s="12"/>
      <c r="K249" s="12"/>
      <c r="L249" s="12"/>
      <c r="M249" s="12"/>
      <c r="N249" s="16"/>
    </row>
    <row r="250" spans="1:14" ht="15.75" customHeight="1" x14ac:dyDescent="0.15">
      <c r="A250" s="16"/>
      <c r="B250" s="43"/>
      <c r="C250" s="43"/>
      <c r="D250" s="16"/>
      <c r="E250" s="16"/>
      <c r="F250" s="16"/>
      <c r="G250" s="12"/>
      <c r="H250" s="12"/>
      <c r="I250" s="12"/>
      <c r="J250" s="12"/>
      <c r="K250" s="12"/>
      <c r="L250" s="12"/>
      <c r="M250" s="12"/>
      <c r="N250" s="16"/>
    </row>
    <row r="251" spans="1:14" ht="15.75" customHeight="1" x14ac:dyDescent="0.15">
      <c r="A251" s="16"/>
      <c r="B251" s="43"/>
      <c r="C251" s="43"/>
      <c r="D251" s="16"/>
      <c r="E251" s="16"/>
      <c r="F251" s="16"/>
      <c r="G251" s="12"/>
      <c r="H251" s="12"/>
      <c r="I251" s="12"/>
      <c r="J251" s="12"/>
      <c r="K251" s="12"/>
      <c r="L251" s="12"/>
      <c r="M251" s="12"/>
      <c r="N251" s="16"/>
    </row>
    <row r="252" spans="1:14" ht="15.75" customHeight="1" x14ac:dyDescent="0.15">
      <c r="A252" s="16"/>
      <c r="B252" s="43"/>
      <c r="C252" s="43"/>
      <c r="D252" s="16"/>
      <c r="E252" s="16"/>
      <c r="F252" s="16"/>
      <c r="G252" s="12"/>
      <c r="H252" s="12"/>
      <c r="I252" s="12"/>
      <c r="J252" s="12"/>
      <c r="K252" s="12"/>
      <c r="L252" s="12"/>
      <c r="M252" s="12"/>
      <c r="N252" s="16"/>
    </row>
    <row r="253" spans="1:14" ht="15.75" customHeight="1" x14ac:dyDescent="0.15">
      <c r="A253" s="16"/>
      <c r="B253" s="43"/>
      <c r="C253" s="43"/>
      <c r="D253" s="16"/>
      <c r="E253" s="16"/>
      <c r="F253" s="16"/>
      <c r="G253" s="12"/>
      <c r="H253" s="12"/>
      <c r="I253" s="12"/>
      <c r="J253" s="12"/>
      <c r="K253" s="12"/>
      <c r="L253" s="12"/>
      <c r="M253" s="12"/>
      <c r="N253" s="16"/>
    </row>
    <row r="254" spans="1:14" ht="15.75" customHeight="1" x14ac:dyDescent="0.15">
      <c r="A254" s="16"/>
      <c r="B254" s="43"/>
      <c r="C254" s="43"/>
      <c r="D254" s="16"/>
      <c r="E254" s="16"/>
      <c r="F254" s="16"/>
      <c r="G254" s="12"/>
      <c r="H254" s="12"/>
      <c r="I254" s="12"/>
      <c r="J254" s="12"/>
      <c r="K254" s="12"/>
      <c r="L254" s="12"/>
      <c r="M254" s="12"/>
      <c r="N254" s="16"/>
    </row>
    <row r="255" spans="1:14" ht="15.75" customHeight="1" x14ac:dyDescent="0.15">
      <c r="A255" s="16"/>
      <c r="B255" s="43"/>
      <c r="C255" s="43"/>
      <c r="D255" s="16"/>
      <c r="E255" s="16"/>
      <c r="F255" s="16"/>
      <c r="G255" s="12"/>
      <c r="H255" s="12"/>
      <c r="I255" s="12"/>
      <c r="J255" s="12"/>
      <c r="K255" s="12"/>
      <c r="L255" s="12"/>
      <c r="M255" s="12"/>
      <c r="N255" s="16"/>
    </row>
    <row r="256" spans="1:14" ht="15.75" customHeight="1" x14ac:dyDescent="0.15">
      <c r="A256" s="16"/>
      <c r="B256" s="43"/>
      <c r="C256" s="43"/>
      <c r="D256" s="16"/>
      <c r="E256" s="16"/>
      <c r="F256" s="16"/>
      <c r="G256" s="12"/>
      <c r="H256" s="12"/>
      <c r="I256" s="12"/>
      <c r="J256" s="12"/>
      <c r="K256" s="12"/>
      <c r="L256" s="12"/>
      <c r="M256" s="12"/>
      <c r="N256" s="16"/>
    </row>
    <row r="257" spans="1:14" ht="15.75" customHeight="1" x14ac:dyDescent="0.15">
      <c r="A257" s="16"/>
      <c r="B257" s="43"/>
      <c r="C257" s="43"/>
      <c r="D257" s="16"/>
      <c r="E257" s="16"/>
      <c r="F257" s="16"/>
      <c r="G257" s="12"/>
      <c r="H257" s="12"/>
      <c r="I257" s="12"/>
      <c r="J257" s="12"/>
      <c r="K257" s="12"/>
      <c r="L257" s="12"/>
      <c r="M257" s="12"/>
      <c r="N257" s="16"/>
    </row>
    <row r="258" spans="1:14" ht="15.75" customHeight="1" x14ac:dyDescent="0.15">
      <c r="A258" s="16"/>
      <c r="B258" s="43"/>
      <c r="C258" s="43"/>
      <c r="D258" s="16"/>
      <c r="E258" s="16"/>
      <c r="F258" s="16"/>
      <c r="G258" s="12"/>
      <c r="H258" s="12"/>
      <c r="I258" s="12"/>
      <c r="J258" s="12"/>
      <c r="K258" s="12"/>
      <c r="L258" s="12"/>
      <c r="M258" s="12"/>
      <c r="N258" s="16"/>
    </row>
    <row r="259" spans="1:14" ht="15.75" customHeight="1" x14ac:dyDescent="0.15">
      <c r="A259" s="16"/>
      <c r="B259" s="43"/>
      <c r="C259" s="43"/>
      <c r="D259" s="16"/>
      <c r="E259" s="16"/>
      <c r="F259" s="16"/>
      <c r="G259" s="12"/>
      <c r="H259" s="12"/>
      <c r="I259" s="12"/>
      <c r="J259" s="12"/>
      <c r="K259" s="12"/>
      <c r="L259" s="12"/>
      <c r="M259" s="12"/>
      <c r="N259" s="16"/>
    </row>
    <row r="260" spans="1:14" ht="15.75" customHeight="1" x14ac:dyDescent="0.15">
      <c r="A260" s="16"/>
      <c r="B260" s="43"/>
      <c r="C260" s="43"/>
      <c r="D260" s="16"/>
      <c r="E260" s="16"/>
      <c r="F260" s="16"/>
      <c r="G260" s="12"/>
      <c r="H260" s="12"/>
      <c r="I260" s="12"/>
      <c r="J260" s="12"/>
      <c r="K260" s="12"/>
      <c r="L260" s="12"/>
      <c r="M260" s="12"/>
      <c r="N260" s="16"/>
    </row>
    <row r="261" spans="1:14" ht="15.75" customHeight="1" x14ac:dyDescent="0.15">
      <c r="A261" s="16"/>
      <c r="B261" s="43"/>
      <c r="C261" s="43"/>
      <c r="D261" s="16"/>
      <c r="E261" s="16"/>
      <c r="F261" s="16"/>
      <c r="G261" s="12"/>
      <c r="H261" s="12"/>
      <c r="I261" s="12"/>
      <c r="J261" s="12"/>
      <c r="K261" s="12"/>
      <c r="L261" s="12"/>
      <c r="M261" s="12"/>
      <c r="N261" s="16"/>
    </row>
    <row r="262" spans="1:14" ht="15.75" customHeight="1" x14ac:dyDescent="0.15">
      <c r="A262" s="16"/>
      <c r="B262" s="43"/>
      <c r="C262" s="43"/>
      <c r="D262" s="16"/>
      <c r="E262" s="16"/>
      <c r="F262" s="16"/>
      <c r="G262" s="12"/>
      <c r="H262" s="12"/>
      <c r="I262" s="12"/>
      <c r="J262" s="12"/>
      <c r="K262" s="12"/>
      <c r="L262" s="12"/>
      <c r="M262" s="12"/>
      <c r="N262" s="16"/>
    </row>
    <row r="263" spans="1:14" ht="15.75" customHeight="1" x14ac:dyDescent="0.15">
      <c r="A263" s="16"/>
      <c r="B263" s="43"/>
      <c r="C263" s="43"/>
      <c r="D263" s="16"/>
      <c r="E263" s="16"/>
      <c r="F263" s="16"/>
      <c r="G263" s="12"/>
      <c r="H263" s="12"/>
      <c r="I263" s="12"/>
      <c r="J263" s="12"/>
      <c r="K263" s="12"/>
      <c r="L263" s="12"/>
      <c r="M263" s="12"/>
      <c r="N263" s="16"/>
    </row>
    <row r="264" spans="1:14" ht="15.75" customHeight="1" x14ac:dyDescent="0.15">
      <c r="A264" s="16"/>
      <c r="B264" s="43"/>
      <c r="C264" s="43"/>
      <c r="D264" s="16"/>
      <c r="E264" s="16"/>
      <c r="F264" s="16"/>
      <c r="G264" s="12"/>
      <c r="H264" s="12"/>
      <c r="I264" s="12"/>
      <c r="J264" s="12"/>
      <c r="K264" s="12"/>
      <c r="L264" s="12"/>
      <c r="M264" s="12"/>
      <c r="N264" s="16"/>
    </row>
    <row r="265" spans="1:14" ht="15.75" customHeight="1" x14ac:dyDescent="0.15">
      <c r="A265" s="16"/>
      <c r="B265" s="43"/>
      <c r="C265" s="43"/>
      <c r="D265" s="16"/>
      <c r="E265" s="16"/>
      <c r="F265" s="16"/>
      <c r="G265" s="12"/>
      <c r="H265" s="12"/>
      <c r="I265" s="12"/>
      <c r="J265" s="12"/>
      <c r="K265" s="12"/>
      <c r="L265" s="12"/>
      <c r="M265" s="12"/>
      <c r="N265" s="16"/>
    </row>
    <row r="266" spans="1:14" ht="15.75" customHeight="1" x14ac:dyDescent="0.15">
      <c r="A266" s="16"/>
      <c r="B266" s="43"/>
      <c r="C266" s="43"/>
      <c r="D266" s="16"/>
      <c r="E266" s="16"/>
      <c r="F266" s="16"/>
      <c r="G266" s="12"/>
      <c r="H266" s="12"/>
      <c r="I266" s="12"/>
      <c r="J266" s="12"/>
      <c r="K266" s="12"/>
      <c r="L266" s="12"/>
      <c r="M266" s="12"/>
      <c r="N266" s="16"/>
    </row>
    <row r="267" spans="1:14" ht="15.75" customHeight="1" x14ac:dyDescent="0.15">
      <c r="A267" s="16"/>
      <c r="B267" s="43"/>
      <c r="C267" s="43"/>
      <c r="D267" s="16"/>
      <c r="E267" s="16"/>
      <c r="F267" s="16"/>
      <c r="G267" s="12"/>
      <c r="H267" s="12"/>
      <c r="I267" s="12"/>
      <c r="J267" s="12"/>
      <c r="K267" s="12"/>
      <c r="L267" s="12"/>
      <c r="M267" s="12"/>
      <c r="N267" s="16"/>
    </row>
    <row r="268" spans="1:14" ht="15.75" customHeight="1" x14ac:dyDescent="0.15">
      <c r="A268" s="16"/>
      <c r="B268" s="43"/>
      <c r="C268" s="43"/>
      <c r="D268" s="16"/>
      <c r="E268" s="16"/>
      <c r="F268" s="16"/>
      <c r="G268" s="12"/>
      <c r="H268" s="12"/>
      <c r="I268" s="12"/>
      <c r="J268" s="12"/>
      <c r="K268" s="12"/>
      <c r="L268" s="12"/>
      <c r="M268" s="12"/>
      <c r="N268" s="16"/>
    </row>
    <row r="269" spans="1:14" ht="15.75" customHeight="1" x14ac:dyDescent="0.15">
      <c r="A269" s="16"/>
      <c r="B269" s="43"/>
      <c r="C269" s="43"/>
      <c r="D269" s="16"/>
      <c r="E269" s="16"/>
      <c r="F269" s="16"/>
      <c r="G269" s="12"/>
      <c r="H269" s="12"/>
      <c r="I269" s="12"/>
      <c r="J269" s="12"/>
      <c r="K269" s="12"/>
      <c r="L269" s="12"/>
      <c r="M269" s="12"/>
      <c r="N269" s="16"/>
    </row>
    <row r="270" spans="1:14" ht="15.75" customHeight="1" x14ac:dyDescent="0.15">
      <c r="A270" s="16"/>
      <c r="B270" s="43"/>
      <c r="C270" s="43"/>
      <c r="D270" s="16"/>
      <c r="E270" s="16"/>
      <c r="F270" s="16"/>
      <c r="G270" s="12"/>
      <c r="H270" s="12"/>
      <c r="I270" s="12"/>
      <c r="J270" s="12"/>
      <c r="K270" s="12"/>
      <c r="L270" s="12"/>
      <c r="M270" s="12"/>
      <c r="N270" s="16"/>
    </row>
    <row r="271" spans="1:14" ht="15.75" customHeight="1" x14ac:dyDescent="0.15">
      <c r="A271" s="16"/>
      <c r="B271" s="43"/>
      <c r="C271" s="43"/>
      <c r="D271" s="16"/>
      <c r="E271" s="16"/>
      <c r="F271" s="16"/>
      <c r="G271" s="12"/>
      <c r="H271" s="12"/>
      <c r="I271" s="12"/>
      <c r="J271" s="12"/>
      <c r="K271" s="12"/>
      <c r="L271" s="12"/>
      <c r="M271" s="12"/>
      <c r="N271" s="16"/>
    </row>
    <row r="272" spans="1:14" ht="15.75" customHeight="1" x14ac:dyDescent="0.15">
      <c r="A272" s="16"/>
      <c r="B272" s="43"/>
      <c r="C272" s="43"/>
      <c r="D272" s="16"/>
      <c r="E272" s="16"/>
      <c r="F272" s="16"/>
      <c r="G272" s="12"/>
      <c r="H272" s="12"/>
      <c r="I272" s="12"/>
      <c r="J272" s="12"/>
      <c r="K272" s="12"/>
      <c r="L272" s="12"/>
      <c r="M272" s="12"/>
      <c r="N272" s="16"/>
    </row>
    <row r="273" spans="1:14" ht="15.75" customHeight="1" x14ac:dyDescent="0.15">
      <c r="A273" s="16"/>
      <c r="B273" s="43"/>
      <c r="C273" s="43"/>
      <c r="D273" s="16"/>
      <c r="E273" s="16"/>
      <c r="F273" s="16"/>
      <c r="G273" s="12"/>
      <c r="H273" s="12"/>
      <c r="I273" s="12"/>
      <c r="J273" s="12"/>
      <c r="K273" s="12"/>
      <c r="L273" s="12"/>
      <c r="M273" s="12"/>
      <c r="N273" s="16"/>
    </row>
    <row r="274" spans="1:14" ht="15.75" customHeight="1" x14ac:dyDescent="0.15">
      <c r="A274" s="16"/>
      <c r="B274" s="43"/>
      <c r="C274" s="43"/>
      <c r="D274" s="16"/>
      <c r="E274" s="16"/>
      <c r="F274" s="16"/>
      <c r="G274" s="12"/>
      <c r="H274" s="12"/>
      <c r="I274" s="12"/>
      <c r="J274" s="12"/>
      <c r="K274" s="12"/>
      <c r="L274" s="12"/>
      <c r="M274" s="12"/>
      <c r="N274" s="16"/>
    </row>
    <row r="275" spans="1:14" ht="15.75" customHeight="1" x14ac:dyDescent="0.15">
      <c r="A275" s="16"/>
      <c r="B275" s="43"/>
      <c r="C275" s="43"/>
      <c r="D275" s="16"/>
      <c r="E275" s="16"/>
      <c r="F275" s="16"/>
      <c r="G275" s="12"/>
      <c r="H275" s="12"/>
      <c r="I275" s="12"/>
      <c r="J275" s="12"/>
      <c r="K275" s="12"/>
      <c r="L275" s="12"/>
      <c r="M275" s="12"/>
      <c r="N275" s="16"/>
    </row>
    <row r="276" spans="1:14" ht="15.75" customHeight="1" x14ac:dyDescent="0.15">
      <c r="A276" s="16"/>
      <c r="B276" s="43"/>
      <c r="C276" s="43"/>
      <c r="D276" s="16"/>
      <c r="E276" s="16"/>
      <c r="F276" s="16"/>
      <c r="G276" s="12"/>
      <c r="H276" s="12"/>
      <c r="I276" s="12"/>
      <c r="J276" s="12"/>
      <c r="K276" s="12"/>
      <c r="L276" s="12"/>
      <c r="M276" s="12"/>
      <c r="N276" s="16"/>
    </row>
    <row r="277" spans="1:14" ht="15.75" customHeight="1" x14ac:dyDescent="0.15">
      <c r="A277" s="16"/>
      <c r="B277" s="43"/>
      <c r="C277" s="43"/>
      <c r="D277" s="16"/>
      <c r="E277" s="16"/>
      <c r="F277" s="16"/>
      <c r="G277" s="12"/>
      <c r="H277" s="12"/>
      <c r="I277" s="12"/>
      <c r="J277" s="12"/>
      <c r="K277" s="12"/>
      <c r="L277" s="12"/>
      <c r="M277" s="12"/>
      <c r="N277" s="16"/>
    </row>
    <row r="278" spans="1:14" ht="15.75" customHeight="1" x14ac:dyDescent="0.15">
      <c r="A278" s="16"/>
      <c r="B278" s="43"/>
      <c r="C278" s="43"/>
      <c r="D278" s="16"/>
      <c r="E278" s="16"/>
      <c r="F278" s="16"/>
      <c r="G278" s="12"/>
      <c r="H278" s="12"/>
      <c r="I278" s="12"/>
      <c r="J278" s="12"/>
      <c r="K278" s="12"/>
      <c r="L278" s="12"/>
      <c r="M278" s="12"/>
      <c r="N278" s="16"/>
    </row>
    <row r="279" spans="1:14" ht="15.75" customHeight="1" x14ac:dyDescent="0.15">
      <c r="A279" s="16"/>
      <c r="B279" s="43"/>
      <c r="C279" s="43"/>
      <c r="D279" s="16"/>
      <c r="E279" s="16"/>
      <c r="F279" s="16"/>
      <c r="G279" s="12"/>
      <c r="H279" s="12"/>
      <c r="I279" s="12"/>
      <c r="J279" s="12"/>
      <c r="K279" s="12"/>
      <c r="L279" s="12"/>
      <c r="M279" s="12"/>
      <c r="N279" s="16"/>
    </row>
    <row r="280" spans="1:14" ht="15.75" customHeight="1" x14ac:dyDescent="0.15">
      <c r="A280" s="16"/>
      <c r="B280" s="43"/>
      <c r="C280" s="43"/>
      <c r="D280" s="16"/>
      <c r="E280" s="16"/>
      <c r="F280" s="16"/>
      <c r="G280" s="12"/>
      <c r="H280" s="12"/>
      <c r="I280" s="12"/>
      <c r="J280" s="12"/>
      <c r="K280" s="12"/>
      <c r="L280" s="12"/>
      <c r="M280" s="12"/>
      <c r="N280" s="16"/>
    </row>
    <row r="281" spans="1:14" ht="15.75" customHeight="1" x14ac:dyDescent="0.15">
      <c r="A281" s="16"/>
      <c r="B281" s="43"/>
      <c r="C281" s="43"/>
      <c r="D281" s="16"/>
      <c r="E281" s="16"/>
      <c r="F281" s="16"/>
      <c r="G281" s="12"/>
      <c r="H281" s="12"/>
      <c r="I281" s="12"/>
      <c r="J281" s="12"/>
      <c r="K281" s="12"/>
      <c r="L281" s="12"/>
      <c r="M281" s="12"/>
      <c r="N281" s="16"/>
    </row>
    <row r="282" spans="1:14" ht="15.75" customHeight="1" x14ac:dyDescent="0.15">
      <c r="A282" s="16"/>
      <c r="B282" s="43"/>
      <c r="C282" s="43"/>
      <c r="D282" s="16"/>
      <c r="E282" s="16"/>
      <c r="F282" s="16"/>
      <c r="G282" s="12"/>
      <c r="H282" s="12"/>
      <c r="I282" s="12"/>
      <c r="J282" s="12"/>
      <c r="K282" s="12"/>
      <c r="L282" s="12"/>
      <c r="M282" s="12"/>
      <c r="N282" s="16"/>
    </row>
    <row r="283" spans="1:14" ht="15.75" customHeight="1" x14ac:dyDescent="0.15">
      <c r="A283" s="16"/>
      <c r="B283" s="43"/>
      <c r="C283" s="43"/>
      <c r="D283" s="16"/>
      <c r="E283" s="16"/>
      <c r="F283" s="16"/>
      <c r="G283" s="12"/>
      <c r="H283" s="12"/>
      <c r="I283" s="12"/>
      <c r="J283" s="12"/>
      <c r="K283" s="12"/>
      <c r="L283" s="12"/>
      <c r="M283" s="12"/>
      <c r="N283" s="16"/>
    </row>
    <row r="284" spans="1:14" ht="15.75" customHeight="1" x14ac:dyDescent="0.15">
      <c r="A284" s="16"/>
      <c r="B284" s="43"/>
      <c r="C284" s="43"/>
      <c r="D284" s="16"/>
      <c r="E284" s="16"/>
      <c r="F284" s="16"/>
      <c r="G284" s="12"/>
      <c r="H284" s="12"/>
      <c r="I284" s="12"/>
      <c r="J284" s="12"/>
      <c r="K284" s="12"/>
      <c r="L284" s="12"/>
      <c r="M284" s="12"/>
      <c r="N284" s="16"/>
    </row>
    <row r="285" spans="1:14" ht="15.75" customHeight="1" x14ac:dyDescent="0.15">
      <c r="A285" s="16"/>
      <c r="B285" s="43"/>
      <c r="C285" s="43"/>
      <c r="D285" s="16"/>
      <c r="E285" s="16"/>
      <c r="F285" s="16"/>
      <c r="G285" s="12"/>
      <c r="H285" s="12"/>
      <c r="I285" s="12"/>
      <c r="J285" s="12"/>
      <c r="K285" s="12"/>
      <c r="L285" s="12"/>
      <c r="M285" s="12"/>
      <c r="N285" s="16"/>
    </row>
    <row r="286" spans="1:14" ht="15.75" customHeight="1" x14ac:dyDescent="0.15">
      <c r="A286" s="16"/>
      <c r="B286" s="43"/>
      <c r="C286" s="43"/>
      <c r="D286" s="16"/>
      <c r="E286" s="16"/>
      <c r="F286" s="16"/>
      <c r="G286" s="12"/>
      <c r="H286" s="12"/>
      <c r="I286" s="12"/>
      <c r="J286" s="12"/>
      <c r="K286" s="12"/>
      <c r="L286" s="12"/>
      <c r="M286" s="12"/>
      <c r="N286" s="16"/>
    </row>
    <row r="287" spans="1:14" ht="15.75" customHeight="1" x14ac:dyDescent="0.15">
      <c r="A287" s="16"/>
      <c r="B287" s="43"/>
      <c r="C287" s="43"/>
      <c r="D287" s="16"/>
      <c r="E287" s="16"/>
      <c r="F287" s="16"/>
      <c r="G287" s="12"/>
      <c r="H287" s="12"/>
      <c r="I287" s="12"/>
      <c r="J287" s="12"/>
      <c r="K287" s="12"/>
      <c r="L287" s="12"/>
      <c r="M287" s="12"/>
      <c r="N287" s="16"/>
    </row>
    <row r="288" spans="1:14" ht="15.75" customHeight="1" x14ac:dyDescent="0.15">
      <c r="A288" s="16"/>
      <c r="B288" s="43"/>
      <c r="C288" s="43"/>
      <c r="D288" s="16"/>
      <c r="E288" s="16"/>
      <c r="F288" s="16"/>
      <c r="G288" s="12"/>
      <c r="H288" s="12"/>
      <c r="I288" s="12"/>
      <c r="J288" s="12"/>
      <c r="K288" s="12"/>
      <c r="L288" s="12"/>
      <c r="M288" s="12"/>
      <c r="N288" s="16"/>
    </row>
    <row r="289" spans="1:14" ht="15.75" customHeight="1" x14ac:dyDescent="0.15">
      <c r="A289" s="16"/>
      <c r="B289" s="43"/>
      <c r="C289" s="43"/>
      <c r="D289" s="16"/>
      <c r="E289" s="16"/>
      <c r="F289" s="16"/>
      <c r="G289" s="12"/>
      <c r="H289" s="12"/>
      <c r="I289" s="12"/>
      <c r="J289" s="12"/>
      <c r="K289" s="12"/>
      <c r="L289" s="12"/>
      <c r="M289" s="12"/>
      <c r="N289" s="16"/>
    </row>
    <row r="290" spans="1:14" ht="15.75" customHeight="1" x14ac:dyDescent="0.15">
      <c r="A290" s="16"/>
      <c r="B290" s="43"/>
      <c r="C290" s="43"/>
      <c r="D290" s="16"/>
      <c r="E290" s="16"/>
      <c r="F290" s="16"/>
      <c r="G290" s="12"/>
      <c r="H290" s="12"/>
      <c r="I290" s="12"/>
      <c r="J290" s="12"/>
      <c r="K290" s="12"/>
      <c r="L290" s="12"/>
      <c r="M290" s="12"/>
      <c r="N290" s="16"/>
    </row>
    <row r="291" spans="1:14" ht="15.75" customHeight="1" x14ac:dyDescent="0.15">
      <c r="A291" s="16"/>
      <c r="B291" s="43"/>
      <c r="C291" s="43"/>
      <c r="D291" s="16"/>
      <c r="E291" s="16"/>
      <c r="F291" s="16"/>
      <c r="G291" s="12"/>
      <c r="H291" s="12"/>
      <c r="I291" s="12"/>
      <c r="J291" s="12"/>
      <c r="K291" s="12"/>
      <c r="L291" s="12"/>
      <c r="M291" s="12"/>
      <c r="N291" s="16"/>
    </row>
    <row r="292" spans="1:14" ht="15.75" customHeight="1" x14ac:dyDescent="0.15">
      <c r="A292" s="16"/>
      <c r="B292" s="43"/>
      <c r="C292" s="43"/>
      <c r="D292" s="16"/>
      <c r="E292" s="16"/>
      <c r="F292" s="16"/>
      <c r="G292" s="12"/>
      <c r="H292" s="12"/>
      <c r="I292" s="12"/>
      <c r="J292" s="12"/>
      <c r="K292" s="12"/>
      <c r="L292" s="12"/>
      <c r="M292" s="12"/>
      <c r="N292" s="16"/>
    </row>
    <row r="293" spans="1:14" ht="15.75" customHeight="1" x14ac:dyDescent="0.15">
      <c r="A293" s="16"/>
      <c r="B293" s="43"/>
      <c r="C293" s="43"/>
      <c r="D293" s="16"/>
      <c r="E293" s="16"/>
      <c r="F293" s="16"/>
      <c r="G293" s="12"/>
      <c r="H293" s="12"/>
      <c r="I293" s="12"/>
      <c r="J293" s="12"/>
      <c r="K293" s="12"/>
      <c r="L293" s="12"/>
      <c r="M293" s="12"/>
      <c r="N293" s="16"/>
    </row>
    <row r="294" spans="1:14" ht="15.75" customHeight="1" x14ac:dyDescent="0.15">
      <c r="A294" s="16"/>
      <c r="B294" s="43"/>
      <c r="C294" s="43"/>
      <c r="D294" s="16"/>
      <c r="E294" s="16"/>
      <c r="F294" s="16"/>
      <c r="G294" s="12"/>
      <c r="H294" s="12"/>
      <c r="I294" s="12"/>
      <c r="J294" s="12"/>
      <c r="K294" s="12"/>
      <c r="L294" s="12"/>
      <c r="M294" s="12"/>
      <c r="N294" s="16"/>
    </row>
    <row r="295" spans="1:14" ht="15.75" customHeight="1" x14ac:dyDescent="0.15">
      <c r="A295" s="16"/>
      <c r="B295" s="43"/>
      <c r="C295" s="43"/>
      <c r="D295" s="16"/>
      <c r="E295" s="16"/>
      <c r="F295" s="16"/>
      <c r="G295" s="12"/>
      <c r="H295" s="12"/>
      <c r="I295" s="12"/>
      <c r="J295" s="12"/>
      <c r="K295" s="12"/>
      <c r="L295" s="12"/>
      <c r="M295" s="12"/>
      <c r="N295" s="16"/>
    </row>
    <row r="296" spans="1:14" ht="15.75" customHeight="1" x14ac:dyDescent="0.15">
      <c r="A296" s="16"/>
      <c r="B296" s="43"/>
      <c r="C296" s="43"/>
      <c r="D296" s="16"/>
      <c r="E296" s="16"/>
      <c r="F296" s="16"/>
      <c r="G296" s="12"/>
      <c r="H296" s="12"/>
      <c r="I296" s="12"/>
      <c r="J296" s="12"/>
      <c r="K296" s="12"/>
      <c r="L296" s="12"/>
      <c r="M296" s="12"/>
      <c r="N296" s="16"/>
    </row>
    <row r="297" spans="1:14" ht="15.75" customHeight="1" x14ac:dyDescent="0.15">
      <c r="A297" s="16"/>
      <c r="B297" s="43"/>
      <c r="C297" s="43"/>
      <c r="D297" s="16"/>
      <c r="E297" s="16"/>
      <c r="F297" s="16"/>
      <c r="G297" s="12"/>
      <c r="H297" s="12"/>
      <c r="I297" s="12"/>
      <c r="J297" s="12"/>
      <c r="K297" s="12"/>
      <c r="L297" s="12"/>
      <c r="M297" s="12"/>
      <c r="N297" s="16"/>
    </row>
    <row r="298" spans="1:14" ht="15.75" customHeight="1" x14ac:dyDescent="0.15">
      <c r="A298" s="16"/>
      <c r="B298" s="43"/>
      <c r="C298" s="43"/>
      <c r="D298" s="16"/>
      <c r="E298" s="16"/>
      <c r="F298" s="16"/>
      <c r="G298" s="12"/>
      <c r="H298" s="12"/>
      <c r="I298" s="12"/>
      <c r="J298" s="12"/>
      <c r="K298" s="12"/>
      <c r="L298" s="12"/>
      <c r="M298" s="12"/>
      <c r="N298" s="16"/>
    </row>
    <row r="299" spans="1:14" ht="15.75" customHeight="1" x14ac:dyDescent="0.15">
      <c r="A299" s="16"/>
      <c r="B299" s="43"/>
      <c r="C299" s="43"/>
      <c r="D299" s="16"/>
      <c r="E299" s="16"/>
      <c r="F299" s="16"/>
      <c r="G299" s="12"/>
      <c r="H299" s="12"/>
      <c r="I299" s="12"/>
      <c r="J299" s="12"/>
      <c r="K299" s="12"/>
      <c r="L299" s="12"/>
      <c r="M299" s="12"/>
      <c r="N299" s="16"/>
    </row>
    <row r="300" spans="1:14" ht="15.75" customHeight="1" x14ac:dyDescent="0.15">
      <c r="A300" s="16"/>
      <c r="B300" s="43"/>
      <c r="C300" s="43"/>
      <c r="D300" s="16"/>
      <c r="E300" s="16"/>
      <c r="F300" s="16"/>
      <c r="G300" s="12"/>
      <c r="H300" s="12"/>
      <c r="I300" s="12"/>
      <c r="J300" s="12"/>
      <c r="K300" s="12"/>
      <c r="L300" s="12"/>
      <c r="M300" s="12"/>
      <c r="N300" s="16"/>
    </row>
    <row r="301" spans="1:14" ht="15.75" customHeight="1" x14ac:dyDescent="0.15">
      <c r="A301" s="16"/>
      <c r="B301" s="43"/>
      <c r="C301" s="43"/>
      <c r="D301" s="16"/>
      <c r="E301" s="16"/>
      <c r="F301" s="16"/>
      <c r="G301" s="12"/>
      <c r="H301" s="12"/>
      <c r="I301" s="12"/>
      <c r="J301" s="12"/>
      <c r="K301" s="12"/>
      <c r="L301" s="12"/>
      <c r="M301" s="12"/>
      <c r="N301" s="16"/>
    </row>
    <row r="302" spans="1:14" ht="15.75" customHeight="1" x14ac:dyDescent="0.15">
      <c r="A302" s="16"/>
      <c r="B302" s="43"/>
      <c r="C302" s="43"/>
      <c r="D302" s="16"/>
      <c r="E302" s="16"/>
      <c r="F302" s="16"/>
      <c r="G302" s="12"/>
      <c r="H302" s="12"/>
      <c r="I302" s="12"/>
      <c r="J302" s="12"/>
      <c r="K302" s="12"/>
      <c r="L302" s="12"/>
      <c r="M302" s="12"/>
      <c r="N302" s="16"/>
    </row>
    <row r="303" spans="1:14" ht="15.75" customHeight="1" x14ac:dyDescent="0.15">
      <c r="A303" s="16"/>
      <c r="B303" s="43"/>
      <c r="C303" s="43"/>
      <c r="D303" s="16"/>
      <c r="E303" s="16"/>
      <c r="F303" s="16"/>
      <c r="G303" s="12"/>
      <c r="H303" s="12"/>
      <c r="I303" s="12"/>
      <c r="J303" s="12"/>
      <c r="K303" s="12"/>
      <c r="L303" s="12"/>
      <c r="M303" s="12"/>
      <c r="N303" s="16"/>
    </row>
    <row r="304" spans="1:14" ht="15.75" customHeight="1" x14ac:dyDescent="0.15">
      <c r="A304" s="16"/>
      <c r="B304" s="43"/>
      <c r="C304" s="43"/>
      <c r="D304" s="16"/>
      <c r="E304" s="16"/>
      <c r="F304" s="16"/>
      <c r="G304" s="12"/>
      <c r="H304" s="12"/>
      <c r="I304" s="12"/>
      <c r="J304" s="12"/>
      <c r="K304" s="12"/>
      <c r="L304" s="12"/>
      <c r="M304" s="12"/>
      <c r="N304" s="16"/>
    </row>
    <row r="305" spans="1:14" ht="15.75" customHeight="1" x14ac:dyDescent="0.15">
      <c r="A305" s="16"/>
      <c r="B305" s="43"/>
      <c r="C305" s="43"/>
      <c r="D305" s="16"/>
      <c r="E305" s="16"/>
      <c r="F305" s="16"/>
      <c r="G305" s="12"/>
      <c r="H305" s="12"/>
      <c r="I305" s="12"/>
      <c r="J305" s="12"/>
      <c r="K305" s="12"/>
      <c r="L305" s="12"/>
      <c r="M305" s="12"/>
      <c r="N305" s="16"/>
    </row>
    <row r="306" spans="1:14" ht="15.75" customHeight="1" x14ac:dyDescent="0.15">
      <c r="A306" s="16"/>
      <c r="B306" s="43"/>
      <c r="C306" s="43"/>
      <c r="D306" s="16"/>
      <c r="E306" s="16"/>
      <c r="F306" s="16"/>
      <c r="G306" s="12"/>
      <c r="H306" s="12"/>
      <c r="I306" s="12"/>
      <c r="J306" s="12"/>
      <c r="K306" s="12"/>
      <c r="L306" s="12"/>
      <c r="M306" s="12"/>
      <c r="N306" s="16"/>
    </row>
    <row r="307" spans="1:14" ht="15.75" customHeight="1" x14ac:dyDescent="0.15"/>
    <row r="308" spans="1:14" ht="15.75" customHeight="1" x14ac:dyDescent="0.15"/>
    <row r="309" spans="1:14" ht="15.75" customHeight="1" x14ac:dyDescent="0.15"/>
    <row r="310" spans="1:14" ht="15.75" customHeight="1" x14ac:dyDescent="0.15"/>
    <row r="311" spans="1:14" ht="15.75" customHeight="1" x14ac:dyDescent="0.15"/>
    <row r="312" spans="1:14" ht="15.75" customHeight="1" x14ac:dyDescent="0.15"/>
    <row r="313" spans="1:14" ht="15.75" customHeight="1" x14ac:dyDescent="0.15"/>
    <row r="314" spans="1:14" ht="15.75" customHeight="1" x14ac:dyDescent="0.15"/>
    <row r="315" spans="1:14" ht="15.75" customHeight="1" x14ac:dyDescent="0.15"/>
    <row r="316" spans="1:14" ht="15.75" customHeight="1" x14ac:dyDescent="0.15"/>
    <row r="317" spans="1:14" ht="15.75" customHeight="1" x14ac:dyDescent="0.15"/>
    <row r="318" spans="1:14" ht="15.75" customHeight="1" x14ac:dyDescent="0.15"/>
    <row r="319" spans="1:14" ht="15.75" customHeight="1" x14ac:dyDescent="0.15"/>
    <row r="320" spans="1:14"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hyperlinks>
    <hyperlink ref="A2" r:id="rId1" xr:uid="{00000000-0004-0000-0E00-000000000000}"/>
  </hyperlink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K1000"/>
  <sheetViews>
    <sheetView workbookViewId="0"/>
  </sheetViews>
  <sheetFormatPr baseColWidth="10" defaultColWidth="14.5" defaultRowHeight="15" customHeight="1" x14ac:dyDescent="0.15"/>
  <cols>
    <col min="1" max="1" width="16.6640625" customWidth="1"/>
    <col min="2" max="3" width="16.1640625" customWidth="1"/>
    <col min="4" max="4" width="13.5" customWidth="1"/>
    <col min="5" max="6" width="14.5" customWidth="1"/>
    <col min="7" max="7" width="9.1640625" customWidth="1"/>
    <col min="8" max="8" width="35.5" customWidth="1"/>
    <col min="9" max="9" width="17.1640625" customWidth="1"/>
    <col min="10" max="10" width="6.5" customWidth="1"/>
    <col min="11" max="11" width="49.33203125" customWidth="1"/>
  </cols>
  <sheetData>
    <row r="1" spans="1:11" ht="15.75" customHeight="1" x14ac:dyDescent="0.15">
      <c r="A1" s="38" t="s">
        <v>698</v>
      </c>
      <c r="B1" s="138"/>
      <c r="C1" s="138"/>
      <c r="D1" s="3"/>
      <c r="E1" s="3"/>
      <c r="F1" s="3"/>
      <c r="G1" s="40"/>
      <c r="H1" s="38" t="s">
        <v>699</v>
      </c>
      <c r="I1" s="40"/>
      <c r="J1" s="40"/>
      <c r="K1" s="2"/>
    </row>
    <row r="2" spans="1:11" ht="30.75" customHeight="1" x14ac:dyDescent="0.2">
      <c r="A2" s="129" t="s">
        <v>700</v>
      </c>
      <c r="B2" s="51"/>
      <c r="C2" s="51"/>
      <c r="D2" s="16"/>
      <c r="E2" s="16"/>
      <c r="F2" s="16"/>
      <c r="G2" s="12"/>
      <c r="H2" s="101" t="s">
        <v>73</v>
      </c>
      <c r="I2" s="102"/>
      <c r="J2" s="12"/>
      <c r="K2" s="44" t="s">
        <v>76</v>
      </c>
    </row>
    <row r="3" spans="1:11" ht="30.75" customHeight="1" x14ac:dyDescent="0.2">
      <c r="A3" s="7" t="s">
        <v>18</v>
      </c>
      <c r="B3" s="7" t="s">
        <v>77</v>
      </c>
      <c r="C3" s="7" t="s">
        <v>78</v>
      </c>
      <c r="D3" s="47" t="s">
        <v>79</v>
      </c>
      <c r="E3" s="47" t="s">
        <v>80</v>
      </c>
      <c r="F3" s="48" t="s">
        <v>81</v>
      </c>
      <c r="G3" s="12"/>
      <c r="H3" s="103" t="s">
        <v>82</v>
      </c>
      <c r="I3" s="104" t="s">
        <v>83</v>
      </c>
      <c r="J3" s="12"/>
      <c r="K3" s="12" t="s">
        <v>701</v>
      </c>
    </row>
    <row r="4" spans="1:11" ht="30.75" customHeight="1" x14ac:dyDescent="0.2">
      <c r="A4" s="16">
        <v>2</v>
      </c>
      <c r="B4" s="51" t="s">
        <v>702</v>
      </c>
      <c r="C4" s="51" t="s">
        <v>703</v>
      </c>
      <c r="D4" s="15">
        <f>100000*$I$6</f>
        <v>4.1583333333333333E-2</v>
      </c>
      <c r="E4" s="15">
        <f>6700000*$I$6</f>
        <v>2.7860833333333335</v>
      </c>
      <c r="F4" s="15">
        <f t="shared" ref="F4:F53" si="0">IFERROR(D4+E4,"error")</f>
        <v>2.827666666666667</v>
      </c>
      <c r="G4" s="12"/>
      <c r="H4" s="106" t="s">
        <v>91</v>
      </c>
      <c r="I4" s="107">
        <v>12000000</v>
      </c>
      <c r="J4" s="12"/>
      <c r="K4" s="12" t="s">
        <v>704</v>
      </c>
    </row>
    <row r="5" spans="1:11" ht="30.75" customHeight="1" x14ac:dyDescent="0.2">
      <c r="A5" s="16">
        <v>4</v>
      </c>
      <c r="B5" s="51"/>
      <c r="C5" s="51" t="s">
        <v>705</v>
      </c>
      <c r="D5" s="15">
        <v>0</v>
      </c>
      <c r="E5" s="15">
        <v>0</v>
      </c>
      <c r="F5" s="15">
        <f t="shared" si="0"/>
        <v>0</v>
      </c>
      <c r="G5" s="12"/>
      <c r="H5" s="106" t="s">
        <v>97</v>
      </c>
      <c r="I5" s="108">
        <v>4.99</v>
      </c>
      <c r="J5" s="12"/>
      <c r="K5" s="15"/>
    </row>
    <row r="6" spans="1:11" ht="30.75" customHeight="1" x14ac:dyDescent="0.2">
      <c r="A6" s="16">
        <v>6</v>
      </c>
      <c r="B6" s="51"/>
      <c r="C6" s="51" t="s">
        <v>706</v>
      </c>
      <c r="D6" s="15">
        <v>0</v>
      </c>
      <c r="E6" s="15">
        <f>440000*$I$6</f>
        <v>0.18296666666666667</v>
      </c>
      <c r="F6" s="15">
        <f t="shared" si="0"/>
        <v>0.18296666666666667</v>
      </c>
      <c r="G6" s="12"/>
      <c r="H6" s="134" t="s">
        <v>524</v>
      </c>
      <c r="I6" s="113">
        <f>I5/I4</f>
        <v>4.1583333333333336E-7</v>
      </c>
      <c r="J6" s="12"/>
      <c r="K6" s="34"/>
    </row>
    <row r="7" spans="1:11" ht="30.75" customHeight="1" x14ac:dyDescent="0.2">
      <c r="A7" s="16">
        <v>8</v>
      </c>
      <c r="B7" s="51" t="s">
        <v>707</v>
      </c>
      <c r="C7" s="51" t="s">
        <v>708</v>
      </c>
      <c r="D7" s="15">
        <v>0</v>
      </c>
      <c r="E7" s="15">
        <v>0</v>
      </c>
      <c r="F7" s="15">
        <f t="shared" si="0"/>
        <v>0</v>
      </c>
      <c r="G7" s="12"/>
      <c r="H7" s="116"/>
      <c r="I7" s="117"/>
      <c r="J7" s="12"/>
      <c r="K7" s="15"/>
    </row>
    <row r="8" spans="1:11" ht="30.75" customHeight="1" x14ac:dyDescent="0.2">
      <c r="A8" s="16">
        <v>10</v>
      </c>
      <c r="B8" s="51"/>
      <c r="C8" s="51" t="s">
        <v>707</v>
      </c>
      <c r="D8" s="15">
        <v>0</v>
      </c>
      <c r="E8" s="15">
        <v>0</v>
      </c>
      <c r="F8" s="15">
        <f t="shared" si="0"/>
        <v>0</v>
      </c>
      <c r="G8" s="12"/>
      <c r="H8" s="103" t="s">
        <v>110</v>
      </c>
      <c r="I8" s="104" t="s">
        <v>366</v>
      </c>
      <c r="J8" s="12"/>
      <c r="K8" s="136"/>
    </row>
    <row r="9" spans="1:11" ht="30.75" customHeight="1" x14ac:dyDescent="0.2">
      <c r="A9" s="16">
        <v>12</v>
      </c>
      <c r="B9" s="51" t="s">
        <v>709</v>
      </c>
      <c r="C9" s="51" t="s">
        <v>710</v>
      </c>
      <c r="D9" s="15">
        <f>400000*$I$6</f>
        <v>0.16633333333333333</v>
      </c>
      <c r="E9" s="15">
        <f>890000*$I$6</f>
        <v>0.37009166666666671</v>
      </c>
      <c r="F9" s="15">
        <f t="shared" si="0"/>
        <v>0.53642500000000004</v>
      </c>
      <c r="G9" s="12"/>
      <c r="H9" s="106" t="s">
        <v>117</v>
      </c>
      <c r="I9" s="107">
        <v>20</v>
      </c>
      <c r="J9" s="12"/>
      <c r="K9" s="15"/>
    </row>
    <row r="10" spans="1:11" ht="30.75" customHeight="1" x14ac:dyDescent="0.2">
      <c r="A10" s="16">
        <v>14</v>
      </c>
      <c r="B10" s="51"/>
      <c r="C10" s="51" t="s">
        <v>711</v>
      </c>
      <c r="D10" s="15">
        <v>0</v>
      </c>
      <c r="E10" s="15">
        <v>0</v>
      </c>
      <c r="F10" s="15">
        <f t="shared" si="0"/>
        <v>0</v>
      </c>
      <c r="G10" s="12"/>
      <c r="H10" s="109" t="s">
        <v>121</v>
      </c>
      <c r="I10" s="110">
        <v>4.99</v>
      </c>
      <c r="J10" s="12"/>
      <c r="K10" s="15"/>
    </row>
    <row r="11" spans="1:11" ht="30.75" customHeight="1" x14ac:dyDescent="0.2">
      <c r="A11" s="16">
        <v>17</v>
      </c>
      <c r="B11" s="51"/>
      <c r="C11" s="51" t="s">
        <v>712</v>
      </c>
      <c r="D11" s="15">
        <v>0</v>
      </c>
      <c r="E11" s="15">
        <f>1*$I$11</f>
        <v>0.2495</v>
      </c>
      <c r="F11" s="15">
        <f t="shared" si="0"/>
        <v>0.2495</v>
      </c>
      <c r="G11" s="12"/>
      <c r="H11" s="112" t="s">
        <v>104</v>
      </c>
      <c r="I11" s="113">
        <f>IF(I9="N/A","N/A",I10/I9)</f>
        <v>0.2495</v>
      </c>
      <c r="J11" s="12"/>
      <c r="K11" s="15"/>
    </row>
    <row r="12" spans="1:11" ht="30.75" customHeight="1" x14ac:dyDescent="0.2">
      <c r="A12" s="16">
        <v>20</v>
      </c>
      <c r="B12" s="51" t="s">
        <v>713</v>
      </c>
      <c r="C12" s="51" t="s">
        <v>714</v>
      </c>
      <c r="D12" s="15">
        <v>0</v>
      </c>
      <c r="E12" s="15">
        <v>0</v>
      </c>
      <c r="F12" s="15">
        <f t="shared" si="0"/>
        <v>0</v>
      </c>
      <c r="G12" s="12"/>
      <c r="H12" s="106"/>
      <c r="I12" s="110"/>
      <c r="J12" s="12"/>
      <c r="K12" s="15"/>
    </row>
    <row r="13" spans="1:11" ht="30.75" customHeight="1" x14ac:dyDescent="0.2">
      <c r="A13" s="16">
        <v>23</v>
      </c>
      <c r="B13" s="51"/>
      <c r="C13" s="51" t="s">
        <v>715</v>
      </c>
      <c r="D13" s="15">
        <v>0</v>
      </c>
      <c r="E13" s="15">
        <f>640000*$I$6</f>
        <v>0.26613333333333333</v>
      </c>
      <c r="F13" s="15">
        <f t="shared" si="0"/>
        <v>0.26613333333333333</v>
      </c>
      <c r="G13" s="12"/>
      <c r="H13" s="103" t="s">
        <v>236</v>
      </c>
      <c r="I13" s="104" t="s">
        <v>111</v>
      </c>
      <c r="J13" s="12"/>
      <c r="K13" s="34"/>
    </row>
    <row r="14" spans="1:11" ht="30.75" customHeight="1" x14ac:dyDescent="0.2">
      <c r="A14" s="16">
        <v>26</v>
      </c>
      <c r="B14" s="51"/>
      <c r="C14" s="51" t="s">
        <v>716</v>
      </c>
      <c r="D14" s="15">
        <v>0</v>
      </c>
      <c r="E14" s="15">
        <v>0</v>
      </c>
      <c r="F14" s="15">
        <f t="shared" si="0"/>
        <v>0</v>
      </c>
      <c r="G14" s="12"/>
      <c r="H14" s="106" t="s">
        <v>117</v>
      </c>
      <c r="I14" s="107" t="s">
        <v>111</v>
      </c>
      <c r="J14" s="12"/>
      <c r="K14" s="66"/>
    </row>
    <row r="15" spans="1:11" ht="30.75" customHeight="1" x14ac:dyDescent="0.2">
      <c r="A15" s="16">
        <v>29</v>
      </c>
      <c r="B15" s="51" t="s">
        <v>717</v>
      </c>
      <c r="C15" s="51" t="s">
        <v>705</v>
      </c>
      <c r="D15" s="15">
        <f>700000*$I$6</f>
        <v>0.29108333333333336</v>
      </c>
      <c r="E15" s="15">
        <v>0</v>
      </c>
      <c r="F15" s="15">
        <f t="shared" si="0"/>
        <v>0.29108333333333336</v>
      </c>
      <c r="G15" s="12"/>
      <c r="H15" s="109" t="s">
        <v>139</v>
      </c>
      <c r="I15" s="110" t="s">
        <v>111</v>
      </c>
      <c r="J15" s="12"/>
      <c r="K15" s="16"/>
    </row>
    <row r="16" spans="1:11" ht="30.75" customHeight="1" x14ac:dyDescent="0.2">
      <c r="A16" s="16">
        <v>32</v>
      </c>
      <c r="B16" s="51"/>
      <c r="C16" s="51" t="s">
        <v>718</v>
      </c>
      <c r="D16" s="15">
        <v>0</v>
      </c>
      <c r="E16" s="15">
        <f>2100000*$I$6</f>
        <v>0.87325000000000008</v>
      </c>
      <c r="F16" s="15">
        <f t="shared" si="0"/>
        <v>0.87325000000000008</v>
      </c>
      <c r="G16" s="12"/>
      <c r="H16" s="112" t="s">
        <v>104</v>
      </c>
      <c r="I16" s="113" t="str">
        <f>IF(I14="N/A","N/A",I15/I14)</f>
        <v>N/A</v>
      </c>
      <c r="J16" s="12"/>
      <c r="K16" s="16"/>
    </row>
    <row r="17" spans="1:11" ht="30.75" customHeight="1" x14ac:dyDescent="0.2">
      <c r="A17" s="16">
        <v>35</v>
      </c>
      <c r="B17" s="51"/>
      <c r="C17" s="51" t="s">
        <v>707</v>
      </c>
      <c r="D17" s="15">
        <v>0</v>
      </c>
      <c r="E17" s="15">
        <v>0</v>
      </c>
      <c r="F17" s="15">
        <f t="shared" si="0"/>
        <v>0</v>
      </c>
      <c r="G17" s="12"/>
      <c r="H17" s="106"/>
      <c r="I17" s="119"/>
      <c r="J17" s="12"/>
      <c r="K17" s="16"/>
    </row>
    <row r="18" spans="1:11" ht="30.75" customHeight="1" x14ac:dyDescent="0.2">
      <c r="A18" s="16">
        <v>39</v>
      </c>
      <c r="B18" s="51" t="s">
        <v>707</v>
      </c>
      <c r="C18" s="51" t="s">
        <v>719</v>
      </c>
      <c r="D18" s="15">
        <v>0</v>
      </c>
      <c r="E18" s="15">
        <v>0</v>
      </c>
      <c r="F18" s="15">
        <f t="shared" si="0"/>
        <v>0</v>
      </c>
      <c r="G18" s="12"/>
      <c r="H18" s="103"/>
      <c r="I18" s="104"/>
      <c r="J18" s="12"/>
      <c r="K18" s="16"/>
    </row>
    <row r="19" spans="1:11" ht="30.75" customHeight="1" x14ac:dyDescent="0.2">
      <c r="A19" s="16">
        <v>43</v>
      </c>
      <c r="B19" s="51"/>
      <c r="C19" s="51" t="s">
        <v>720</v>
      </c>
      <c r="D19" s="15">
        <v>0</v>
      </c>
      <c r="E19" s="15">
        <f>1000000*$I$6</f>
        <v>0.41583333333333333</v>
      </c>
      <c r="F19" s="15">
        <f t="shared" si="0"/>
        <v>0.41583333333333333</v>
      </c>
      <c r="G19" s="12"/>
      <c r="H19" s="106"/>
      <c r="I19" s="107"/>
      <c r="J19" s="12"/>
      <c r="K19" s="16"/>
    </row>
    <row r="20" spans="1:11" ht="30.75" customHeight="1" x14ac:dyDescent="0.2">
      <c r="A20" s="16">
        <v>47</v>
      </c>
      <c r="B20" s="51"/>
      <c r="C20" s="51" t="s">
        <v>712</v>
      </c>
      <c r="D20" s="15">
        <v>0</v>
      </c>
      <c r="E20" s="15">
        <f>1*$I$11</f>
        <v>0.2495</v>
      </c>
      <c r="F20" s="15">
        <f t="shared" si="0"/>
        <v>0.2495</v>
      </c>
      <c r="G20" s="12"/>
      <c r="H20" s="109"/>
      <c r="I20" s="110"/>
      <c r="J20" s="12"/>
      <c r="K20" s="16"/>
    </row>
    <row r="21" spans="1:11" ht="30.75" customHeight="1" x14ac:dyDescent="0.2">
      <c r="A21" s="16">
        <v>51</v>
      </c>
      <c r="B21" s="51" t="s">
        <v>720</v>
      </c>
      <c r="C21" s="86" t="s">
        <v>711</v>
      </c>
      <c r="D21" s="15">
        <f>1000000*$I$6</f>
        <v>0.41583333333333333</v>
      </c>
      <c r="E21" s="15">
        <v>0</v>
      </c>
      <c r="F21" s="15">
        <f t="shared" si="0"/>
        <v>0.41583333333333333</v>
      </c>
      <c r="G21" s="12"/>
      <c r="H21" s="103"/>
      <c r="I21" s="122"/>
      <c r="J21" s="68"/>
      <c r="K21" s="16"/>
    </row>
    <row r="22" spans="1:11" ht="30.75" customHeight="1" x14ac:dyDescent="0.2">
      <c r="A22" s="16">
        <v>55</v>
      </c>
      <c r="B22" s="51"/>
      <c r="C22" s="51" t="s">
        <v>721</v>
      </c>
      <c r="D22" s="15">
        <v>0</v>
      </c>
      <c r="E22" s="15">
        <f>5000000*$I$6</f>
        <v>2.0791666666666666</v>
      </c>
      <c r="F22" s="15">
        <f t="shared" si="0"/>
        <v>2.0791666666666666</v>
      </c>
      <c r="G22" s="12"/>
      <c r="H22" s="120"/>
      <c r="I22" s="108"/>
      <c r="J22" s="68"/>
      <c r="K22" s="16"/>
    </row>
    <row r="23" spans="1:11" ht="30.75" customHeight="1" x14ac:dyDescent="0.2">
      <c r="A23" s="16">
        <v>59</v>
      </c>
      <c r="B23" s="51"/>
      <c r="C23" s="51" t="s">
        <v>722</v>
      </c>
      <c r="D23" s="15">
        <v>0</v>
      </c>
      <c r="E23" s="15">
        <v>0</v>
      </c>
      <c r="F23" s="15">
        <f t="shared" si="0"/>
        <v>0</v>
      </c>
      <c r="G23" s="12"/>
      <c r="H23" s="103"/>
      <c r="I23" s="104"/>
      <c r="J23" s="68"/>
      <c r="K23" s="16"/>
    </row>
    <row r="24" spans="1:11" ht="30.75" customHeight="1" x14ac:dyDescent="0.2">
      <c r="A24" s="16">
        <v>63</v>
      </c>
      <c r="B24" s="51" t="s">
        <v>707</v>
      </c>
      <c r="C24" s="51" t="s">
        <v>720</v>
      </c>
      <c r="D24" s="15">
        <v>0</v>
      </c>
      <c r="E24" s="15">
        <f>1000000*$I$6</f>
        <v>0.41583333333333333</v>
      </c>
      <c r="F24" s="15">
        <f t="shared" si="0"/>
        <v>0.41583333333333333</v>
      </c>
      <c r="G24" s="12"/>
      <c r="H24" s="106"/>
      <c r="I24" s="107"/>
      <c r="J24" s="68"/>
      <c r="K24" s="16"/>
    </row>
    <row r="25" spans="1:11" ht="30.75" customHeight="1" x14ac:dyDescent="0.2">
      <c r="A25" s="16">
        <v>67</v>
      </c>
      <c r="B25" s="51"/>
      <c r="C25" s="51" t="s">
        <v>723</v>
      </c>
      <c r="D25" s="15">
        <v>0</v>
      </c>
      <c r="E25" s="15">
        <v>0</v>
      </c>
      <c r="F25" s="15">
        <f t="shared" si="0"/>
        <v>0</v>
      </c>
      <c r="G25" s="12"/>
      <c r="H25" s="109"/>
      <c r="I25" s="110"/>
      <c r="J25" s="68"/>
      <c r="K25" s="16"/>
    </row>
    <row r="26" spans="1:11" ht="30.75" customHeight="1" x14ac:dyDescent="0.2">
      <c r="A26" s="16">
        <v>75</v>
      </c>
      <c r="B26" s="51"/>
      <c r="C26" s="51" t="s">
        <v>724</v>
      </c>
      <c r="D26" s="15">
        <v>0</v>
      </c>
      <c r="E26" s="15">
        <f>1500000*$I$6</f>
        <v>0.62375000000000003</v>
      </c>
      <c r="F26" s="15">
        <f t="shared" si="0"/>
        <v>0.62375000000000003</v>
      </c>
      <c r="G26" s="12"/>
      <c r="H26" s="103"/>
      <c r="I26" s="122"/>
      <c r="J26" s="12"/>
      <c r="K26" s="16"/>
    </row>
    <row r="27" spans="1:11" ht="30.75" customHeight="1" x14ac:dyDescent="0.2">
      <c r="A27" s="16">
        <v>83</v>
      </c>
      <c r="B27" s="51" t="s">
        <v>725</v>
      </c>
      <c r="C27" s="51" t="s">
        <v>707</v>
      </c>
      <c r="D27" s="15">
        <f>1400000*$I$6</f>
        <v>0.58216666666666672</v>
      </c>
      <c r="E27" s="15">
        <v>0</v>
      </c>
      <c r="F27" s="15">
        <f t="shared" si="0"/>
        <v>0.58216666666666672</v>
      </c>
      <c r="G27" s="12"/>
      <c r="H27" s="119"/>
      <c r="I27" s="123"/>
      <c r="J27" s="12"/>
      <c r="K27" s="16"/>
    </row>
    <row r="28" spans="1:11" ht="30.75" customHeight="1" x14ac:dyDescent="0.2">
      <c r="A28" s="16">
        <v>91</v>
      </c>
      <c r="B28" s="51"/>
      <c r="C28" s="51" t="s">
        <v>726</v>
      </c>
      <c r="D28" s="15">
        <v>0</v>
      </c>
      <c r="E28" s="15">
        <v>0</v>
      </c>
      <c r="F28" s="15">
        <f t="shared" si="0"/>
        <v>0</v>
      </c>
      <c r="G28" s="12"/>
      <c r="H28" s="120"/>
      <c r="I28" s="120"/>
      <c r="J28" s="12"/>
      <c r="K28" s="16"/>
    </row>
    <row r="29" spans="1:11" ht="30.75" customHeight="1" x14ac:dyDescent="0.2">
      <c r="A29" s="16">
        <v>100</v>
      </c>
      <c r="B29" s="51"/>
      <c r="C29" s="51" t="s">
        <v>727</v>
      </c>
      <c r="D29" s="15">
        <v>0</v>
      </c>
      <c r="E29" s="15">
        <f>620000*$I$6</f>
        <v>0.25781666666666669</v>
      </c>
      <c r="F29" s="15">
        <f t="shared" si="0"/>
        <v>0.25781666666666669</v>
      </c>
      <c r="G29" s="12"/>
      <c r="H29" s="120"/>
      <c r="I29" s="120"/>
      <c r="J29" s="12"/>
      <c r="K29" s="16"/>
    </row>
    <row r="30" spans="1:11" ht="30.75" customHeight="1" x14ac:dyDescent="0.2">
      <c r="A30" s="16">
        <v>105</v>
      </c>
      <c r="B30" s="51" t="s">
        <v>707</v>
      </c>
      <c r="C30" s="51" t="s">
        <v>705</v>
      </c>
      <c r="D30" s="15">
        <v>0</v>
      </c>
      <c r="E30" s="15">
        <v>0</v>
      </c>
      <c r="F30" s="15">
        <f t="shared" si="0"/>
        <v>0</v>
      </c>
      <c r="G30" s="12"/>
      <c r="H30" s="120"/>
      <c r="I30" s="120"/>
      <c r="J30" s="12"/>
      <c r="K30" s="16"/>
    </row>
    <row r="31" spans="1:11" ht="30.75" customHeight="1" x14ac:dyDescent="0.2">
      <c r="A31" s="16">
        <v>115</v>
      </c>
      <c r="B31" s="51"/>
      <c r="C31" s="51" t="s">
        <v>728</v>
      </c>
      <c r="D31" s="15">
        <v>0</v>
      </c>
      <c r="E31" s="15">
        <v>0</v>
      </c>
      <c r="F31" s="15">
        <f t="shared" si="0"/>
        <v>0</v>
      </c>
      <c r="G31" s="12"/>
      <c r="H31" s="120"/>
      <c r="I31" s="120"/>
      <c r="J31" s="12"/>
      <c r="K31" s="16"/>
    </row>
    <row r="32" spans="1:11" ht="30.75" customHeight="1" x14ac:dyDescent="0.2">
      <c r="A32" s="16">
        <v>120</v>
      </c>
      <c r="B32" s="51"/>
      <c r="C32" s="51" t="s">
        <v>729</v>
      </c>
      <c r="D32" s="15">
        <v>0</v>
      </c>
      <c r="E32" s="15">
        <f>10000000*$I$6</f>
        <v>4.1583333333333332</v>
      </c>
      <c r="F32" s="15">
        <f t="shared" si="0"/>
        <v>4.1583333333333332</v>
      </c>
      <c r="G32" s="12"/>
      <c r="H32" s="120"/>
      <c r="I32" s="120"/>
      <c r="J32" s="12"/>
      <c r="K32" s="16"/>
    </row>
    <row r="33" spans="1:11" ht="30.75" customHeight="1" x14ac:dyDescent="0.2">
      <c r="A33" s="16">
        <v>135</v>
      </c>
      <c r="B33" s="51" t="s">
        <v>730</v>
      </c>
      <c r="C33" s="51" t="s">
        <v>731</v>
      </c>
      <c r="D33" s="15">
        <f>2290000*$I$6</f>
        <v>0.95225833333333343</v>
      </c>
      <c r="E33" s="15">
        <v>0</v>
      </c>
      <c r="F33" s="15">
        <f t="shared" si="0"/>
        <v>0.95225833333333343</v>
      </c>
      <c r="G33" s="12"/>
      <c r="H33" s="120"/>
      <c r="I33" s="120"/>
      <c r="J33" s="12"/>
      <c r="K33" s="16"/>
    </row>
    <row r="34" spans="1:11" ht="30.75" customHeight="1" x14ac:dyDescent="0.2">
      <c r="A34" s="16">
        <v>145</v>
      </c>
      <c r="B34" s="51"/>
      <c r="C34" s="51" t="s">
        <v>726</v>
      </c>
      <c r="D34" s="15">
        <v>0</v>
      </c>
      <c r="E34" s="15">
        <v>0</v>
      </c>
      <c r="F34" s="15">
        <f t="shared" si="0"/>
        <v>0</v>
      </c>
      <c r="G34" s="12"/>
      <c r="H34" s="120"/>
      <c r="I34" s="120"/>
      <c r="J34" s="12"/>
      <c r="K34" s="16"/>
    </row>
    <row r="35" spans="1:11" ht="30.75" customHeight="1" x14ac:dyDescent="0.2">
      <c r="A35" s="16">
        <v>160</v>
      </c>
      <c r="B35" s="51"/>
      <c r="C35" s="51" t="s">
        <v>732</v>
      </c>
      <c r="D35" s="15">
        <v>0</v>
      </c>
      <c r="E35" s="15">
        <f>20000000*$I$6</f>
        <v>8.3166666666666664</v>
      </c>
      <c r="F35" s="15">
        <f t="shared" si="0"/>
        <v>8.3166666666666664</v>
      </c>
      <c r="G35" s="12"/>
      <c r="H35" s="120"/>
      <c r="I35" s="120"/>
      <c r="J35" s="12"/>
      <c r="K35" s="16"/>
    </row>
    <row r="36" spans="1:11" ht="30.75" customHeight="1" x14ac:dyDescent="0.2">
      <c r="A36" s="16">
        <v>175</v>
      </c>
      <c r="B36" s="51"/>
      <c r="C36" s="51" t="s">
        <v>705</v>
      </c>
      <c r="D36" s="15">
        <v>0</v>
      </c>
      <c r="E36" s="15">
        <v>0</v>
      </c>
      <c r="F36" s="15">
        <f t="shared" si="0"/>
        <v>0</v>
      </c>
      <c r="G36" s="12"/>
      <c r="H36" s="41"/>
      <c r="I36" s="120"/>
      <c r="J36" s="12"/>
      <c r="K36" s="16"/>
    </row>
    <row r="37" spans="1:11" ht="30.75" customHeight="1" x14ac:dyDescent="0.2">
      <c r="A37" s="16">
        <v>190</v>
      </c>
      <c r="B37" s="51" t="s">
        <v>733</v>
      </c>
      <c r="C37" s="51" t="s">
        <v>707</v>
      </c>
      <c r="D37" s="15">
        <v>0</v>
      </c>
      <c r="E37" s="15">
        <v>0</v>
      </c>
      <c r="F37" s="15">
        <f t="shared" si="0"/>
        <v>0</v>
      </c>
      <c r="G37" s="12"/>
      <c r="H37" s="120"/>
      <c r="I37" s="120"/>
      <c r="J37" s="12"/>
      <c r="K37" s="16"/>
    </row>
    <row r="38" spans="1:11" ht="30.75" customHeight="1" x14ac:dyDescent="0.2">
      <c r="A38" s="16">
        <v>205</v>
      </c>
      <c r="B38" s="51"/>
      <c r="C38" s="51" t="s">
        <v>721</v>
      </c>
      <c r="D38" s="15">
        <v>0</v>
      </c>
      <c r="E38" s="15">
        <f>5000000*$I$6</f>
        <v>2.0791666666666666</v>
      </c>
      <c r="F38" s="15">
        <f t="shared" si="0"/>
        <v>2.0791666666666666</v>
      </c>
      <c r="G38" s="12"/>
      <c r="H38" s="120"/>
      <c r="I38" s="120"/>
      <c r="J38" s="12"/>
      <c r="K38" s="16"/>
    </row>
    <row r="39" spans="1:11" ht="30.75" customHeight="1" x14ac:dyDescent="0.2">
      <c r="A39" s="16">
        <v>220</v>
      </c>
      <c r="B39" s="51"/>
      <c r="C39" s="51" t="s">
        <v>734</v>
      </c>
      <c r="D39" s="15">
        <v>0</v>
      </c>
      <c r="E39" s="15">
        <f>10*I11</f>
        <v>2.4950000000000001</v>
      </c>
      <c r="F39" s="15">
        <f t="shared" si="0"/>
        <v>2.4950000000000001</v>
      </c>
      <c r="G39" s="12"/>
      <c r="H39" s="120"/>
      <c r="I39" s="120"/>
      <c r="J39" s="12"/>
      <c r="K39" s="16"/>
    </row>
    <row r="40" spans="1:11" ht="30.75" customHeight="1" x14ac:dyDescent="0.2">
      <c r="A40" s="16">
        <v>235</v>
      </c>
      <c r="B40" s="51"/>
      <c r="C40" s="51" t="s">
        <v>726</v>
      </c>
      <c r="D40" s="15">
        <v>0</v>
      </c>
      <c r="E40" s="15">
        <v>0</v>
      </c>
      <c r="F40" s="15">
        <f t="shared" si="0"/>
        <v>0</v>
      </c>
      <c r="G40" s="12"/>
      <c r="H40" s="120"/>
      <c r="I40" s="120"/>
      <c r="J40" s="12"/>
      <c r="K40" s="16"/>
    </row>
    <row r="41" spans="1:11" ht="30.75" customHeight="1" x14ac:dyDescent="0.2">
      <c r="A41" s="16">
        <v>250</v>
      </c>
      <c r="B41" s="51" t="s">
        <v>735</v>
      </c>
      <c r="C41" s="51" t="s">
        <v>736</v>
      </c>
      <c r="D41" s="15">
        <f>11000000*$I$6</f>
        <v>4.5741666666666667</v>
      </c>
      <c r="E41" s="15">
        <f>12000000*$I$6</f>
        <v>4.99</v>
      </c>
      <c r="F41" s="15">
        <f t="shared" si="0"/>
        <v>9.5641666666666669</v>
      </c>
      <c r="G41" s="12"/>
      <c r="H41" s="120"/>
      <c r="I41" s="120"/>
      <c r="J41" s="12"/>
      <c r="K41" s="16"/>
    </row>
    <row r="42" spans="1:11" ht="30.75" customHeight="1" x14ac:dyDescent="0.2">
      <c r="A42" s="16">
        <v>275</v>
      </c>
      <c r="B42" s="51"/>
      <c r="C42" s="51" t="s">
        <v>711</v>
      </c>
      <c r="D42" s="15">
        <v>0</v>
      </c>
      <c r="E42" s="15">
        <v>0</v>
      </c>
      <c r="F42" s="15">
        <f t="shared" si="0"/>
        <v>0</v>
      </c>
      <c r="G42" s="12"/>
      <c r="H42" s="120"/>
      <c r="I42" s="120"/>
      <c r="J42" s="12"/>
      <c r="K42" s="16"/>
    </row>
    <row r="43" spans="1:11" ht="30.75" customHeight="1" x14ac:dyDescent="0.2">
      <c r="A43" s="16">
        <v>300</v>
      </c>
      <c r="B43" s="51"/>
      <c r="C43" s="51" t="s">
        <v>722</v>
      </c>
      <c r="D43" s="15">
        <v>0</v>
      </c>
      <c r="E43" s="15">
        <v>0</v>
      </c>
      <c r="F43" s="15">
        <f t="shared" si="0"/>
        <v>0</v>
      </c>
      <c r="G43" s="12"/>
      <c r="H43" s="120"/>
      <c r="I43" s="120"/>
      <c r="J43" s="12"/>
      <c r="K43" s="16"/>
    </row>
    <row r="44" spans="1:11" ht="30.75" customHeight="1" x14ac:dyDescent="0.2">
      <c r="A44" s="16">
        <v>325</v>
      </c>
      <c r="B44" s="51"/>
      <c r="C44" s="51" t="s">
        <v>737</v>
      </c>
      <c r="D44" s="15">
        <v>0</v>
      </c>
      <c r="E44" s="15">
        <f>2500000*$I$6</f>
        <v>1.0395833333333333</v>
      </c>
      <c r="F44" s="15">
        <f t="shared" si="0"/>
        <v>1.0395833333333333</v>
      </c>
      <c r="G44" s="12"/>
      <c r="H44" s="120"/>
      <c r="I44" s="120"/>
      <c r="J44" s="12"/>
      <c r="K44" s="16"/>
    </row>
    <row r="45" spans="1:11" ht="30.75" customHeight="1" x14ac:dyDescent="0.2">
      <c r="A45" s="16">
        <v>350</v>
      </c>
      <c r="B45" s="51" t="s">
        <v>711</v>
      </c>
      <c r="C45" s="51" t="s">
        <v>723</v>
      </c>
      <c r="D45" s="15">
        <v>0</v>
      </c>
      <c r="E45" s="15">
        <v>0</v>
      </c>
      <c r="F45" s="15">
        <f t="shared" si="0"/>
        <v>0</v>
      </c>
      <c r="G45" s="12"/>
      <c r="H45" s="120"/>
      <c r="I45" s="120"/>
      <c r="J45" s="12"/>
      <c r="K45" s="16"/>
    </row>
    <row r="46" spans="1:11" ht="30.75" customHeight="1" x14ac:dyDescent="0.2">
      <c r="A46" s="16">
        <v>375</v>
      </c>
      <c r="B46" s="51"/>
      <c r="C46" s="51" t="s">
        <v>738</v>
      </c>
      <c r="D46" s="15">
        <v>0</v>
      </c>
      <c r="E46" s="15">
        <f>9900000*$I$6</f>
        <v>4.1167500000000006</v>
      </c>
      <c r="F46" s="15">
        <f t="shared" si="0"/>
        <v>4.1167500000000006</v>
      </c>
      <c r="G46" s="12"/>
      <c r="H46" s="120"/>
      <c r="I46" s="120"/>
      <c r="J46" s="12"/>
      <c r="K46" s="16"/>
    </row>
    <row r="47" spans="1:11" ht="30.75" customHeight="1" x14ac:dyDescent="0.2">
      <c r="A47" s="16">
        <v>400</v>
      </c>
      <c r="B47" s="51"/>
      <c r="C47" s="51" t="s">
        <v>707</v>
      </c>
      <c r="D47" s="15">
        <v>0</v>
      </c>
      <c r="E47" s="15">
        <v>0</v>
      </c>
      <c r="F47" s="15">
        <f t="shared" si="0"/>
        <v>0</v>
      </c>
      <c r="G47" s="12"/>
      <c r="H47" s="120"/>
      <c r="I47" s="120"/>
      <c r="J47" s="12"/>
      <c r="K47" s="16"/>
    </row>
    <row r="48" spans="1:11" ht="30.75" customHeight="1" x14ac:dyDescent="0.2">
      <c r="A48" s="16">
        <v>425</v>
      </c>
      <c r="B48" s="51"/>
      <c r="C48" s="51" t="s">
        <v>739</v>
      </c>
      <c r="D48" s="15">
        <v>0</v>
      </c>
      <c r="E48" s="15">
        <v>0</v>
      </c>
      <c r="F48" s="15">
        <f t="shared" si="0"/>
        <v>0</v>
      </c>
      <c r="G48" s="12"/>
      <c r="H48" s="120"/>
      <c r="I48" s="120"/>
      <c r="J48" s="12"/>
      <c r="K48" s="16"/>
    </row>
    <row r="49" spans="1:11" ht="30.75" customHeight="1" x14ac:dyDescent="0.2">
      <c r="A49" s="16">
        <v>450</v>
      </c>
      <c r="B49" s="51" t="s">
        <v>735</v>
      </c>
      <c r="C49" s="51" t="s">
        <v>705</v>
      </c>
      <c r="D49" s="15">
        <f>11000000*$I$6</f>
        <v>4.5741666666666667</v>
      </c>
      <c r="E49" s="15">
        <v>0</v>
      </c>
      <c r="F49" s="15">
        <f t="shared" si="0"/>
        <v>4.5741666666666667</v>
      </c>
      <c r="G49" s="12"/>
      <c r="H49" s="120"/>
      <c r="I49" s="120"/>
      <c r="J49" s="12"/>
      <c r="K49" s="16"/>
    </row>
    <row r="50" spans="1:11" ht="30.75" customHeight="1" x14ac:dyDescent="0.2">
      <c r="A50" s="16">
        <v>475</v>
      </c>
      <c r="B50" s="51"/>
      <c r="C50" s="51" t="s">
        <v>740</v>
      </c>
      <c r="D50" s="15">
        <v>0</v>
      </c>
      <c r="E50" s="15">
        <f>6200000*$I$6</f>
        <v>2.5781666666666667</v>
      </c>
      <c r="F50" s="15">
        <f t="shared" si="0"/>
        <v>2.5781666666666667</v>
      </c>
      <c r="G50" s="12"/>
      <c r="H50" s="120"/>
      <c r="I50" s="120"/>
      <c r="J50" s="12"/>
      <c r="K50" s="16"/>
    </row>
    <row r="51" spans="1:11" ht="30.75" customHeight="1" x14ac:dyDescent="0.2">
      <c r="A51" s="16">
        <v>500</v>
      </c>
      <c r="B51" s="51"/>
      <c r="C51" s="51" t="s">
        <v>728</v>
      </c>
      <c r="D51" s="15">
        <v>0</v>
      </c>
      <c r="E51" s="15">
        <v>0</v>
      </c>
      <c r="F51" s="15">
        <f t="shared" si="0"/>
        <v>0</v>
      </c>
      <c r="G51" s="12"/>
      <c r="H51" s="120"/>
      <c r="I51" s="120"/>
      <c r="J51" s="12"/>
      <c r="K51" s="16"/>
    </row>
    <row r="52" spans="1:11" ht="30.75" customHeight="1" x14ac:dyDescent="0.2">
      <c r="A52" s="16">
        <v>525</v>
      </c>
      <c r="B52" s="51"/>
      <c r="C52" s="51" t="s">
        <v>741</v>
      </c>
      <c r="D52" s="15">
        <v>0</v>
      </c>
      <c r="E52" s="15">
        <f>16000000*$I$6</f>
        <v>6.6533333333333333</v>
      </c>
      <c r="F52" s="15">
        <f t="shared" si="0"/>
        <v>6.6533333333333333</v>
      </c>
      <c r="G52" s="12"/>
      <c r="H52" s="120"/>
      <c r="I52" s="120"/>
      <c r="J52" s="12"/>
      <c r="K52" s="16"/>
    </row>
    <row r="53" spans="1:11" ht="30.75" customHeight="1" x14ac:dyDescent="0.2">
      <c r="A53" s="16">
        <v>550</v>
      </c>
      <c r="B53" s="51" t="s">
        <v>723</v>
      </c>
      <c r="C53" s="51" t="s">
        <v>731</v>
      </c>
      <c r="D53" s="15">
        <v>0</v>
      </c>
      <c r="E53" s="15">
        <v>0</v>
      </c>
      <c r="F53" s="15">
        <f t="shared" si="0"/>
        <v>0</v>
      </c>
      <c r="G53" s="12"/>
      <c r="H53" s="120"/>
      <c r="I53" s="120"/>
      <c r="J53" s="12"/>
      <c r="K53" s="16"/>
    </row>
    <row r="54" spans="1:11" ht="30.75" customHeight="1" x14ac:dyDescent="0.2">
      <c r="A54" s="28" t="s">
        <v>81</v>
      </c>
      <c r="B54" s="32"/>
      <c r="C54" s="34"/>
      <c r="D54" s="72">
        <f t="shared" ref="D54:F54" si="1">SUM(D4:D53)</f>
        <v>11.597591666666666</v>
      </c>
      <c r="E54" s="72">
        <f t="shared" si="1"/>
        <v>45.196925000000007</v>
      </c>
      <c r="F54" s="72">
        <f t="shared" si="1"/>
        <v>56.794516666666674</v>
      </c>
      <c r="G54" s="12"/>
      <c r="H54" s="120"/>
      <c r="I54" s="120"/>
      <c r="J54" s="12"/>
      <c r="K54" s="16"/>
    </row>
    <row r="55" spans="1:11" ht="30.75" customHeight="1" x14ac:dyDescent="0.2">
      <c r="A55" s="28" t="s">
        <v>174</v>
      </c>
      <c r="B55" s="32"/>
      <c r="C55" s="34"/>
      <c r="D55" s="34">
        <f t="shared" ref="D55:F55" si="2">AVERAGE(D4:D53)</f>
        <v>0.23195183333333333</v>
      </c>
      <c r="E55" s="34">
        <f t="shared" si="2"/>
        <v>0.9039385000000002</v>
      </c>
      <c r="F55" s="34">
        <f t="shared" si="2"/>
        <v>1.1358903333333334</v>
      </c>
      <c r="G55" s="12"/>
      <c r="H55" s="120"/>
      <c r="I55" s="120"/>
      <c r="J55" s="12"/>
      <c r="K55" s="16"/>
    </row>
    <row r="56" spans="1:11" ht="30.75" customHeight="1" x14ac:dyDescent="0.2">
      <c r="A56" s="16"/>
      <c r="B56" s="12"/>
      <c r="C56" s="51"/>
      <c r="D56" s="15"/>
      <c r="E56" s="15"/>
      <c r="F56" s="15"/>
      <c r="G56" s="12"/>
      <c r="H56" s="120"/>
      <c r="I56" s="120"/>
      <c r="J56" s="12"/>
      <c r="K56" s="16"/>
    </row>
    <row r="57" spans="1:11" ht="30.75" customHeight="1" x14ac:dyDescent="0.2">
      <c r="A57" s="16"/>
      <c r="B57" s="12"/>
      <c r="C57" s="51"/>
      <c r="D57" s="15"/>
      <c r="E57" s="15"/>
      <c r="F57" s="15"/>
      <c r="G57" s="12"/>
      <c r="H57" s="120"/>
      <c r="I57" s="120"/>
      <c r="J57" s="12"/>
      <c r="K57" s="16"/>
    </row>
    <row r="58" spans="1:11" ht="15.75" customHeight="1" x14ac:dyDescent="0.2">
      <c r="A58" s="16"/>
      <c r="B58" s="51"/>
      <c r="C58" s="51"/>
      <c r="D58" s="15"/>
      <c r="E58" s="15"/>
      <c r="F58" s="15"/>
      <c r="G58" s="12"/>
      <c r="H58" s="120"/>
      <c r="I58" s="120"/>
      <c r="J58" s="12"/>
      <c r="K58" s="16"/>
    </row>
    <row r="59" spans="1:11" ht="15.75" customHeight="1" x14ac:dyDescent="0.2">
      <c r="A59" s="16"/>
      <c r="B59" s="51"/>
      <c r="C59" s="51"/>
      <c r="D59" s="15"/>
      <c r="E59" s="15"/>
      <c r="F59" s="15"/>
      <c r="G59" s="12"/>
      <c r="H59" s="120"/>
      <c r="I59" s="120"/>
      <c r="J59" s="12"/>
      <c r="K59" s="16"/>
    </row>
    <row r="60" spans="1:11" ht="15.75" customHeight="1" x14ac:dyDescent="0.2">
      <c r="A60" s="16"/>
      <c r="B60" s="51"/>
      <c r="C60" s="51"/>
      <c r="D60" s="15"/>
      <c r="E60" s="15"/>
      <c r="F60" s="15"/>
      <c r="G60" s="12"/>
      <c r="H60" s="120"/>
      <c r="I60" s="120"/>
      <c r="J60" s="12"/>
      <c r="K60" s="16"/>
    </row>
    <row r="61" spans="1:11" ht="15.75" customHeight="1" x14ac:dyDescent="0.2">
      <c r="A61" s="16"/>
      <c r="B61" s="51"/>
      <c r="C61" s="51"/>
      <c r="D61" s="15"/>
      <c r="E61" s="15"/>
      <c r="F61" s="15"/>
      <c r="G61" s="12"/>
      <c r="H61" s="120"/>
      <c r="I61" s="120"/>
      <c r="J61" s="12"/>
      <c r="K61" s="16"/>
    </row>
    <row r="62" spans="1:11" ht="15.75" customHeight="1" x14ac:dyDescent="0.2">
      <c r="A62" s="16"/>
      <c r="B62" s="51"/>
      <c r="C62" s="51"/>
      <c r="D62" s="15"/>
      <c r="E62" s="15"/>
      <c r="F62" s="15"/>
      <c r="G62" s="12"/>
      <c r="H62" s="120"/>
      <c r="I62" s="120"/>
      <c r="J62" s="12"/>
      <c r="K62" s="16"/>
    </row>
    <row r="63" spans="1:11" ht="15.75" customHeight="1" x14ac:dyDescent="0.2">
      <c r="A63" s="16"/>
      <c r="B63" s="51"/>
      <c r="C63" s="51"/>
      <c r="D63" s="15"/>
      <c r="E63" s="15"/>
      <c r="F63" s="15"/>
      <c r="G63" s="12"/>
      <c r="H63" s="120"/>
      <c r="I63" s="120"/>
      <c r="J63" s="12"/>
      <c r="K63" s="16"/>
    </row>
    <row r="64" spans="1:11" ht="15.75" customHeight="1" x14ac:dyDescent="0.2">
      <c r="A64" s="16"/>
      <c r="B64" s="51"/>
      <c r="C64" s="51"/>
      <c r="D64" s="15"/>
      <c r="E64" s="15"/>
      <c r="F64" s="15"/>
      <c r="G64" s="12"/>
      <c r="H64" s="120"/>
      <c r="I64" s="120"/>
      <c r="J64" s="12"/>
      <c r="K64" s="16"/>
    </row>
    <row r="65" spans="1:11" ht="15.75" customHeight="1" x14ac:dyDescent="0.2">
      <c r="A65" s="16"/>
      <c r="B65" s="51"/>
      <c r="C65" s="51"/>
      <c r="D65" s="15"/>
      <c r="E65" s="15"/>
      <c r="F65" s="15"/>
      <c r="G65" s="12"/>
      <c r="H65" s="120"/>
      <c r="I65" s="120"/>
      <c r="J65" s="12"/>
      <c r="K65" s="16"/>
    </row>
    <row r="66" spans="1:11" ht="15.75" customHeight="1" x14ac:dyDescent="0.2">
      <c r="A66" s="16"/>
      <c r="B66" s="51"/>
      <c r="C66" s="51"/>
      <c r="D66" s="15"/>
      <c r="E66" s="15"/>
      <c r="F66" s="15"/>
      <c r="G66" s="12"/>
      <c r="H66" s="120"/>
      <c r="I66" s="120"/>
      <c r="J66" s="12"/>
      <c r="K66" s="16"/>
    </row>
    <row r="67" spans="1:11" ht="15.75" customHeight="1" x14ac:dyDescent="0.2">
      <c r="A67" s="16"/>
      <c r="B67" s="51"/>
      <c r="C67" s="51"/>
      <c r="D67" s="15"/>
      <c r="E67" s="15"/>
      <c r="F67" s="15"/>
      <c r="G67" s="12"/>
      <c r="H67" s="120"/>
      <c r="I67" s="120"/>
      <c r="J67" s="12"/>
      <c r="K67" s="16"/>
    </row>
    <row r="68" spans="1:11" ht="15.75" customHeight="1" x14ac:dyDescent="0.15">
      <c r="A68" s="16"/>
      <c r="B68" s="51"/>
      <c r="C68" s="51"/>
      <c r="D68" s="15"/>
      <c r="E68" s="15"/>
      <c r="F68" s="15"/>
      <c r="G68" s="12"/>
      <c r="H68" s="12"/>
      <c r="I68" s="12"/>
      <c r="J68" s="12"/>
      <c r="K68" s="16"/>
    </row>
    <row r="69" spans="1:11" ht="15.75" customHeight="1" x14ac:dyDescent="0.15">
      <c r="A69" s="16"/>
      <c r="B69" s="51"/>
      <c r="C69" s="51"/>
      <c r="D69" s="15"/>
      <c r="E69" s="15"/>
      <c r="F69" s="15"/>
      <c r="G69" s="12"/>
      <c r="H69" s="12"/>
      <c r="I69" s="12"/>
      <c r="J69" s="12"/>
      <c r="K69" s="16"/>
    </row>
    <row r="70" spans="1:11" ht="15.75" customHeight="1" x14ac:dyDescent="0.15">
      <c r="A70" s="16"/>
      <c r="B70" s="51"/>
      <c r="C70" s="51"/>
      <c r="D70" s="15"/>
      <c r="E70" s="15"/>
      <c r="F70" s="15"/>
      <c r="G70" s="12"/>
      <c r="H70" s="12"/>
      <c r="I70" s="12"/>
      <c r="J70" s="12"/>
      <c r="K70" s="16"/>
    </row>
    <row r="71" spans="1:11" ht="15.75" customHeight="1" x14ac:dyDescent="0.15">
      <c r="A71" s="16"/>
      <c r="B71" s="51"/>
      <c r="C71" s="51"/>
      <c r="D71" s="15"/>
      <c r="E71" s="15"/>
      <c r="F71" s="15"/>
      <c r="G71" s="12"/>
      <c r="H71" s="12"/>
      <c r="I71" s="12"/>
      <c r="J71" s="12"/>
      <c r="K71" s="16"/>
    </row>
    <row r="72" spans="1:11" ht="15.75" customHeight="1" x14ac:dyDescent="0.15">
      <c r="A72" s="16"/>
      <c r="B72" s="51"/>
      <c r="C72" s="51"/>
      <c r="D72" s="15"/>
      <c r="E72" s="15"/>
      <c r="F72" s="15"/>
      <c r="G72" s="12"/>
      <c r="H72" s="12"/>
      <c r="I72" s="12"/>
      <c r="J72" s="12"/>
      <c r="K72" s="16"/>
    </row>
    <row r="73" spans="1:11" ht="15.75" customHeight="1" x14ac:dyDescent="0.15">
      <c r="A73" s="16"/>
      <c r="B73" s="51"/>
      <c r="C73" s="51"/>
      <c r="D73" s="15"/>
      <c r="E73" s="15"/>
      <c r="F73" s="15"/>
      <c r="G73" s="12"/>
      <c r="H73" s="12"/>
      <c r="I73" s="12"/>
      <c r="J73" s="12"/>
      <c r="K73" s="16"/>
    </row>
    <row r="74" spans="1:11" ht="15.75" customHeight="1" x14ac:dyDescent="0.15">
      <c r="A74" s="16"/>
      <c r="B74" s="51"/>
      <c r="C74" s="51"/>
      <c r="D74" s="15"/>
      <c r="E74" s="15"/>
      <c r="F74" s="15"/>
      <c r="G74" s="12"/>
      <c r="H74" s="12"/>
      <c r="I74" s="12"/>
      <c r="J74" s="12"/>
      <c r="K74" s="16"/>
    </row>
    <row r="75" spans="1:11" ht="15.75" customHeight="1" x14ac:dyDescent="0.15">
      <c r="A75" s="16"/>
      <c r="B75" s="51"/>
      <c r="C75" s="51"/>
      <c r="D75" s="15"/>
      <c r="E75" s="15"/>
      <c r="F75" s="15"/>
      <c r="G75" s="12"/>
      <c r="H75" s="12"/>
      <c r="I75" s="12"/>
      <c r="J75" s="12"/>
      <c r="K75" s="16"/>
    </row>
    <row r="76" spans="1:11" ht="15.75" customHeight="1" x14ac:dyDescent="0.15">
      <c r="A76" s="16"/>
      <c r="B76" s="51"/>
      <c r="C76" s="51"/>
      <c r="D76" s="15"/>
      <c r="E76" s="15"/>
      <c r="F76" s="15"/>
      <c r="G76" s="12"/>
      <c r="H76" s="12"/>
      <c r="I76" s="12"/>
      <c r="J76" s="12"/>
      <c r="K76" s="16"/>
    </row>
    <row r="77" spans="1:11" ht="15.75" customHeight="1" x14ac:dyDescent="0.15">
      <c r="A77" s="16"/>
      <c r="B77" s="51"/>
      <c r="C77" s="51"/>
      <c r="D77" s="15"/>
      <c r="E77" s="15"/>
      <c r="F77" s="15"/>
      <c r="G77" s="12"/>
      <c r="H77" s="12"/>
      <c r="I77" s="12"/>
      <c r="J77" s="12"/>
      <c r="K77" s="16"/>
    </row>
    <row r="78" spans="1:11" ht="15.75" customHeight="1" x14ac:dyDescent="0.15">
      <c r="A78" s="16"/>
      <c r="B78" s="51"/>
      <c r="C78" s="51"/>
      <c r="D78" s="15"/>
      <c r="E78" s="15"/>
      <c r="F78" s="15"/>
      <c r="G78" s="12"/>
      <c r="H78" s="12"/>
      <c r="I78" s="12"/>
      <c r="J78" s="12"/>
      <c r="K78" s="16"/>
    </row>
    <row r="79" spans="1:11" ht="15.75" customHeight="1" x14ac:dyDescent="0.15">
      <c r="A79" s="16"/>
      <c r="B79" s="51"/>
      <c r="C79" s="51"/>
      <c r="D79" s="15"/>
      <c r="E79" s="15"/>
      <c r="F79" s="15"/>
      <c r="G79" s="12"/>
      <c r="H79" s="12"/>
      <c r="I79" s="12"/>
      <c r="J79" s="12"/>
      <c r="K79" s="16"/>
    </row>
    <row r="80" spans="1:11" ht="15.75" customHeight="1" x14ac:dyDescent="0.15">
      <c r="A80" s="16"/>
      <c r="B80" s="51"/>
      <c r="C80" s="51"/>
      <c r="D80" s="15"/>
      <c r="E80" s="15"/>
      <c r="F80" s="15"/>
      <c r="G80" s="12"/>
      <c r="H80" s="12"/>
      <c r="I80" s="12"/>
      <c r="J80" s="12"/>
      <c r="K80" s="16"/>
    </row>
    <row r="81" spans="1:11" ht="15.75" customHeight="1" x14ac:dyDescent="0.15">
      <c r="A81" s="16"/>
      <c r="B81" s="51"/>
      <c r="C81" s="51"/>
      <c r="D81" s="15"/>
      <c r="E81" s="15"/>
      <c r="F81" s="15"/>
      <c r="G81" s="12"/>
      <c r="H81" s="12"/>
      <c r="I81" s="12"/>
      <c r="J81" s="12"/>
      <c r="K81" s="16"/>
    </row>
    <row r="82" spans="1:11" ht="15.75" customHeight="1" x14ac:dyDescent="0.15">
      <c r="A82" s="16"/>
      <c r="B82" s="51"/>
      <c r="C82" s="51"/>
      <c r="D82" s="15"/>
      <c r="E82" s="15"/>
      <c r="F82" s="15"/>
      <c r="G82" s="12"/>
      <c r="H82" s="12"/>
      <c r="I82" s="12"/>
      <c r="J82" s="12"/>
      <c r="K82" s="16"/>
    </row>
    <row r="83" spans="1:11" ht="15.75" customHeight="1" x14ac:dyDescent="0.15">
      <c r="A83" s="16"/>
      <c r="B83" s="51"/>
      <c r="C83" s="51"/>
      <c r="D83" s="15"/>
      <c r="E83" s="15"/>
      <c r="F83" s="15"/>
      <c r="G83" s="12"/>
      <c r="H83" s="12"/>
      <c r="I83" s="12"/>
      <c r="J83" s="12"/>
      <c r="K83" s="16"/>
    </row>
    <row r="84" spans="1:11" ht="15.75" customHeight="1" x14ac:dyDescent="0.15">
      <c r="A84" s="16"/>
      <c r="B84" s="51"/>
      <c r="C84" s="51"/>
      <c r="D84" s="15"/>
      <c r="E84" s="15"/>
      <c r="F84" s="15"/>
      <c r="G84" s="12"/>
      <c r="H84" s="12"/>
      <c r="I84" s="12"/>
      <c r="J84" s="12"/>
      <c r="K84" s="16"/>
    </row>
    <row r="85" spans="1:11" ht="15.75" customHeight="1" x14ac:dyDescent="0.15">
      <c r="A85" s="16"/>
      <c r="B85" s="51"/>
      <c r="C85" s="51"/>
      <c r="D85" s="15"/>
      <c r="E85" s="15"/>
      <c r="F85" s="15"/>
      <c r="G85" s="12"/>
      <c r="H85" s="12"/>
      <c r="I85" s="12"/>
      <c r="J85" s="12"/>
      <c r="K85" s="16"/>
    </row>
    <row r="86" spans="1:11" ht="15.75" customHeight="1" x14ac:dyDescent="0.15">
      <c r="A86" s="16"/>
      <c r="B86" s="51"/>
      <c r="C86" s="51"/>
      <c r="D86" s="15"/>
      <c r="E86" s="15"/>
      <c r="F86" s="15"/>
      <c r="G86" s="12"/>
      <c r="H86" s="12"/>
      <c r="I86" s="12"/>
      <c r="J86" s="12"/>
      <c r="K86" s="16"/>
    </row>
    <row r="87" spans="1:11" ht="15.75" customHeight="1" x14ac:dyDescent="0.15">
      <c r="A87" s="16"/>
      <c r="B87" s="51"/>
      <c r="C87" s="51"/>
      <c r="D87" s="15"/>
      <c r="E87" s="15"/>
      <c r="F87" s="15"/>
      <c r="G87" s="12"/>
      <c r="H87" s="12"/>
      <c r="I87" s="12"/>
      <c r="J87" s="12"/>
      <c r="K87" s="16"/>
    </row>
    <row r="88" spans="1:11" ht="15.75" customHeight="1" x14ac:dyDescent="0.15">
      <c r="A88" s="16"/>
      <c r="B88" s="51"/>
      <c r="C88" s="51"/>
      <c r="D88" s="15"/>
      <c r="E88" s="15"/>
      <c r="F88" s="15"/>
      <c r="G88" s="12"/>
      <c r="H88" s="12"/>
      <c r="I88" s="12"/>
      <c r="J88" s="12"/>
      <c r="K88" s="16"/>
    </row>
    <row r="89" spans="1:11" ht="15.75" customHeight="1" x14ac:dyDescent="0.15">
      <c r="A89" s="16"/>
      <c r="B89" s="51"/>
      <c r="C89" s="51"/>
      <c r="D89" s="15"/>
      <c r="E89" s="15"/>
      <c r="F89" s="15"/>
      <c r="G89" s="12"/>
      <c r="H89" s="12"/>
      <c r="I89" s="12"/>
      <c r="J89" s="12"/>
      <c r="K89" s="16"/>
    </row>
    <row r="90" spans="1:11" ht="15.75" customHeight="1" x14ac:dyDescent="0.15">
      <c r="A90" s="16"/>
      <c r="B90" s="51"/>
      <c r="C90" s="51"/>
      <c r="D90" s="15"/>
      <c r="E90" s="15"/>
      <c r="F90" s="15"/>
      <c r="G90" s="12"/>
      <c r="H90" s="12"/>
      <c r="I90" s="12"/>
      <c r="J90" s="12"/>
      <c r="K90" s="16"/>
    </row>
    <row r="91" spans="1:11" ht="15.75" customHeight="1" x14ac:dyDescent="0.15">
      <c r="A91" s="16"/>
      <c r="B91" s="51"/>
      <c r="C91" s="51"/>
      <c r="D91" s="15"/>
      <c r="E91" s="15"/>
      <c r="F91" s="15"/>
      <c r="G91" s="12"/>
      <c r="H91" s="12"/>
      <c r="I91" s="12"/>
      <c r="J91" s="12"/>
      <c r="K91" s="16"/>
    </row>
    <row r="92" spans="1:11" ht="15.75" customHeight="1" x14ac:dyDescent="0.15">
      <c r="A92" s="16"/>
      <c r="B92" s="51"/>
      <c r="C92" s="51"/>
      <c r="D92" s="15"/>
      <c r="E92" s="15"/>
      <c r="F92" s="15"/>
      <c r="G92" s="12"/>
      <c r="H92" s="12"/>
      <c r="I92" s="12"/>
      <c r="J92" s="12"/>
      <c r="K92" s="16"/>
    </row>
    <row r="93" spans="1:11" ht="15.75" customHeight="1" x14ac:dyDescent="0.15">
      <c r="A93" s="16"/>
      <c r="B93" s="51"/>
      <c r="C93" s="51"/>
      <c r="D93" s="15"/>
      <c r="E93" s="15"/>
      <c r="F93" s="15"/>
      <c r="G93" s="12"/>
      <c r="H93" s="12"/>
      <c r="I93" s="12"/>
      <c r="J93" s="12"/>
      <c r="K93" s="16"/>
    </row>
    <row r="94" spans="1:11" ht="15.75" customHeight="1" x14ac:dyDescent="0.15">
      <c r="A94" s="16"/>
      <c r="B94" s="51"/>
      <c r="C94" s="51"/>
      <c r="D94" s="15"/>
      <c r="E94" s="15"/>
      <c r="F94" s="15"/>
      <c r="G94" s="12"/>
      <c r="H94" s="12"/>
      <c r="I94" s="12"/>
      <c r="J94" s="12"/>
      <c r="K94" s="16"/>
    </row>
    <row r="95" spans="1:11" ht="15.75" customHeight="1" x14ac:dyDescent="0.15">
      <c r="A95" s="16"/>
      <c r="B95" s="51"/>
      <c r="C95" s="51"/>
      <c r="D95" s="15"/>
      <c r="E95" s="15"/>
      <c r="F95" s="15"/>
      <c r="G95" s="12"/>
      <c r="H95" s="12"/>
      <c r="I95" s="12"/>
      <c r="J95" s="12"/>
      <c r="K95" s="16"/>
    </row>
    <row r="96" spans="1:11" ht="15.75" customHeight="1" x14ac:dyDescent="0.15">
      <c r="A96" s="16"/>
      <c r="B96" s="51"/>
      <c r="C96" s="51"/>
      <c r="D96" s="15"/>
      <c r="E96" s="15"/>
      <c r="F96" s="15"/>
      <c r="G96" s="12"/>
      <c r="H96" s="12"/>
      <c r="I96" s="12"/>
      <c r="J96" s="12"/>
      <c r="K96" s="16"/>
    </row>
    <row r="97" spans="1:11" ht="15.75" customHeight="1" x14ac:dyDescent="0.15">
      <c r="A97" s="16"/>
      <c r="B97" s="51"/>
      <c r="C97" s="51"/>
      <c r="D97" s="15"/>
      <c r="E97" s="15"/>
      <c r="F97" s="15"/>
      <c r="G97" s="12"/>
      <c r="H97" s="12"/>
      <c r="I97" s="12"/>
      <c r="J97" s="12"/>
      <c r="K97" s="16"/>
    </row>
    <row r="98" spans="1:11" ht="15.75" customHeight="1" x14ac:dyDescent="0.15">
      <c r="A98" s="16"/>
      <c r="B98" s="51"/>
      <c r="C98" s="51"/>
      <c r="D98" s="15"/>
      <c r="E98" s="15"/>
      <c r="F98" s="15"/>
      <c r="G98" s="12"/>
      <c r="H98" s="12"/>
      <c r="I98" s="12"/>
      <c r="J98" s="12"/>
      <c r="K98" s="16"/>
    </row>
    <row r="99" spans="1:11" ht="15.75" customHeight="1" x14ac:dyDescent="0.15">
      <c r="A99" s="16"/>
      <c r="B99" s="51"/>
      <c r="C99" s="51"/>
      <c r="D99" s="15"/>
      <c r="E99" s="15"/>
      <c r="F99" s="15"/>
      <c r="G99" s="12"/>
      <c r="H99" s="12"/>
      <c r="I99" s="12"/>
      <c r="J99" s="12"/>
      <c r="K99" s="16"/>
    </row>
    <row r="100" spans="1:11" ht="15.75" customHeight="1" x14ac:dyDescent="0.15">
      <c r="A100" s="16"/>
      <c r="B100" s="51"/>
      <c r="C100" s="51"/>
      <c r="D100" s="15"/>
      <c r="E100" s="15"/>
      <c r="F100" s="15"/>
      <c r="G100" s="12"/>
      <c r="H100" s="12"/>
      <c r="I100" s="12"/>
      <c r="J100" s="12"/>
      <c r="K100" s="16"/>
    </row>
    <row r="101" spans="1:11" ht="15.75" customHeight="1" x14ac:dyDescent="0.15">
      <c r="A101" s="16"/>
      <c r="B101" s="51"/>
      <c r="C101" s="51"/>
      <c r="D101" s="15"/>
      <c r="E101" s="15"/>
      <c r="F101" s="15"/>
      <c r="G101" s="12"/>
      <c r="H101" s="12"/>
      <c r="I101" s="12"/>
      <c r="J101" s="12"/>
      <c r="K101" s="16"/>
    </row>
    <row r="102" spans="1:11" ht="15.75" customHeight="1" x14ac:dyDescent="0.15">
      <c r="A102" s="16"/>
      <c r="B102" s="51"/>
      <c r="C102" s="51"/>
      <c r="D102" s="15"/>
      <c r="E102" s="15"/>
      <c r="F102" s="15"/>
      <c r="G102" s="12"/>
      <c r="H102" s="12"/>
      <c r="I102" s="12"/>
      <c r="J102" s="12"/>
      <c r="K102" s="16"/>
    </row>
    <row r="103" spans="1:11" ht="15.75" customHeight="1" x14ac:dyDescent="0.15">
      <c r="A103" s="16"/>
      <c r="B103" s="51"/>
      <c r="C103" s="51"/>
      <c r="D103" s="15"/>
      <c r="E103" s="15"/>
      <c r="F103" s="15"/>
      <c r="G103" s="12"/>
      <c r="H103" s="12"/>
      <c r="I103" s="12"/>
      <c r="J103" s="12"/>
      <c r="K103" s="16"/>
    </row>
    <row r="104" spans="1:11" ht="15.75" customHeight="1" x14ac:dyDescent="0.15">
      <c r="A104" s="16"/>
      <c r="B104" s="51"/>
      <c r="C104" s="51"/>
      <c r="D104" s="15"/>
      <c r="E104" s="15"/>
      <c r="F104" s="15"/>
      <c r="G104" s="12"/>
      <c r="H104" s="12"/>
      <c r="I104" s="12"/>
      <c r="J104" s="12"/>
      <c r="K104" s="16"/>
    </row>
    <row r="105" spans="1:11" ht="15.75" customHeight="1" x14ac:dyDescent="0.15">
      <c r="A105" s="16"/>
      <c r="B105" s="51"/>
      <c r="C105" s="51"/>
      <c r="D105" s="15"/>
      <c r="E105" s="15"/>
      <c r="F105" s="15"/>
      <c r="G105" s="12"/>
      <c r="H105" s="12"/>
      <c r="I105" s="12"/>
      <c r="J105" s="12"/>
      <c r="K105" s="16"/>
    </row>
    <row r="106" spans="1:11" ht="15.75" customHeight="1" x14ac:dyDescent="0.15">
      <c r="A106" s="16"/>
      <c r="B106" s="51"/>
      <c r="C106" s="51"/>
      <c r="D106" s="15"/>
      <c r="E106" s="15"/>
      <c r="F106" s="15"/>
      <c r="G106" s="12"/>
      <c r="H106" s="12"/>
      <c r="I106" s="12"/>
      <c r="J106" s="12"/>
      <c r="K106" s="16"/>
    </row>
    <row r="107" spans="1:11" ht="15.75" customHeight="1" x14ac:dyDescent="0.15">
      <c r="A107" s="16"/>
      <c r="B107" s="51"/>
      <c r="C107" s="51"/>
      <c r="D107" s="15"/>
      <c r="E107" s="15"/>
      <c r="F107" s="15"/>
      <c r="G107" s="12"/>
      <c r="H107" s="12"/>
      <c r="I107" s="12"/>
      <c r="J107" s="12"/>
      <c r="K107" s="16"/>
    </row>
    <row r="108" spans="1:11" ht="15.75" customHeight="1" x14ac:dyDescent="0.15">
      <c r="A108" s="16"/>
      <c r="B108" s="51"/>
      <c r="C108" s="51"/>
      <c r="D108" s="15"/>
      <c r="E108" s="15"/>
      <c r="F108" s="15"/>
      <c r="G108" s="12"/>
      <c r="H108" s="12"/>
      <c r="I108" s="12"/>
      <c r="J108" s="12"/>
      <c r="K108" s="16"/>
    </row>
    <row r="109" spans="1:11" ht="15.75" customHeight="1" x14ac:dyDescent="0.15">
      <c r="A109" s="16"/>
      <c r="B109" s="51"/>
      <c r="C109" s="51"/>
      <c r="D109" s="15"/>
      <c r="E109" s="15"/>
      <c r="F109" s="15"/>
      <c r="G109" s="12"/>
      <c r="H109" s="12"/>
      <c r="I109" s="12"/>
      <c r="J109" s="12"/>
      <c r="K109" s="16"/>
    </row>
    <row r="110" spans="1:11" ht="15.75" customHeight="1" x14ac:dyDescent="0.15">
      <c r="A110" s="16"/>
      <c r="B110" s="51"/>
      <c r="C110" s="51"/>
      <c r="D110" s="15"/>
      <c r="E110" s="15"/>
      <c r="F110" s="15"/>
      <c r="G110" s="12"/>
      <c r="H110" s="12"/>
      <c r="I110" s="12"/>
      <c r="J110" s="12"/>
      <c r="K110" s="16"/>
    </row>
    <row r="111" spans="1:11" ht="15.75" customHeight="1" x14ac:dyDescent="0.15">
      <c r="A111" s="16"/>
      <c r="B111" s="51"/>
      <c r="C111" s="51"/>
      <c r="D111" s="15"/>
      <c r="E111" s="15"/>
      <c r="F111" s="15"/>
      <c r="G111" s="12"/>
      <c r="H111" s="12"/>
      <c r="I111" s="12"/>
      <c r="J111" s="12"/>
      <c r="K111" s="16"/>
    </row>
    <row r="112" spans="1:11" ht="15.75" customHeight="1" x14ac:dyDescent="0.15">
      <c r="A112" s="16"/>
      <c r="B112" s="51"/>
      <c r="C112" s="51"/>
      <c r="D112" s="15"/>
      <c r="E112" s="15"/>
      <c r="F112" s="15"/>
      <c r="G112" s="12"/>
      <c r="H112" s="12"/>
      <c r="I112" s="12"/>
      <c r="J112" s="12"/>
      <c r="K112" s="16"/>
    </row>
    <row r="113" spans="1:11" ht="15.75" customHeight="1" x14ac:dyDescent="0.15">
      <c r="A113" s="16"/>
      <c r="B113" s="51"/>
      <c r="C113" s="51"/>
      <c r="D113" s="15"/>
      <c r="E113" s="15"/>
      <c r="F113" s="15"/>
      <c r="G113" s="12"/>
      <c r="H113" s="12"/>
      <c r="I113" s="12"/>
      <c r="J113" s="12"/>
      <c r="K113" s="16"/>
    </row>
    <row r="114" spans="1:11" ht="15.75" customHeight="1" x14ac:dyDescent="0.15">
      <c r="A114" s="16"/>
      <c r="B114" s="51"/>
      <c r="C114" s="51"/>
      <c r="D114" s="15"/>
      <c r="E114" s="15"/>
      <c r="F114" s="15"/>
      <c r="G114" s="12"/>
      <c r="H114" s="12"/>
      <c r="I114" s="12"/>
      <c r="J114" s="12"/>
      <c r="K114" s="16"/>
    </row>
    <row r="115" spans="1:11" ht="15.75" customHeight="1" x14ac:dyDescent="0.15">
      <c r="A115" s="16"/>
      <c r="B115" s="51"/>
      <c r="C115" s="51"/>
      <c r="D115" s="15"/>
      <c r="E115" s="15"/>
      <c r="F115" s="15"/>
      <c r="G115" s="12"/>
      <c r="H115" s="12"/>
      <c r="I115" s="12"/>
      <c r="J115" s="12"/>
      <c r="K115" s="16"/>
    </row>
    <row r="116" spans="1:11" ht="15.75" customHeight="1" x14ac:dyDescent="0.15">
      <c r="A116" s="16"/>
      <c r="B116" s="51"/>
      <c r="C116" s="51"/>
      <c r="D116" s="15"/>
      <c r="E116" s="15"/>
      <c r="F116" s="15"/>
      <c r="G116" s="12"/>
      <c r="H116" s="12"/>
      <c r="I116" s="12"/>
      <c r="J116" s="12"/>
      <c r="K116" s="16"/>
    </row>
    <row r="117" spans="1:11" ht="15.75" customHeight="1" x14ac:dyDescent="0.15">
      <c r="A117" s="16"/>
      <c r="B117" s="51"/>
      <c r="C117" s="51"/>
      <c r="D117" s="15"/>
      <c r="E117" s="15"/>
      <c r="F117" s="15"/>
      <c r="G117" s="12"/>
      <c r="H117" s="12"/>
      <c r="I117" s="12"/>
      <c r="J117" s="12"/>
      <c r="K117" s="16"/>
    </row>
    <row r="118" spans="1:11" ht="15.75" customHeight="1" x14ac:dyDescent="0.15">
      <c r="A118" s="16"/>
      <c r="B118" s="51"/>
      <c r="C118" s="51"/>
      <c r="D118" s="15"/>
      <c r="E118" s="15"/>
      <c r="F118" s="15"/>
      <c r="G118" s="12"/>
      <c r="H118" s="12"/>
      <c r="I118" s="12"/>
      <c r="J118" s="12"/>
      <c r="K118" s="16"/>
    </row>
    <row r="119" spans="1:11" ht="15.75" customHeight="1" x14ac:dyDescent="0.15">
      <c r="A119" s="16"/>
      <c r="B119" s="51"/>
      <c r="C119" s="51"/>
      <c r="D119" s="16"/>
      <c r="E119" s="16"/>
      <c r="F119" s="16"/>
      <c r="G119" s="12"/>
      <c r="H119" s="12"/>
      <c r="I119" s="12"/>
      <c r="J119" s="12"/>
      <c r="K119" s="16"/>
    </row>
    <row r="120" spans="1:11" ht="15.75" customHeight="1" x14ac:dyDescent="0.15">
      <c r="A120" s="16"/>
      <c r="B120" s="51"/>
      <c r="C120" s="51"/>
      <c r="D120" s="16"/>
      <c r="E120" s="16"/>
      <c r="F120" s="16"/>
      <c r="G120" s="12"/>
      <c r="H120" s="12"/>
      <c r="I120" s="12"/>
      <c r="J120" s="12"/>
      <c r="K120" s="16"/>
    </row>
    <row r="121" spans="1:11" ht="15.75" customHeight="1" x14ac:dyDescent="0.15">
      <c r="A121" s="16"/>
      <c r="B121" s="51"/>
      <c r="C121" s="51"/>
      <c r="D121" s="16"/>
      <c r="E121" s="16"/>
      <c r="F121" s="16"/>
      <c r="G121" s="12"/>
      <c r="H121" s="12"/>
      <c r="I121" s="12"/>
      <c r="J121" s="12"/>
      <c r="K121" s="16"/>
    </row>
    <row r="122" spans="1:11" ht="15.75" customHeight="1" x14ac:dyDescent="0.15">
      <c r="A122" s="16"/>
      <c r="B122" s="51"/>
      <c r="C122" s="51"/>
      <c r="D122" s="16"/>
      <c r="E122" s="16"/>
      <c r="F122" s="16"/>
      <c r="G122" s="12"/>
      <c r="H122" s="12"/>
      <c r="I122" s="12"/>
      <c r="J122" s="12"/>
      <c r="K122" s="16"/>
    </row>
    <row r="123" spans="1:11" ht="15.75" customHeight="1" x14ac:dyDescent="0.15">
      <c r="A123" s="16"/>
      <c r="B123" s="51"/>
      <c r="C123" s="51"/>
      <c r="D123" s="16"/>
      <c r="E123" s="16"/>
      <c r="F123" s="16"/>
      <c r="G123" s="12"/>
      <c r="H123" s="12"/>
      <c r="I123" s="12"/>
      <c r="J123" s="12"/>
      <c r="K123" s="16"/>
    </row>
    <row r="124" spans="1:11" ht="15.75" customHeight="1" x14ac:dyDescent="0.15">
      <c r="A124" s="16"/>
      <c r="B124" s="51"/>
      <c r="C124" s="51"/>
      <c r="D124" s="16"/>
      <c r="E124" s="16"/>
      <c r="F124" s="16"/>
      <c r="G124" s="12"/>
      <c r="H124" s="12"/>
      <c r="I124" s="12"/>
      <c r="J124" s="12"/>
      <c r="K124" s="16"/>
    </row>
    <row r="125" spans="1:11" ht="15.75" customHeight="1" x14ac:dyDescent="0.15">
      <c r="A125" s="16"/>
      <c r="B125" s="51"/>
      <c r="C125" s="51"/>
      <c r="D125" s="16"/>
      <c r="E125" s="16"/>
      <c r="F125" s="16"/>
      <c r="G125" s="12"/>
      <c r="H125" s="12"/>
      <c r="I125" s="12"/>
      <c r="J125" s="12"/>
      <c r="K125" s="16"/>
    </row>
    <row r="126" spans="1:11" ht="15.75" customHeight="1" x14ac:dyDescent="0.15">
      <c r="A126" s="16"/>
      <c r="B126" s="51"/>
      <c r="C126" s="51"/>
      <c r="D126" s="16"/>
      <c r="E126" s="16"/>
      <c r="F126" s="16"/>
      <c r="G126" s="12"/>
      <c r="H126" s="12"/>
      <c r="I126" s="12"/>
      <c r="J126" s="12"/>
      <c r="K126" s="16"/>
    </row>
    <row r="127" spans="1:11" ht="15.75" customHeight="1" x14ac:dyDescent="0.15">
      <c r="A127" s="16"/>
      <c r="B127" s="51"/>
      <c r="C127" s="51"/>
      <c r="D127" s="16"/>
      <c r="E127" s="16"/>
      <c r="F127" s="16"/>
      <c r="G127" s="12"/>
      <c r="H127" s="12"/>
      <c r="I127" s="12"/>
      <c r="J127" s="12"/>
      <c r="K127" s="16"/>
    </row>
    <row r="128" spans="1:11" ht="15.75" customHeight="1" x14ac:dyDescent="0.15">
      <c r="A128" s="16"/>
      <c r="B128" s="51"/>
      <c r="C128" s="51"/>
      <c r="D128" s="16"/>
      <c r="E128" s="16"/>
      <c r="F128" s="16"/>
      <c r="G128" s="12"/>
      <c r="H128" s="12"/>
      <c r="I128" s="12"/>
      <c r="J128" s="12"/>
      <c r="K128" s="16"/>
    </row>
    <row r="129" spans="1:11" ht="15.75" customHeight="1" x14ac:dyDescent="0.15">
      <c r="A129" s="16"/>
      <c r="B129" s="51"/>
      <c r="C129" s="51"/>
      <c r="D129" s="16"/>
      <c r="E129" s="16"/>
      <c r="F129" s="16"/>
      <c r="G129" s="12"/>
      <c r="H129" s="12"/>
      <c r="I129" s="12"/>
      <c r="J129" s="12"/>
      <c r="K129" s="16"/>
    </row>
    <row r="130" spans="1:11" ht="15.75" customHeight="1" x14ac:dyDescent="0.15">
      <c r="A130" s="16"/>
      <c r="B130" s="51"/>
      <c r="C130" s="51"/>
      <c r="D130" s="16"/>
      <c r="E130" s="16"/>
      <c r="F130" s="16"/>
      <c r="G130" s="12"/>
      <c r="H130" s="12"/>
      <c r="I130" s="12"/>
      <c r="J130" s="12"/>
      <c r="K130" s="16"/>
    </row>
    <row r="131" spans="1:11" ht="15.75" customHeight="1" x14ac:dyDescent="0.15">
      <c r="A131" s="16"/>
      <c r="B131" s="51"/>
      <c r="C131" s="51"/>
      <c r="D131" s="16"/>
      <c r="E131" s="16"/>
      <c r="F131" s="16"/>
      <c r="G131" s="12"/>
      <c r="H131" s="12"/>
      <c r="I131" s="12"/>
      <c r="J131" s="12"/>
      <c r="K131" s="16"/>
    </row>
    <row r="132" spans="1:11" ht="15.75" customHeight="1" x14ac:dyDescent="0.15">
      <c r="A132" s="16"/>
      <c r="B132" s="51"/>
      <c r="C132" s="51"/>
      <c r="D132" s="16"/>
      <c r="E132" s="16"/>
      <c r="F132" s="16"/>
      <c r="G132" s="12"/>
      <c r="H132" s="12"/>
      <c r="I132" s="12"/>
      <c r="J132" s="12"/>
      <c r="K132" s="16"/>
    </row>
    <row r="133" spans="1:11" ht="15.75" customHeight="1" x14ac:dyDescent="0.15">
      <c r="A133" s="16"/>
      <c r="B133" s="51"/>
      <c r="C133" s="51"/>
      <c r="D133" s="16"/>
      <c r="E133" s="16"/>
      <c r="F133" s="16"/>
      <c r="G133" s="12"/>
      <c r="H133" s="12"/>
      <c r="I133" s="12"/>
      <c r="J133" s="12"/>
      <c r="K133" s="16"/>
    </row>
    <row r="134" spans="1:11" ht="15.75" customHeight="1" x14ac:dyDescent="0.15">
      <c r="A134" s="16"/>
      <c r="B134" s="51"/>
      <c r="C134" s="51"/>
      <c r="D134" s="16"/>
      <c r="E134" s="16"/>
      <c r="F134" s="16"/>
      <c r="G134" s="12"/>
      <c r="H134" s="12"/>
      <c r="I134" s="12"/>
      <c r="J134" s="12"/>
      <c r="K134" s="16"/>
    </row>
    <row r="135" spans="1:11" ht="15.75" customHeight="1" x14ac:dyDescent="0.15">
      <c r="A135" s="16"/>
      <c r="B135" s="51"/>
      <c r="C135" s="51"/>
      <c r="D135" s="16"/>
      <c r="E135" s="16"/>
      <c r="F135" s="16"/>
      <c r="G135" s="12"/>
      <c r="H135" s="12"/>
      <c r="I135" s="12"/>
      <c r="J135" s="12"/>
      <c r="K135" s="16"/>
    </row>
    <row r="136" spans="1:11" ht="15.75" customHeight="1" x14ac:dyDescent="0.15">
      <c r="A136" s="16"/>
      <c r="B136" s="51"/>
      <c r="C136" s="51"/>
      <c r="D136" s="16"/>
      <c r="E136" s="16"/>
      <c r="F136" s="16"/>
      <c r="G136" s="12"/>
      <c r="H136" s="12"/>
      <c r="I136" s="12"/>
      <c r="J136" s="12"/>
      <c r="K136" s="16"/>
    </row>
    <row r="137" spans="1:11" ht="15.75" customHeight="1" x14ac:dyDescent="0.15">
      <c r="A137" s="16"/>
      <c r="B137" s="51"/>
      <c r="C137" s="51"/>
      <c r="D137" s="16"/>
      <c r="E137" s="16"/>
      <c r="F137" s="16"/>
      <c r="G137" s="12"/>
      <c r="H137" s="12"/>
      <c r="I137" s="12"/>
      <c r="J137" s="12"/>
      <c r="K137" s="16"/>
    </row>
    <row r="138" spans="1:11" ht="15.75" customHeight="1" x14ac:dyDescent="0.15">
      <c r="A138" s="16"/>
      <c r="B138" s="51"/>
      <c r="C138" s="51"/>
      <c r="D138" s="16"/>
      <c r="E138" s="16"/>
      <c r="F138" s="16"/>
      <c r="G138" s="12"/>
      <c r="H138" s="12"/>
      <c r="I138" s="12"/>
      <c r="J138" s="12"/>
      <c r="K138" s="16"/>
    </row>
    <row r="139" spans="1:11" ht="15.75" customHeight="1" x14ac:dyDescent="0.15">
      <c r="A139" s="16"/>
      <c r="B139" s="51"/>
      <c r="C139" s="51"/>
      <c r="D139" s="16"/>
      <c r="E139" s="16"/>
      <c r="F139" s="16"/>
      <c r="G139" s="12"/>
      <c r="H139" s="12"/>
      <c r="I139" s="12"/>
      <c r="J139" s="12"/>
      <c r="K139" s="16"/>
    </row>
    <row r="140" spans="1:11" ht="15.75" customHeight="1" x14ac:dyDescent="0.15">
      <c r="A140" s="16"/>
      <c r="B140" s="51"/>
      <c r="C140" s="51"/>
      <c r="D140" s="16"/>
      <c r="E140" s="16"/>
      <c r="F140" s="16"/>
      <c r="G140" s="12"/>
      <c r="H140" s="12"/>
      <c r="I140" s="12"/>
      <c r="J140" s="12"/>
      <c r="K140" s="16"/>
    </row>
    <row r="141" spans="1:11" ht="15.75" customHeight="1" x14ac:dyDescent="0.15">
      <c r="A141" s="16"/>
      <c r="B141" s="51"/>
      <c r="C141" s="51"/>
      <c r="D141" s="16"/>
      <c r="E141" s="16"/>
      <c r="F141" s="16"/>
      <c r="G141" s="12"/>
      <c r="H141" s="12"/>
      <c r="I141" s="12"/>
      <c r="J141" s="12"/>
      <c r="K141" s="16"/>
    </row>
    <row r="142" spans="1:11" ht="15.75" customHeight="1" x14ac:dyDescent="0.15">
      <c r="A142" s="16"/>
      <c r="B142" s="51"/>
      <c r="C142" s="51"/>
      <c r="D142" s="16"/>
      <c r="E142" s="16"/>
      <c r="F142" s="16"/>
      <c r="G142" s="12"/>
      <c r="H142" s="12"/>
      <c r="I142" s="12"/>
      <c r="J142" s="12"/>
      <c r="K142" s="16"/>
    </row>
    <row r="143" spans="1:11" ht="15.75" customHeight="1" x14ac:dyDescent="0.15">
      <c r="A143" s="16"/>
      <c r="B143" s="51"/>
      <c r="C143" s="51"/>
      <c r="D143" s="16"/>
      <c r="E143" s="16"/>
      <c r="F143" s="16"/>
      <c r="G143" s="12"/>
      <c r="H143" s="12"/>
      <c r="I143" s="12"/>
      <c r="J143" s="12"/>
      <c r="K143" s="16"/>
    </row>
    <row r="144" spans="1:11" ht="15.75" customHeight="1" x14ac:dyDescent="0.15">
      <c r="A144" s="16"/>
      <c r="B144" s="51"/>
      <c r="C144" s="51"/>
      <c r="D144" s="16"/>
      <c r="E144" s="16"/>
      <c r="F144" s="16"/>
      <c r="G144" s="12"/>
      <c r="H144" s="12"/>
      <c r="I144" s="12"/>
      <c r="J144" s="12"/>
      <c r="K144" s="16"/>
    </row>
    <row r="145" spans="1:11" ht="15.75" customHeight="1" x14ac:dyDescent="0.15">
      <c r="A145" s="16"/>
      <c r="B145" s="51"/>
      <c r="C145" s="51"/>
      <c r="D145" s="16"/>
      <c r="E145" s="16"/>
      <c r="F145" s="16"/>
      <c r="G145" s="12"/>
      <c r="H145" s="12"/>
      <c r="I145" s="12"/>
      <c r="J145" s="12"/>
      <c r="K145" s="16"/>
    </row>
    <row r="146" spans="1:11" ht="15.75" customHeight="1" x14ac:dyDescent="0.15">
      <c r="A146" s="16"/>
      <c r="B146" s="51"/>
      <c r="C146" s="51"/>
      <c r="D146" s="16"/>
      <c r="E146" s="16"/>
      <c r="F146" s="16"/>
      <c r="G146" s="12"/>
      <c r="H146" s="12"/>
      <c r="I146" s="12"/>
      <c r="J146" s="12"/>
      <c r="K146" s="16"/>
    </row>
    <row r="147" spans="1:11" ht="15.75" customHeight="1" x14ac:dyDescent="0.15">
      <c r="A147" s="16"/>
      <c r="B147" s="51"/>
      <c r="C147" s="51"/>
      <c r="D147" s="16"/>
      <c r="E147" s="16"/>
      <c r="F147" s="16"/>
      <c r="G147" s="12"/>
      <c r="H147" s="12"/>
      <c r="I147" s="12"/>
      <c r="J147" s="12"/>
      <c r="K147" s="16"/>
    </row>
    <row r="148" spans="1:11" ht="15.75" customHeight="1" x14ac:dyDescent="0.15">
      <c r="A148" s="16"/>
      <c r="B148" s="51"/>
      <c r="C148" s="51"/>
      <c r="D148" s="16"/>
      <c r="E148" s="16"/>
      <c r="F148" s="16"/>
      <c r="G148" s="12"/>
      <c r="H148" s="12"/>
      <c r="I148" s="12"/>
      <c r="J148" s="12"/>
      <c r="K148" s="16"/>
    </row>
    <row r="149" spans="1:11" ht="15.75" customHeight="1" x14ac:dyDescent="0.15">
      <c r="A149" s="16"/>
      <c r="B149" s="51"/>
      <c r="C149" s="51"/>
      <c r="D149" s="16"/>
      <c r="E149" s="16"/>
      <c r="F149" s="16"/>
      <c r="G149" s="12"/>
      <c r="H149" s="12"/>
      <c r="I149" s="12"/>
      <c r="J149" s="12"/>
      <c r="K149" s="16"/>
    </row>
    <row r="150" spans="1:11" ht="15.75" customHeight="1" x14ac:dyDescent="0.15">
      <c r="A150" s="16"/>
      <c r="B150" s="51"/>
      <c r="C150" s="51"/>
      <c r="D150" s="16"/>
      <c r="E150" s="16"/>
      <c r="F150" s="16"/>
      <c r="G150" s="12"/>
      <c r="H150" s="12"/>
      <c r="I150" s="12"/>
      <c r="J150" s="12"/>
      <c r="K150" s="16"/>
    </row>
    <row r="151" spans="1:11" ht="15.75" customHeight="1" x14ac:dyDescent="0.15">
      <c r="A151" s="16"/>
      <c r="B151" s="51"/>
      <c r="C151" s="51"/>
      <c r="D151" s="16"/>
      <c r="E151" s="16"/>
      <c r="F151" s="16"/>
      <c r="G151" s="12"/>
      <c r="H151" s="12"/>
      <c r="I151" s="12"/>
      <c r="J151" s="12"/>
      <c r="K151" s="16"/>
    </row>
    <row r="152" spans="1:11" ht="15.75" customHeight="1" x14ac:dyDescent="0.15">
      <c r="A152" s="16"/>
      <c r="B152" s="51"/>
      <c r="C152" s="51"/>
      <c r="D152" s="16"/>
      <c r="E152" s="16"/>
      <c r="F152" s="16"/>
      <c r="G152" s="12"/>
      <c r="H152" s="12"/>
      <c r="I152" s="12"/>
      <c r="J152" s="12"/>
      <c r="K152" s="16"/>
    </row>
    <row r="153" spans="1:11" ht="15.75" customHeight="1" x14ac:dyDescent="0.15">
      <c r="A153" s="16"/>
      <c r="B153" s="51"/>
      <c r="C153" s="51"/>
      <c r="D153" s="16"/>
      <c r="E153" s="16"/>
      <c r="F153" s="16"/>
      <c r="G153" s="12"/>
      <c r="H153" s="12"/>
      <c r="I153" s="12"/>
      <c r="J153" s="12"/>
      <c r="K153" s="16"/>
    </row>
    <row r="154" spans="1:11" ht="15.75" customHeight="1" x14ac:dyDescent="0.15">
      <c r="A154" s="16"/>
      <c r="B154" s="51"/>
      <c r="C154" s="51"/>
      <c r="D154" s="16"/>
      <c r="E154" s="16"/>
      <c r="F154" s="16"/>
      <c r="G154" s="12"/>
      <c r="H154" s="12"/>
      <c r="I154" s="12"/>
      <c r="J154" s="12"/>
      <c r="K154" s="16"/>
    </row>
    <row r="155" spans="1:11" ht="15.75" customHeight="1" x14ac:dyDescent="0.15">
      <c r="A155" s="16"/>
      <c r="B155" s="51"/>
      <c r="C155" s="51"/>
      <c r="D155" s="16"/>
      <c r="E155" s="16"/>
      <c r="F155" s="16"/>
      <c r="G155" s="12"/>
      <c r="H155" s="12"/>
      <c r="I155" s="12"/>
      <c r="J155" s="12"/>
      <c r="K155" s="16"/>
    </row>
    <row r="156" spans="1:11" ht="15.75" customHeight="1" x14ac:dyDescent="0.15">
      <c r="A156" s="16"/>
      <c r="B156" s="51"/>
      <c r="C156" s="51"/>
      <c r="D156" s="16"/>
      <c r="E156" s="16"/>
      <c r="F156" s="16"/>
      <c r="G156" s="12"/>
      <c r="H156" s="12"/>
      <c r="I156" s="12"/>
      <c r="J156" s="12"/>
      <c r="K156" s="16"/>
    </row>
    <row r="157" spans="1:11" ht="15.75" customHeight="1" x14ac:dyDescent="0.15">
      <c r="A157" s="16"/>
      <c r="B157" s="51"/>
      <c r="C157" s="51"/>
      <c r="D157" s="16"/>
      <c r="E157" s="16"/>
      <c r="F157" s="16"/>
      <c r="G157" s="12"/>
      <c r="H157" s="12"/>
      <c r="I157" s="12"/>
      <c r="J157" s="12"/>
      <c r="K157" s="16"/>
    </row>
    <row r="158" spans="1:11" ht="15.75" customHeight="1" x14ac:dyDescent="0.15">
      <c r="A158" s="16"/>
      <c r="B158" s="51"/>
      <c r="C158" s="51"/>
      <c r="D158" s="16"/>
      <c r="E158" s="16"/>
      <c r="F158" s="16"/>
      <c r="G158" s="12"/>
      <c r="H158" s="12"/>
      <c r="I158" s="12"/>
      <c r="J158" s="12"/>
      <c r="K158" s="16"/>
    </row>
    <row r="159" spans="1:11" ht="15.75" customHeight="1" x14ac:dyDescent="0.15">
      <c r="A159" s="16"/>
      <c r="B159" s="51"/>
      <c r="C159" s="51"/>
      <c r="D159" s="16"/>
      <c r="E159" s="16"/>
      <c r="F159" s="16"/>
      <c r="G159" s="12"/>
      <c r="H159" s="12"/>
      <c r="I159" s="12"/>
      <c r="J159" s="12"/>
      <c r="K159" s="16"/>
    </row>
    <row r="160" spans="1:11" ht="15.75" customHeight="1" x14ac:dyDescent="0.15">
      <c r="A160" s="16"/>
      <c r="B160" s="51"/>
      <c r="C160" s="51"/>
      <c r="D160" s="16"/>
      <c r="E160" s="16"/>
      <c r="F160" s="16"/>
      <c r="G160" s="12"/>
      <c r="H160" s="12"/>
      <c r="I160" s="12"/>
      <c r="J160" s="12"/>
      <c r="K160" s="16"/>
    </row>
    <row r="161" spans="1:11" ht="15.75" customHeight="1" x14ac:dyDescent="0.15">
      <c r="A161" s="16"/>
      <c r="B161" s="51"/>
      <c r="C161" s="51"/>
      <c r="D161" s="16"/>
      <c r="E161" s="16"/>
      <c r="F161" s="16"/>
      <c r="G161" s="12"/>
      <c r="H161" s="12"/>
      <c r="I161" s="12"/>
      <c r="J161" s="12"/>
      <c r="K161" s="16"/>
    </row>
    <row r="162" spans="1:11" ht="15.75" customHeight="1" x14ac:dyDescent="0.15">
      <c r="A162" s="16"/>
      <c r="B162" s="51"/>
      <c r="C162" s="51"/>
      <c r="D162" s="16"/>
      <c r="E162" s="16"/>
      <c r="F162" s="16"/>
      <c r="G162" s="12"/>
      <c r="H162" s="12"/>
      <c r="I162" s="12"/>
      <c r="J162" s="12"/>
      <c r="K162" s="16"/>
    </row>
    <row r="163" spans="1:11" ht="15.75" customHeight="1" x14ac:dyDescent="0.15">
      <c r="A163" s="16"/>
      <c r="B163" s="51"/>
      <c r="C163" s="51"/>
      <c r="D163" s="16"/>
      <c r="E163" s="16"/>
      <c r="F163" s="16"/>
      <c r="G163" s="12"/>
      <c r="H163" s="12"/>
      <c r="I163" s="12"/>
      <c r="J163" s="12"/>
      <c r="K163" s="16"/>
    </row>
    <row r="164" spans="1:11" ht="15.75" customHeight="1" x14ac:dyDescent="0.15">
      <c r="A164" s="16"/>
      <c r="B164" s="51"/>
      <c r="C164" s="51"/>
      <c r="D164" s="16"/>
      <c r="E164" s="16"/>
      <c r="F164" s="16"/>
      <c r="G164" s="12"/>
      <c r="H164" s="12"/>
      <c r="I164" s="12"/>
      <c r="J164" s="12"/>
      <c r="K164" s="16"/>
    </row>
    <row r="165" spans="1:11" ht="15.75" customHeight="1" x14ac:dyDescent="0.15">
      <c r="A165" s="16"/>
      <c r="B165" s="51"/>
      <c r="C165" s="51"/>
      <c r="D165" s="16"/>
      <c r="E165" s="16"/>
      <c r="F165" s="16"/>
      <c r="G165" s="12"/>
      <c r="H165" s="12"/>
      <c r="I165" s="12"/>
      <c r="J165" s="12"/>
      <c r="K165" s="16"/>
    </row>
    <row r="166" spans="1:11" ht="15.75" customHeight="1" x14ac:dyDescent="0.15">
      <c r="A166" s="16"/>
      <c r="B166" s="51"/>
      <c r="C166" s="51"/>
      <c r="D166" s="16"/>
      <c r="E166" s="16"/>
      <c r="F166" s="16"/>
      <c r="G166" s="12"/>
      <c r="H166" s="12"/>
      <c r="I166" s="12"/>
      <c r="J166" s="12"/>
      <c r="K166" s="16"/>
    </row>
    <row r="167" spans="1:11" ht="15.75" customHeight="1" x14ac:dyDescent="0.15">
      <c r="A167" s="16"/>
      <c r="B167" s="51"/>
      <c r="C167" s="51"/>
      <c r="D167" s="16"/>
      <c r="E167" s="16"/>
      <c r="F167" s="16"/>
      <c r="G167" s="12"/>
      <c r="H167" s="12"/>
      <c r="I167" s="12"/>
      <c r="J167" s="12"/>
      <c r="K167" s="16"/>
    </row>
    <row r="168" spans="1:11" ht="15.75" customHeight="1" x14ac:dyDescent="0.15">
      <c r="A168" s="16"/>
      <c r="B168" s="51"/>
      <c r="C168" s="51"/>
      <c r="D168" s="16"/>
      <c r="E168" s="16"/>
      <c r="F168" s="16"/>
      <c r="G168" s="12"/>
      <c r="H168" s="12"/>
      <c r="I168" s="12"/>
      <c r="J168" s="12"/>
      <c r="K168" s="16"/>
    </row>
    <row r="169" spans="1:11" ht="15.75" customHeight="1" x14ac:dyDescent="0.15">
      <c r="A169" s="16"/>
      <c r="B169" s="51"/>
      <c r="C169" s="51"/>
      <c r="D169" s="16"/>
      <c r="E169" s="16"/>
      <c r="F169" s="16"/>
      <c r="G169" s="12"/>
      <c r="H169" s="12"/>
      <c r="I169" s="12"/>
      <c r="J169" s="12"/>
      <c r="K169" s="16"/>
    </row>
    <row r="170" spans="1:11" ht="15.75" customHeight="1" x14ac:dyDescent="0.15">
      <c r="A170" s="16"/>
      <c r="B170" s="51"/>
      <c r="C170" s="51"/>
      <c r="D170" s="16"/>
      <c r="E170" s="16"/>
      <c r="F170" s="16"/>
      <c r="G170" s="12"/>
      <c r="H170" s="12"/>
      <c r="I170" s="12"/>
      <c r="J170" s="12"/>
      <c r="K170" s="16"/>
    </row>
    <row r="171" spans="1:11" ht="15.75" customHeight="1" x14ac:dyDescent="0.15">
      <c r="A171" s="16"/>
      <c r="B171" s="51"/>
      <c r="C171" s="51"/>
      <c r="D171" s="16"/>
      <c r="E171" s="16"/>
      <c r="F171" s="16"/>
      <c r="G171" s="12"/>
      <c r="H171" s="12"/>
      <c r="I171" s="12"/>
      <c r="J171" s="12"/>
      <c r="K171" s="16"/>
    </row>
    <row r="172" spans="1:11" ht="15.75" customHeight="1" x14ac:dyDescent="0.15">
      <c r="A172" s="16"/>
      <c r="B172" s="51"/>
      <c r="C172" s="51"/>
      <c r="D172" s="16"/>
      <c r="E172" s="16"/>
      <c r="F172" s="16"/>
      <c r="G172" s="12"/>
      <c r="H172" s="12"/>
      <c r="I172" s="12"/>
      <c r="J172" s="12"/>
      <c r="K172" s="16"/>
    </row>
    <row r="173" spans="1:11" ht="15.75" customHeight="1" x14ac:dyDescent="0.15">
      <c r="A173" s="16"/>
      <c r="B173" s="51"/>
      <c r="C173" s="51"/>
      <c r="D173" s="16"/>
      <c r="E173" s="16"/>
      <c r="F173" s="16"/>
      <c r="G173" s="12"/>
      <c r="H173" s="12"/>
      <c r="I173" s="12"/>
      <c r="J173" s="12"/>
      <c r="K173" s="16"/>
    </row>
    <row r="174" spans="1:11" ht="15.75" customHeight="1" x14ac:dyDescent="0.15">
      <c r="A174" s="16"/>
      <c r="B174" s="51"/>
      <c r="C174" s="51"/>
      <c r="D174" s="16"/>
      <c r="E174" s="16"/>
      <c r="F174" s="16"/>
      <c r="G174" s="12"/>
      <c r="H174" s="12"/>
      <c r="I174" s="12"/>
      <c r="J174" s="12"/>
      <c r="K174" s="16"/>
    </row>
    <row r="175" spans="1:11" ht="15.75" customHeight="1" x14ac:dyDescent="0.15">
      <c r="A175" s="16"/>
      <c r="B175" s="51"/>
      <c r="C175" s="51"/>
      <c r="D175" s="16"/>
      <c r="E175" s="16"/>
      <c r="F175" s="16"/>
      <c r="G175" s="12"/>
      <c r="H175" s="12"/>
      <c r="I175" s="12"/>
      <c r="J175" s="12"/>
      <c r="K175" s="16"/>
    </row>
    <row r="176" spans="1:11" ht="15.75" customHeight="1" x14ac:dyDescent="0.15">
      <c r="A176" s="16"/>
      <c r="B176" s="51"/>
      <c r="C176" s="51"/>
      <c r="D176" s="16"/>
      <c r="E176" s="16"/>
      <c r="F176" s="16"/>
      <c r="G176" s="12"/>
      <c r="H176" s="12"/>
      <c r="I176" s="12"/>
      <c r="J176" s="12"/>
      <c r="K176" s="16"/>
    </row>
    <row r="177" spans="1:11" ht="15.75" customHeight="1" x14ac:dyDescent="0.15">
      <c r="A177" s="16"/>
      <c r="B177" s="51"/>
      <c r="C177" s="51"/>
      <c r="D177" s="16"/>
      <c r="E177" s="16"/>
      <c r="F177" s="16"/>
      <c r="G177" s="12"/>
      <c r="H177" s="12"/>
      <c r="I177" s="12"/>
      <c r="J177" s="12"/>
      <c r="K177" s="16"/>
    </row>
    <row r="178" spans="1:11" ht="15.75" customHeight="1" x14ac:dyDescent="0.15">
      <c r="A178" s="16"/>
      <c r="B178" s="51"/>
      <c r="C178" s="51"/>
      <c r="D178" s="16"/>
      <c r="E178" s="16"/>
      <c r="F178" s="16"/>
      <c r="G178" s="12"/>
      <c r="H178" s="12"/>
      <c r="I178" s="12"/>
      <c r="J178" s="12"/>
      <c r="K178" s="16"/>
    </row>
    <row r="179" spans="1:11" ht="15.75" customHeight="1" x14ac:dyDescent="0.15">
      <c r="A179" s="16"/>
      <c r="B179" s="51"/>
      <c r="C179" s="51"/>
      <c r="D179" s="16"/>
      <c r="E179" s="16"/>
      <c r="F179" s="16"/>
      <c r="G179" s="12"/>
      <c r="H179" s="12"/>
      <c r="I179" s="12"/>
      <c r="J179" s="12"/>
      <c r="K179" s="16"/>
    </row>
    <row r="180" spans="1:11" ht="15.75" customHeight="1" x14ac:dyDescent="0.15">
      <c r="A180" s="16"/>
      <c r="B180" s="51"/>
      <c r="C180" s="51"/>
      <c r="D180" s="16"/>
      <c r="E180" s="16"/>
      <c r="F180" s="16"/>
      <c r="G180" s="12"/>
      <c r="H180" s="12"/>
      <c r="I180" s="12"/>
      <c r="J180" s="12"/>
      <c r="K180" s="16"/>
    </row>
    <row r="181" spans="1:11" ht="15.75" customHeight="1" x14ac:dyDescent="0.15">
      <c r="A181" s="16"/>
      <c r="B181" s="51"/>
      <c r="C181" s="51"/>
      <c r="D181" s="16"/>
      <c r="E181" s="16"/>
      <c r="F181" s="16"/>
      <c r="G181" s="12"/>
      <c r="H181" s="12"/>
      <c r="I181" s="12"/>
      <c r="J181" s="12"/>
      <c r="K181" s="16"/>
    </row>
    <row r="182" spans="1:11" ht="15.75" customHeight="1" x14ac:dyDescent="0.15">
      <c r="A182" s="16"/>
      <c r="B182" s="51"/>
      <c r="C182" s="51"/>
      <c r="D182" s="16"/>
      <c r="E182" s="16"/>
      <c r="F182" s="16"/>
      <c r="G182" s="12"/>
      <c r="H182" s="12"/>
      <c r="I182" s="12"/>
      <c r="J182" s="12"/>
      <c r="K182" s="16"/>
    </row>
    <row r="183" spans="1:11" ht="15.75" customHeight="1" x14ac:dyDescent="0.15">
      <c r="A183" s="16"/>
      <c r="B183" s="51"/>
      <c r="C183" s="51"/>
      <c r="D183" s="16"/>
      <c r="E183" s="16"/>
      <c r="F183" s="16"/>
      <c r="G183" s="12"/>
      <c r="H183" s="12"/>
      <c r="I183" s="12"/>
      <c r="J183" s="12"/>
      <c r="K183" s="16"/>
    </row>
    <row r="184" spans="1:11" ht="15.75" customHeight="1" x14ac:dyDescent="0.15">
      <c r="A184" s="16"/>
      <c r="B184" s="51"/>
      <c r="C184" s="51"/>
      <c r="D184" s="16"/>
      <c r="E184" s="16"/>
      <c r="F184" s="16"/>
      <c r="G184" s="12"/>
      <c r="H184" s="12"/>
      <c r="I184" s="12"/>
      <c r="J184" s="12"/>
      <c r="K184" s="16"/>
    </row>
    <row r="185" spans="1:11" ht="15.75" customHeight="1" x14ac:dyDescent="0.15">
      <c r="A185" s="16"/>
      <c r="B185" s="51"/>
      <c r="C185" s="51"/>
      <c r="D185" s="16"/>
      <c r="E185" s="16"/>
      <c r="F185" s="16"/>
      <c r="G185" s="12"/>
      <c r="H185" s="12"/>
      <c r="I185" s="12"/>
      <c r="J185" s="12"/>
      <c r="K185" s="16"/>
    </row>
    <row r="186" spans="1:11" ht="15.75" customHeight="1" x14ac:dyDescent="0.15">
      <c r="A186" s="16"/>
      <c r="B186" s="51"/>
      <c r="C186" s="51"/>
      <c r="D186" s="16"/>
      <c r="E186" s="16"/>
      <c r="F186" s="16"/>
      <c r="G186" s="12"/>
      <c r="H186" s="12"/>
      <c r="I186" s="12"/>
      <c r="J186" s="12"/>
      <c r="K186" s="16"/>
    </row>
    <row r="187" spans="1:11" ht="15.75" customHeight="1" x14ac:dyDescent="0.15">
      <c r="A187" s="16"/>
      <c r="B187" s="51"/>
      <c r="C187" s="51"/>
      <c r="D187" s="16"/>
      <c r="E187" s="16"/>
      <c r="F187" s="16"/>
      <c r="G187" s="12"/>
      <c r="H187" s="12"/>
      <c r="I187" s="12"/>
      <c r="J187" s="12"/>
      <c r="K187" s="16"/>
    </row>
    <row r="188" spans="1:11" ht="15.75" customHeight="1" x14ac:dyDescent="0.15">
      <c r="A188" s="16"/>
      <c r="B188" s="51"/>
      <c r="C188" s="51"/>
      <c r="D188" s="16"/>
      <c r="E188" s="16"/>
      <c r="F188" s="16"/>
      <c r="G188" s="12"/>
      <c r="H188" s="12"/>
      <c r="I188" s="12"/>
      <c r="J188" s="12"/>
      <c r="K188" s="16"/>
    </row>
    <row r="189" spans="1:11" ht="15.75" customHeight="1" x14ac:dyDescent="0.15">
      <c r="A189" s="16"/>
      <c r="B189" s="51"/>
      <c r="C189" s="51"/>
      <c r="D189" s="16"/>
      <c r="E189" s="16"/>
      <c r="F189" s="16"/>
      <c r="G189" s="12"/>
      <c r="H189" s="12"/>
      <c r="I189" s="12"/>
      <c r="J189" s="12"/>
      <c r="K189" s="16"/>
    </row>
    <row r="190" spans="1:11" ht="15.75" customHeight="1" x14ac:dyDescent="0.15">
      <c r="A190" s="16"/>
      <c r="B190" s="51"/>
      <c r="C190" s="51"/>
      <c r="D190" s="16"/>
      <c r="E190" s="16"/>
      <c r="F190" s="16"/>
      <c r="G190" s="12"/>
      <c r="H190" s="12"/>
      <c r="I190" s="12"/>
      <c r="J190" s="12"/>
      <c r="K190" s="16"/>
    </row>
    <row r="191" spans="1:11" ht="15.75" customHeight="1" x14ac:dyDescent="0.15">
      <c r="A191" s="16"/>
      <c r="B191" s="51"/>
      <c r="C191" s="51"/>
      <c r="D191" s="16"/>
      <c r="E191" s="16"/>
      <c r="F191" s="16"/>
      <c r="G191" s="12"/>
      <c r="H191" s="12"/>
      <c r="I191" s="12"/>
      <c r="J191" s="12"/>
      <c r="K191" s="16"/>
    </row>
    <row r="192" spans="1:11" ht="15.75" customHeight="1" x14ac:dyDescent="0.15">
      <c r="A192" s="16"/>
      <c r="B192" s="51"/>
      <c r="C192" s="51"/>
      <c r="D192" s="16"/>
      <c r="E192" s="16"/>
      <c r="F192" s="16"/>
      <c r="G192" s="12"/>
      <c r="H192" s="12"/>
      <c r="I192" s="12"/>
      <c r="J192" s="12"/>
      <c r="K192" s="16"/>
    </row>
    <row r="193" spans="1:11" ht="15.75" customHeight="1" x14ac:dyDescent="0.15">
      <c r="A193" s="16"/>
      <c r="B193" s="51"/>
      <c r="C193" s="51"/>
      <c r="D193" s="16"/>
      <c r="E193" s="16"/>
      <c r="F193" s="16"/>
      <c r="G193" s="12"/>
      <c r="H193" s="12"/>
      <c r="I193" s="12"/>
      <c r="J193" s="12"/>
      <c r="K193" s="16"/>
    </row>
    <row r="194" spans="1:11" ht="15.75" customHeight="1" x14ac:dyDescent="0.15">
      <c r="A194" s="16"/>
      <c r="B194" s="51"/>
      <c r="C194" s="51"/>
      <c r="D194" s="16"/>
      <c r="E194" s="16"/>
      <c r="F194" s="16"/>
      <c r="G194" s="12"/>
      <c r="H194" s="12"/>
      <c r="I194" s="12"/>
      <c r="J194" s="12"/>
      <c r="K194" s="16"/>
    </row>
    <row r="195" spans="1:11" ht="15.75" customHeight="1" x14ac:dyDescent="0.15">
      <c r="A195" s="16"/>
      <c r="B195" s="51"/>
      <c r="C195" s="51"/>
      <c r="D195" s="16"/>
      <c r="E195" s="16"/>
      <c r="F195" s="16"/>
      <c r="G195" s="12"/>
      <c r="H195" s="12"/>
      <c r="I195" s="12"/>
      <c r="J195" s="12"/>
      <c r="K195" s="16"/>
    </row>
    <row r="196" spans="1:11" ht="15.75" customHeight="1" x14ac:dyDescent="0.15">
      <c r="A196" s="16"/>
      <c r="B196" s="51"/>
      <c r="C196" s="51"/>
      <c r="D196" s="16"/>
      <c r="E196" s="16"/>
      <c r="F196" s="16"/>
      <c r="G196" s="12"/>
      <c r="H196" s="12"/>
      <c r="I196" s="12"/>
      <c r="J196" s="12"/>
      <c r="K196" s="16"/>
    </row>
    <row r="197" spans="1:11" ht="15.75" customHeight="1" x14ac:dyDescent="0.15">
      <c r="A197" s="16"/>
      <c r="B197" s="51"/>
      <c r="C197" s="51"/>
      <c r="D197" s="16"/>
      <c r="E197" s="16"/>
      <c r="F197" s="16"/>
      <c r="G197" s="12"/>
      <c r="H197" s="12"/>
      <c r="I197" s="12"/>
      <c r="J197" s="12"/>
      <c r="K197" s="16"/>
    </row>
    <row r="198" spans="1:11" ht="15.75" customHeight="1" x14ac:dyDescent="0.15">
      <c r="A198" s="16"/>
      <c r="B198" s="51"/>
      <c r="C198" s="51"/>
      <c r="D198" s="16"/>
      <c r="E198" s="16"/>
      <c r="F198" s="16"/>
      <c r="G198" s="12"/>
      <c r="H198" s="12"/>
      <c r="I198" s="12"/>
      <c r="J198" s="12"/>
      <c r="K198" s="16"/>
    </row>
    <row r="199" spans="1:11" ht="15.75" customHeight="1" x14ac:dyDescent="0.15">
      <c r="A199" s="16"/>
      <c r="B199" s="51"/>
      <c r="C199" s="51"/>
      <c r="D199" s="16"/>
      <c r="E199" s="16"/>
      <c r="F199" s="16"/>
      <c r="G199" s="12"/>
      <c r="H199" s="12"/>
      <c r="I199" s="12"/>
      <c r="J199" s="12"/>
      <c r="K199" s="16"/>
    </row>
    <row r="200" spans="1:11" ht="15.75" customHeight="1" x14ac:dyDescent="0.15">
      <c r="A200" s="16"/>
      <c r="B200" s="51"/>
      <c r="C200" s="51"/>
      <c r="D200" s="16"/>
      <c r="E200" s="16"/>
      <c r="F200" s="16"/>
      <c r="G200" s="12"/>
      <c r="H200" s="12"/>
      <c r="I200" s="12"/>
      <c r="J200" s="12"/>
      <c r="K200" s="16"/>
    </row>
    <row r="201" spans="1:11" ht="15.75" customHeight="1" x14ac:dyDescent="0.15">
      <c r="A201" s="16"/>
      <c r="B201" s="51"/>
      <c r="C201" s="51"/>
      <c r="D201" s="16"/>
      <c r="E201" s="16"/>
      <c r="F201" s="16"/>
      <c r="G201" s="12"/>
      <c r="H201" s="12"/>
      <c r="I201" s="12"/>
      <c r="J201" s="12"/>
      <c r="K201" s="16"/>
    </row>
    <row r="202" spans="1:11" ht="15.75" customHeight="1" x14ac:dyDescent="0.15">
      <c r="A202" s="16"/>
      <c r="B202" s="51"/>
      <c r="C202" s="51"/>
      <c r="D202" s="16"/>
      <c r="E202" s="16"/>
      <c r="F202" s="16"/>
      <c r="G202" s="12"/>
      <c r="H202" s="12"/>
      <c r="I202" s="12"/>
      <c r="J202" s="12"/>
      <c r="K202" s="16"/>
    </row>
    <row r="203" spans="1:11" ht="15.75" customHeight="1" x14ac:dyDescent="0.15">
      <c r="A203" s="16"/>
      <c r="B203" s="51"/>
      <c r="C203" s="51"/>
      <c r="D203" s="16"/>
      <c r="E203" s="16"/>
      <c r="F203" s="16"/>
      <c r="G203" s="12"/>
      <c r="H203" s="12"/>
      <c r="I203" s="12"/>
      <c r="J203" s="12"/>
      <c r="K203" s="16"/>
    </row>
    <row r="204" spans="1:11" ht="15.75" customHeight="1" x14ac:dyDescent="0.15">
      <c r="A204" s="16"/>
      <c r="B204" s="51"/>
      <c r="C204" s="51"/>
      <c r="D204" s="16"/>
      <c r="E204" s="16"/>
      <c r="F204" s="16"/>
      <c r="G204" s="12"/>
      <c r="H204" s="12"/>
      <c r="I204" s="12"/>
      <c r="J204" s="12"/>
      <c r="K204" s="16"/>
    </row>
    <row r="205" spans="1:11" ht="15.75" customHeight="1" x14ac:dyDescent="0.15">
      <c r="A205" s="16"/>
      <c r="B205" s="51"/>
      <c r="C205" s="51"/>
      <c r="D205" s="16"/>
      <c r="E205" s="16"/>
      <c r="F205" s="16"/>
      <c r="G205" s="12"/>
      <c r="H205" s="12"/>
      <c r="I205" s="12"/>
      <c r="J205" s="12"/>
      <c r="K205" s="16"/>
    </row>
    <row r="206" spans="1:11" ht="15.75" customHeight="1" x14ac:dyDescent="0.15">
      <c r="A206" s="16"/>
      <c r="B206" s="51"/>
      <c r="C206" s="51"/>
      <c r="D206" s="16"/>
      <c r="E206" s="16"/>
      <c r="F206" s="16"/>
      <c r="G206" s="12"/>
      <c r="H206" s="12"/>
      <c r="I206" s="12"/>
      <c r="J206" s="12"/>
      <c r="K206" s="16"/>
    </row>
    <row r="207" spans="1:11" ht="15.75" customHeight="1" x14ac:dyDescent="0.15">
      <c r="A207" s="16"/>
      <c r="B207" s="51"/>
      <c r="C207" s="51"/>
      <c r="D207" s="16"/>
      <c r="E207" s="16"/>
      <c r="F207" s="16"/>
      <c r="G207" s="12"/>
      <c r="H207" s="12"/>
      <c r="I207" s="12"/>
      <c r="J207" s="12"/>
      <c r="K207" s="16"/>
    </row>
    <row r="208" spans="1:11" ht="15.75" customHeight="1" x14ac:dyDescent="0.15">
      <c r="A208" s="16"/>
      <c r="B208" s="51"/>
      <c r="C208" s="51"/>
      <c r="D208" s="16"/>
      <c r="E208" s="16"/>
      <c r="F208" s="16"/>
      <c r="G208" s="12"/>
      <c r="H208" s="12"/>
      <c r="I208" s="12"/>
      <c r="J208" s="12"/>
      <c r="K208" s="16"/>
    </row>
    <row r="209" spans="1:11" ht="15.75" customHeight="1" x14ac:dyDescent="0.15">
      <c r="A209" s="16"/>
      <c r="B209" s="51"/>
      <c r="C209" s="51"/>
      <c r="D209" s="16"/>
      <c r="E209" s="16"/>
      <c r="F209" s="16"/>
      <c r="G209" s="12"/>
      <c r="H209" s="12"/>
      <c r="I209" s="12"/>
      <c r="J209" s="12"/>
      <c r="K209" s="16"/>
    </row>
    <row r="210" spans="1:11" ht="15.75" customHeight="1" x14ac:dyDescent="0.15">
      <c r="A210" s="16"/>
      <c r="B210" s="51"/>
      <c r="C210" s="51"/>
      <c r="D210" s="16"/>
      <c r="E210" s="16"/>
      <c r="F210" s="16"/>
      <c r="G210" s="12"/>
      <c r="H210" s="12"/>
      <c r="I210" s="12"/>
      <c r="J210" s="12"/>
      <c r="K210" s="16"/>
    </row>
    <row r="211" spans="1:11" ht="15.75" customHeight="1" x14ac:dyDescent="0.15">
      <c r="A211" s="16"/>
      <c r="B211" s="51"/>
      <c r="C211" s="51"/>
      <c r="D211" s="16"/>
      <c r="E211" s="16"/>
      <c r="F211" s="16"/>
      <c r="G211" s="12"/>
      <c r="H211" s="12"/>
      <c r="I211" s="12"/>
      <c r="J211" s="12"/>
      <c r="K211" s="16"/>
    </row>
    <row r="212" spans="1:11" ht="15.75" customHeight="1" x14ac:dyDescent="0.15">
      <c r="A212" s="16"/>
      <c r="B212" s="51"/>
      <c r="C212" s="51"/>
      <c r="D212" s="16"/>
      <c r="E212" s="16"/>
      <c r="F212" s="16"/>
      <c r="G212" s="12"/>
      <c r="H212" s="12"/>
      <c r="I212" s="12"/>
      <c r="J212" s="12"/>
      <c r="K212" s="16"/>
    </row>
    <row r="213" spans="1:11" ht="15.75" customHeight="1" x14ac:dyDescent="0.15">
      <c r="A213" s="16"/>
      <c r="B213" s="51"/>
      <c r="C213" s="51"/>
      <c r="D213" s="16"/>
      <c r="E213" s="16"/>
      <c r="F213" s="16"/>
      <c r="G213" s="12"/>
      <c r="H213" s="12"/>
      <c r="I213" s="12"/>
      <c r="J213" s="12"/>
      <c r="K213" s="16"/>
    </row>
    <row r="214" spans="1:11" ht="15.75" customHeight="1" x14ac:dyDescent="0.15">
      <c r="A214" s="16"/>
      <c r="B214" s="51"/>
      <c r="C214" s="51"/>
      <c r="D214" s="16"/>
      <c r="E214" s="16"/>
      <c r="F214" s="16"/>
      <c r="G214" s="12"/>
      <c r="H214" s="12"/>
      <c r="I214" s="12"/>
      <c r="J214" s="12"/>
      <c r="K214" s="16"/>
    </row>
    <row r="215" spans="1:11" ht="15.75" customHeight="1" x14ac:dyDescent="0.15">
      <c r="A215" s="16"/>
      <c r="B215" s="51"/>
      <c r="C215" s="51"/>
      <c r="D215" s="16"/>
      <c r="E215" s="16"/>
      <c r="F215" s="16"/>
      <c r="G215" s="12"/>
      <c r="H215" s="12"/>
      <c r="I215" s="12"/>
      <c r="J215" s="12"/>
      <c r="K215" s="16"/>
    </row>
    <row r="216" spans="1:11" ht="15.75" customHeight="1" x14ac:dyDescent="0.15">
      <c r="A216" s="16"/>
      <c r="B216" s="51"/>
      <c r="C216" s="51"/>
      <c r="D216" s="16"/>
      <c r="E216" s="16"/>
      <c r="F216" s="16"/>
      <c r="G216" s="12"/>
      <c r="H216" s="12"/>
      <c r="I216" s="12"/>
      <c r="J216" s="12"/>
      <c r="K216" s="16"/>
    </row>
    <row r="217" spans="1:11" ht="15.75" customHeight="1" x14ac:dyDescent="0.15">
      <c r="A217" s="16"/>
      <c r="B217" s="51"/>
      <c r="C217" s="51"/>
      <c r="D217" s="16"/>
      <c r="E217" s="16"/>
      <c r="F217" s="16"/>
      <c r="G217" s="12"/>
      <c r="H217" s="12"/>
      <c r="I217" s="12"/>
      <c r="J217" s="12"/>
      <c r="K217" s="16"/>
    </row>
    <row r="218" spans="1:11" ht="15.75" customHeight="1" x14ac:dyDescent="0.15">
      <c r="A218" s="16"/>
      <c r="B218" s="51"/>
      <c r="C218" s="51"/>
      <c r="D218" s="16"/>
      <c r="E218" s="16"/>
      <c r="F218" s="16"/>
      <c r="G218" s="12"/>
      <c r="H218" s="12"/>
      <c r="I218" s="12"/>
      <c r="J218" s="12"/>
      <c r="K218" s="16"/>
    </row>
    <row r="219" spans="1:11" ht="15.75" customHeight="1" x14ac:dyDescent="0.15">
      <c r="A219" s="16"/>
      <c r="B219" s="51"/>
      <c r="C219" s="51"/>
      <c r="D219" s="16"/>
      <c r="E219" s="16"/>
      <c r="F219" s="16"/>
      <c r="G219" s="12"/>
      <c r="H219" s="12"/>
      <c r="I219" s="12"/>
      <c r="J219" s="12"/>
      <c r="K219" s="16"/>
    </row>
    <row r="220" spans="1:11" ht="15.75" customHeight="1" x14ac:dyDescent="0.15">
      <c r="A220" s="16"/>
      <c r="B220" s="51"/>
      <c r="C220" s="51"/>
      <c r="D220" s="16"/>
      <c r="E220" s="16"/>
      <c r="F220" s="16"/>
      <c r="G220" s="12"/>
      <c r="H220" s="12"/>
      <c r="I220" s="12"/>
      <c r="J220" s="12"/>
      <c r="K220" s="16"/>
    </row>
    <row r="221" spans="1:11" ht="15.75" customHeight="1" x14ac:dyDescent="0.15">
      <c r="A221" s="16"/>
      <c r="B221" s="51"/>
      <c r="C221" s="51"/>
      <c r="D221" s="16"/>
      <c r="E221" s="16"/>
      <c r="F221" s="16"/>
      <c r="G221" s="12"/>
      <c r="H221" s="12"/>
      <c r="I221" s="12"/>
      <c r="J221" s="12"/>
      <c r="K221" s="16"/>
    </row>
    <row r="222" spans="1:11" ht="15.75" customHeight="1" x14ac:dyDescent="0.15">
      <c r="A222" s="16"/>
      <c r="B222" s="51"/>
      <c r="C222" s="51"/>
      <c r="D222" s="16"/>
      <c r="E222" s="16"/>
      <c r="F222" s="16"/>
      <c r="G222" s="12"/>
      <c r="H222" s="12"/>
      <c r="I222" s="12"/>
      <c r="J222" s="12"/>
      <c r="K222" s="16"/>
    </row>
    <row r="223" spans="1:11" ht="15.75" customHeight="1" x14ac:dyDescent="0.15">
      <c r="A223" s="16"/>
      <c r="B223" s="51"/>
      <c r="C223" s="51"/>
      <c r="D223" s="16"/>
      <c r="E223" s="16"/>
      <c r="F223" s="16"/>
      <c r="G223" s="12"/>
      <c r="H223" s="12"/>
      <c r="I223" s="12"/>
      <c r="J223" s="12"/>
      <c r="K223" s="16"/>
    </row>
    <row r="224" spans="1:11" ht="15.75" customHeight="1" x14ac:dyDescent="0.15">
      <c r="A224" s="16"/>
      <c r="B224" s="51"/>
      <c r="C224" s="51"/>
      <c r="D224" s="16"/>
      <c r="E224" s="16"/>
      <c r="F224" s="16"/>
      <c r="G224" s="12"/>
      <c r="H224" s="12"/>
      <c r="I224" s="12"/>
      <c r="J224" s="12"/>
      <c r="K224" s="16"/>
    </row>
    <row r="225" spans="1:11" ht="15.75" customHeight="1" x14ac:dyDescent="0.15">
      <c r="A225" s="16"/>
      <c r="B225" s="51"/>
      <c r="C225" s="51"/>
      <c r="D225" s="16"/>
      <c r="E225" s="16"/>
      <c r="F225" s="16"/>
      <c r="G225" s="12"/>
      <c r="H225" s="12"/>
      <c r="I225" s="12"/>
      <c r="J225" s="12"/>
      <c r="K225" s="16"/>
    </row>
    <row r="226" spans="1:11" ht="15.75" customHeight="1" x14ac:dyDescent="0.15">
      <c r="A226" s="16"/>
      <c r="B226" s="51"/>
      <c r="C226" s="51"/>
      <c r="D226" s="16"/>
      <c r="E226" s="16"/>
      <c r="F226" s="16"/>
      <c r="G226" s="12"/>
      <c r="H226" s="12"/>
      <c r="I226" s="12"/>
      <c r="J226" s="12"/>
      <c r="K226" s="16"/>
    </row>
    <row r="227" spans="1:11" ht="15.75" customHeight="1" x14ac:dyDescent="0.15">
      <c r="A227" s="16"/>
      <c r="B227" s="51"/>
      <c r="C227" s="51"/>
      <c r="D227" s="16"/>
      <c r="E227" s="16"/>
      <c r="F227" s="16"/>
      <c r="G227" s="12"/>
      <c r="H227" s="12"/>
      <c r="I227" s="12"/>
      <c r="J227" s="12"/>
      <c r="K227" s="16"/>
    </row>
    <row r="228" spans="1:11" ht="15.75" customHeight="1" x14ac:dyDescent="0.15">
      <c r="A228" s="16"/>
      <c r="B228" s="51"/>
      <c r="C228" s="51"/>
      <c r="D228" s="16"/>
      <c r="E228" s="16"/>
      <c r="F228" s="16"/>
      <c r="G228" s="12"/>
      <c r="H228" s="12"/>
      <c r="I228" s="12"/>
      <c r="J228" s="12"/>
      <c r="K228" s="16"/>
    </row>
    <row r="229" spans="1:11" ht="15.75" customHeight="1" x14ac:dyDescent="0.15">
      <c r="A229" s="16"/>
      <c r="B229" s="51"/>
      <c r="C229" s="51"/>
      <c r="D229" s="16"/>
      <c r="E229" s="16"/>
      <c r="F229" s="16"/>
      <c r="G229" s="12"/>
      <c r="H229" s="12"/>
      <c r="I229" s="12"/>
      <c r="J229" s="12"/>
      <c r="K229" s="16"/>
    </row>
    <row r="230" spans="1:11" ht="15.75" customHeight="1" x14ac:dyDescent="0.15">
      <c r="A230" s="16"/>
      <c r="B230" s="51"/>
      <c r="C230" s="51"/>
      <c r="D230" s="16"/>
      <c r="E230" s="16"/>
      <c r="F230" s="16"/>
      <c r="G230" s="12"/>
      <c r="H230" s="12"/>
      <c r="I230" s="12"/>
      <c r="J230" s="12"/>
      <c r="K230" s="16"/>
    </row>
    <row r="231" spans="1:11" ht="15.75" customHeight="1" x14ac:dyDescent="0.15">
      <c r="A231" s="16"/>
      <c r="B231" s="51"/>
      <c r="C231" s="51"/>
      <c r="D231" s="16"/>
      <c r="E231" s="16"/>
      <c r="F231" s="16"/>
      <c r="G231" s="12"/>
      <c r="H231" s="12"/>
      <c r="I231" s="12"/>
      <c r="J231" s="12"/>
      <c r="K231" s="16"/>
    </row>
    <row r="232" spans="1:11" ht="15.75" customHeight="1" x14ac:dyDescent="0.15">
      <c r="A232" s="16"/>
      <c r="B232" s="51"/>
      <c r="C232" s="51"/>
      <c r="D232" s="16"/>
      <c r="E232" s="16"/>
      <c r="F232" s="16"/>
      <c r="G232" s="12"/>
      <c r="H232" s="12"/>
      <c r="I232" s="12"/>
      <c r="J232" s="12"/>
      <c r="K232" s="16"/>
    </row>
    <row r="233" spans="1:11" ht="15.75" customHeight="1" x14ac:dyDescent="0.15">
      <c r="A233" s="16"/>
      <c r="B233" s="51"/>
      <c r="C233" s="51"/>
      <c r="D233" s="16"/>
      <c r="E233" s="16"/>
      <c r="F233" s="16"/>
      <c r="G233" s="12"/>
      <c r="H233" s="12"/>
      <c r="I233" s="12"/>
      <c r="J233" s="12"/>
      <c r="K233" s="16"/>
    </row>
    <row r="234" spans="1:11" ht="15.75" customHeight="1" x14ac:dyDescent="0.15">
      <c r="A234" s="16"/>
      <c r="B234" s="51"/>
      <c r="C234" s="51"/>
      <c r="D234" s="16"/>
      <c r="E234" s="16"/>
      <c r="F234" s="16"/>
      <c r="G234" s="12"/>
      <c r="H234" s="12"/>
      <c r="I234" s="12"/>
      <c r="J234" s="12"/>
      <c r="K234" s="16"/>
    </row>
    <row r="235" spans="1:11" ht="15.75" customHeight="1" x14ac:dyDescent="0.15">
      <c r="A235" s="16"/>
      <c r="B235" s="51"/>
      <c r="C235" s="51"/>
      <c r="D235" s="16"/>
      <c r="E235" s="16"/>
      <c r="F235" s="16"/>
      <c r="G235" s="12"/>
      <c r="H235" s="12"/>
      <c r="I235" s="12"/>
      <c r="J235" s="12"/>
      <c r="K235" s="16"/>
    </row>
    <row r="236" spans="1:11" ht="15.75" customHeight="1" x14ac:dyDescent="0.15">
      <c r="A236" s="16"/>
      <c r="B236" s="51"/>
      <c r="C236" s="51"/>
      <c r="D236" s="16"/>
      <c r="E236" s="16"/>
      <c r="F236" s="16"/>
      <c r="G236" s="12"/>
      <c r="H236" s="12"/>
      <c r="I236" s="12"/>
      <c r="J236" s="12"/>
      <c r="K236" s="16"/>
    </row>
    <row r="237" spans="1:11" ht="15.75" customHeight="1" x14ac:dyDescent="0.15">
      <c r="A237" s="16"/>
      <c r="B237" s="51"/>
      <c r="C237" s="51"/>
      <c r="D237" s="16"/>
      <c r="E237" s="16"/>
      <c r="F237" s="16"/>
      <c r="G237" s="12"/>
      <c r="H237" s="12"/>
      <c r="I237" s="12"/>
      <c r="J237" s="12"/>
      <c r="K237" s="16"/>
    </row>
    <row r="238" spans="1:11" ht="15.75" customHeight="1" x14ac:dyDescent="0.15">
      <c r="A238" s="16"/>
      <c r="B238" s="51"/>
      <c r="C238" s="51"/>
      <c r="D238" s="16"/>
      <c r="E238" s="16"/>
      <c r="F238" s="16"/>
      <c r="G238" s="12"/>
      <c r="H238" s="12"/>
      <c r="I238" s="12"/>
      <c r="J238" s="12"/>
      <c r="K238" s="16"/>
    </row>
    <row r="239" spans="1:11" ht="15.75" customHeight="1" x14ac:dyDescent="0.15">
      <c r="A239" s="16"/>
      <c r="B239" s="51"/>
      <c r="C239" s="51"/>
      <c r="D239" s="16"/>
      <c r="E239" s="16"/>
      <c r="F239" s="16"/>
      <c r="G239" s="12"/>
      <c r="H239" s="12"/>
      <c r="I239" s="12"/>
      <c r="J239" s="12"/>
      <c r="K239" s="16"/>
    </row>
    <row r="240" spans="1:11" ht="15.75" customHeight="1" x14ac:dyDescent="0.15">
      <c r="A240" s="16"/>
      <c r="B240" s="51"/>
      <c r="C240" s="51"/>
      <c r="D240" s="16"/>
      <c r="E240" s="16"/>
      <c r="F240" s="16"/>
      <c r="G240" s="12"/>
      <c r="H240" s="12"/>
      <c r="I240" s="12"/>
      <c r="J240" s="12"/>
      <c r="K240" s="16"/>
    </row>
    <row r="241" spans="1:11" ht="15.75" customHeight="1" x14ac:dyDescent="0.15">
      <c r="A241" s="16"/>
      <c r="B241" s="51"/>
      <c r="C241" s="51"/>
      <c r="D241" s="16"/>
      <c r="E241" s="16"/>
      <c r="F241" s="16"/>
      <c r="G241" s="12"/>
      <c r="H241" s="12"/>
      <c r="I241" s="12"/>
      <c r="J241" s="12"/>
      <c r="K241" s="16"/>
    </row>
    <row r="242" spans="1:11" ht="15.75" customHeight="1" x14ac:dyDescent="0.15">
      <c r="A242" s="16"/>
      <c r="B242" s="51"/>
      <c r="C242" s="51"/>
      <c r="D242" s="16"/>
      <c r="E242" s="16"/>
      <c r="F242" s="16"/>
      <c r="G242" s="12"/>
      <c r="H242" s="12"/>
      <c r="I242" s="12"/>
      <c r="J242" s="12"/>
      <c r="K242" s="16"/>
    </row>
    <row r="243" spans="1:11" ht="15.75" customHeight="1" x14ac:dyDescent="0.15">
      <c r="A243" s="16"/>
      <c r="B243" s="51"/>
      <c r="C243" s="51"/>
      <c r="D243" s="16"/>
      <c r="E243" s="16"/>
      <c r="F243" s="16"/>
      <c r="G243" s="12"/>
      <c r="H243" s="12"/>
      <c r="I243" s="12"/>
      <c r="J243" s="12"/>
      <c r="K243" s="16"/>
    </row>
    <row r="244" spans="1:11" ht="15.75" customHeight="1" x14ac:dyDescent="0.15">
      <c r="A244" s="16"/>
      <c r="B244" s="51"/>
      <c r="C244" s="51"/>
      <c r="D244" s="16"/>
      <c r="E244" s="16"/>
      <c r="F244" s="16"/>
      <c r="G244" s="12"/>
      <c r="H244" s="12"/>
      <c r="I244" s="12"/>
      <c r="J244" s="12"/>
      <c r="K244" s="16"/>
    </row>
    <row r="245" spans="1:11" ht="15.75" customHeight="1" x14ac:dyDescent="0.15">
      <c r="A245" s="16"/>
      <c r="B245" s="51"/>
      <c r="C245" s="51"/>
      <c r="D245" s="16"/>
      <c r="E245" s="16"/>
      <c r="F245" s="16"/>
      <c r="G245" s="12"/>
      <c r="H245" s="12"/>
      <c r="I245" s="12"/>
      <c r="J245" s="12"/>
      <c r="K245" s="16"/>
    </row>
    <row r="246" spans="1:11" ht="15.75" customHeight="1" x14ac:dyDescent="0.15">
      <c r="A246" s="16"/>
      <c r="B246" s="51"/>
      <c r="C246" s="51"/>
      <c r="D246" s="16"/>
      <c r="E246" s="16"/>
      <c r="F246" s="16"/>
      <c r="G246" s="12"/>
      <c r="H246" s="12"/>
      <c r="I246" s="12"/>
      <c r="J246" s="12"/>
      <c r="K246" s="16"/>
    </row>
    <row r="247" spans="1:11" ht="15.75" customHeight="1" x14ac:dyDescent="0.15">
      <c r="A247" s="16"/>
      <c r="B247" s="51"/>
      <c r="C247" s="51"/>
      <c r="D247" s="16"/>
      <c r="E247" s="16"/>
      <c r="F247" s="16"/>
      <c r="G247" s="12"/>
      <c r="H247" s="12"/>
      <c r="I247" s="12"/>
      <c r="J247" s="12"/>
      <c r="K247" s="16"/>
    </row>
    <row r="248" spans="1:11" ht="15.75" customHeight="1" x14ac:dyDescent="0.15">
      <c r="A248" s="16"/>
      <c r="B248" s="51"/>
      <c r="C248" s="51"/>
      <c r="D248" s="16"/>
      <c r="E248" s="16"/>
      <c r="F248" s="16"/>
      <c r="G248" s="12"/>
      <c r="H248" s="12"/>
      <c r="I248" s="12"/>
      <c r="J248" s="12"/>
      <c r="K248" s="16"/>
    </row>
    <row r="249" spans="1:11" ht="15.75" customHeight="1" x14ac:dyDescent="0.15">
      <c r="A249" s="16"/>
      <c r="B249" s="51"/>
      <c r="C249" s="51"/>
      <c r="D249" s="16"/>
      <c r="E249" s="16"/>
      <c r="F249" s="16"/>
      <c r="G249" s="12"/>
      <c r="H249" s="12"/>
      <c r="I249" s="12"/>
      <c r="J249" s="12"/>
      <c r="K249" s="16"/>
    </row>
    <row r="250" spans="1:11" ht="15.75" customHeight="1" x14ac:dyDescent="0.15">
      <c r="A250" s="16"/>
      <c r="B250" s="51"/>
      <c r="C250" s="51"/>
      <c r="D250" s="16"/>
      <c r="E250" s="16"/>
      <c r="F250" s="16"/>
      <c r="G250" s="12"/>
      <c r="H250" s="12"/>
      <c r="I250" s="12"/>
      <c r="J250" s="12"/>
      <c r="K250" s="16"/>
    </row>
    <row r="251" spans="1:11" ht="15.75" customHeight="1" x14ac:dyDescent="0.15">
      <c r="A251" s="16"/>
      <c r="B251" s="51"/>
      <c r="C251" s="51"/>
      <c r="D251" s="16"/>
      <c r="E251" s="16"/>
      <c r="F251" s="16"/>
      <c r="G251" s="12"/>
      <c r="H251" s="12"/>
      <c r="I251" s="12"/>
      <c r="J251" s="12"/>
      <c r="K251" s="16"/>
    </row>
    <row r="252" spans="1:11" ht="15.75" customHeight="1" x14ac:dyDescent="0.15">
      <c r="A252" s="16"/>
      <c r="B252" s="51"/>
      <c r="C252" s="51"/>
      <c r="D252" s="16"/>
      <c r="E252" s="16"/>
      <c r="F252" s="16"/>
      <c r="G252" s="12"/>
      <c r="H252" s="12"/>
      <c r="I252" s="12"/>
      <c r="J252" s="12"/>
      <c r="K252" s="16"/>
    </row>
    <row r="253" spans="1:11" ht="15.75" customHeight="1" x14ac:dyDescent="0.15">
      <c r="A253" s="16"/>
      <c r="B253" s="51"/>
      <c r="C253" s="51"/>
      <c r="D253" s="16"/>
      <c r="E253" s="16"/>
      <c r="F253" s="16"/>
      <c r="G253" s="12"/>
      <c r="H253" s="12"/>
      <c r="I253" s="12"/>
      <c r="J253" s="12"/>
      <c r="K253" s="16"/>
    </row>
    <row r="254" spans="1:11" ht="15.75" customHeight="1" x14ac:dyDescent="0.15">
      <c r="A254" s="16"/>
      <c r="B254" s="51"/>
      <c r="C254" s="51"/>
      <c r="D254" s="16"/>
      <c r="E254" s="16"/>
      <c r="F254" s="16"/>
      <c r="G254" s="12"/>
      <c r="H254" s="12"/>
      <c r="I254" s="12"/>
      <c r="J254" s="12"/>
      <c r="K254" s="16"/>
    </row>
    <row r="255" spans="1:11" ht="15.75" customHeight="1" x14ac:dyDescent="0.15">
      <c r="A255" s="16"/>
      <c r="B255" s="51"/>
      <c r="C255" s="51"/>
      <c r="D255" s="16"/>
      <c r="E255" s="16"/>
      <c r="F255" s="16"/>
      <c r="G255" s="12"/>
      <c r="H255" s="12"/>
      <c r="I255" s="12"/>
      <c r="J255" s="12"/>
      <c r="K255" s="16"/>
    </row>
    <row r="256" spans="1:11"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hyperlinks>
    <hyperlink ref="A2" r:id="rId1" xr:uid="{00000000-0004-0000-0F00-000000000000}"/>
  </hyperlink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A1000"/>
  <sheetViews>
    <sheetView workbookViewId="0"/>
  </sheetViews>
  <sheetFormatPr baseColWidth="10" defaultColWidth="14.5" defaultRowHeight="15" customHeight="1" x14ac:dyDescent="0.15"/>
  <cols>
    <col min="1" max="6" width="14.5" customWidth="1"/>
  </cols>
  <sheetData>
    <row r="1" ht="15.75" customHeight="1" x14ac:dyDescent="0.15"/>
    <row r="2" ht="15.75" customHeight="1" x14ac:dyDescent="0.15"/>
    <row r="3" ht="15.75" customHeight="1" x14ac:dyDescent="0.15"/>
    <row r="4" ht="15.75" customHeight="1" x14ac:dyDescent="0.15"/>
    <row r="5" ht="15.75" customHeight="1" x14ac:dyDescent="0.15"/>
    <row r="6" ht="15.75" customHeight="1" x14ac:dyDescent="0.15"/>
    <row r="7" ht="15.75" customHeight="1" x14ac:dyDescent="0.15"/>
    <row r="8" ht="15.75" customHeight="1" x14ac:dyDescent="0.15"/>
    <row r="9" ht="15.75" customHeight="1" x14ac:dyDescent="0.15"/>
    <row r="10" ht="15.75" customHeight="1" x14ac:dyDescent="0.15"/>
    <row r="11" ht="15.75" customHeight="1" x14ac:dyDescent="0.15"/>
    <row r="12" ht="15.75" customHeight="1" x14ac:dyDescent="0.15"/>
    <row r="13" ht="15.75" customHeight="1" x14ac:dyDescent="0.15"/>
    <row r="14" ht="15.75" customHeight="1" x14ac:dyDescent="0.15"/>
    <row r="15" ht="15.75" customHeight="1" x14ac:dyDescent="0.15"/>
    <row r="16"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Q1000"/>
  <sheetViews>
    <sheetView workbookViewId="0"/>
  </sheetViews>
  <sheetFormatPr baseColWidth="10" defaultColWidth="14.5" defaultRowHeight="15" customHeight="1" x14ac:dyDescent="0.15"/>
  <cols>
    <col min="1" max="1" width="16.6640625" customWidth="1"/>
    <col min="2" max="3" width="27.83203125" customWidth="1"/>
    <col min="4" max="4" width="13.5" customWidth="1"/>
    <col min="5" max="6" width="14.5" customWidth="1"/>
    <col min="7" max="7" width="9.1640625" customWidth="1"/>
    <col min="8" max="8" width="35.5" customWidth="1"/>
    <col min="9" max="9" width="17.1640625" customWidth="1"/>
    <col min="10" max="10" width="4.83203125" customWidth="1"/>
    <col min="11" max="11" width="37.5" customWidth="1"/>
    <col min="12" max="12" width="19.6640625" customWidth="1"/>
    <col min="13" max="13" width="4.83203125" customWidth="1"/>
    <col min="14" max="14" width="31.5" customWidth="1"/>
    <col min="15" max="15" width="17.1640625" customWidth="1"/>
    <col min="16" max="16" width="5.5" customWidth="1"/>
    <col min="17" max="17" width="139.6640625" customWidth="1"/>
  </cols>
  <sheetData>
    <row r="1" spans="1:17" ht="15.75" customHeight="1" x14ac:dyDescent="0.15">
      <c r="A1" s="38" t="s">
        <v>742</v>
      </c>
      <c r="B1" s="39"/>
      <c r="C1" s="39"/>
      <c r="D1" s="3"/>
      <c r="E1" s="3"/>
      <c r="F1" s="3"/>
      <c r="G1" s="40"/>
      <c r="H1" s="38" t="s">
        <v>743</v>
      </c>
      <c r="I1" s="40"/>
      <c r="J1" s="40"/>
      <c r="K1" s="38"/>
      <c r="L1" s="142"/>
      <c r="M1" s="40"/>
      <c r="N1" s="73"/>
      <c r="O1" s="40"/>
      <c r="P1" s="40"/>
      <c r="Q1" s="40"/>
    </row>
    <row r="2" spans="1:17" ht="31.5" customHeight="1" x14ac:dyDescent="0.15">
      <c r="A2" s="129" t="s">
        <v>744</v>
      </c>
      <c r="B2" s="43"/>
      <c r="C2" s="43"/>
      <c r="D2" s="16"/>
      <c r="E2" s="16"/>
      <c r="F2" s="16"/>
      <c r="G2" s="12"/>
      <c r="H2" s="44" t="s">
        <v>73</v>
      </c>
      <c r="I2" s="45"/>
      <c r="J2" s="12"/>
      <c r="K2" s="44" t="s">
        <v>413</v>
      </c>
      <c r="L2" s="7"/>
      <c r="M2" s="12"/>
      <c r="N2" s="45" t="s">
        <v>745</v>
      </c>
      <c r="O2" s="45" t="s">
        <v>746</v>
      </c>
      <c r="P2" s="12"/>
      <c r="Q2" s="44" t="s">
        <v>76</v>
      </c>
    </row>
    <row r="3" spans="1:17" ht="31.5" customHeight="1" x14ac:dyDescent="0.15">
      <c r="A3" s="7" t="s">
        <v>18</v>
      </c>
      <c r="B3" s="7" t="s">
        <v>77</v>
      </c>
      <c r="C3" s="7" t="s">
        <v>78</v>
      </c>
      <c r="D3" s="47" t="s">
        <v>79</v>
      </c>
      <c r="E3" s="47" t="s">
        <v>80</v>
      </c>
      <c r="F3" s="48" t="s">
        <v>81</v>
      </c>
      <c r="G3" s="12"/>
      <c r="H3" s="49" t="s">
        <v>82</v>
      </c>
      <c r="I3" s="85" t="s">
        <v>216</v>
      </c>
      <c r="J3" s="36"/>
      <c r="K3" s="49" t="s">
        <v>351</v>
      </c>
      <c r="L3" s="83" t="s">
        <v>747</v>
      </c>
      <c r="M3" s="36"/>
      <c r="N3" s="16" t="s">
        <v>748</v>
      </c>
      <c r="O3" s="15">
        <f>(3126*I6)</f>
        <v>25.997900000000001</v>
      </c>
      <c r="P3" s="12"/>
      <c r="Q3" s="143" t="s">
        <v>749</v>
      </c>
    </row>
    <row r="4" spans="1:17" ht="31.5" customHeight="1" x14ac:dyDescent="0.15">
      <c r="A4" s="16">
        <v>1</v>
      </c>
      <c r="B4" s="43" t="s">
        <v>750</v>
      </c>
      <c r="C4" s="43" t="s">
        <v>751</v>
      </c>
      <c r="D4" s="15">
        <f>2000*I16</f>
        <v>9.9799999999999986</v>
      </c>
      <c r="E4" s="15">
        <f>(300*I6)+(60*I21)</f>
        <v>3.7924000000000002</v>
      </c>
      <c r="F4" s="15">
        <f t="shared" ref="F4:F15" si="0">IFERROR(D4+E4,"error")</f>
        <v>13.772399999999999</v>
      </c>
      <c r="G4" s="12"/>
      <c r="H4" s="52" t="s">
        <v>91</v>
      </c>
      <c r="I4" s="77">
        <v>600</v>
      </c>
      <c r="J4" s="12"/>
      <c r="K4" s="52" t="s">
        <v>92</v>
      </c>
      <c r="L4" s="144">
        <v>200</v>
      </c>
      <c r="M4" s="12"/>
      <c r="N4" s="16" t="s">
        <v>752</v>
      </c>
      <c r="O4" s="15">
        <f>3135*I6</f>
        <v>26.072749999999999</v>
      </c>
      <c r="P4" s="12"/>
      <c r="Q4" s="143" t="s">
        <v>753</v>
      </c>
    </row>
    <row r="5" spans="1:17" ht="31.5" customHeight="1" x14ac:dyDescent="0.15">
      <c r="A5" s="16">
        <v>2</v>
      </c>
      <c r="B5" s="43" t="s">
        <v>754</v>
      </c>
      <c r="C5" s="43" t="s">
        <v>755</v>
      </c>
      <c r="D5" s="15">
        <f>9*L16</f>
        <v>26.945999999999998</v>
      </c>
      <c r="E5" s="15">
        <f>(680*I6)+(9*L16)</f>
        <v>32.601333333333329</v>
      </c>
      <c r="F5" s="15">
        <f t="shared" si="0"/>
        <v>59.547333333333327</v>
      </c>
      <c r="G5" s="12"/>
      <c r="H5" s="52" t="s">
        <v>500</v>
      </c>
      <c r="I5" s="87">
        <v>4.99</v>
      </c>
      <c r="J5" s="12"/>
      <c r="K5" s="55" t="s">
        <v>98</v>
      </c>
      <c r="L5" s="145">
        <v>200</v>
      </c>
      <c r="M5" s="12"/>
      <c r="N5" s="16" t="s">
        <v>756</v>
      </c>
      <c r="O5" s="15">
        <f>3133*I6</f>
        <v>26.056116666666668</v>
      </c>
      <c r="P5" s="12"/>
      <c r="Q5" s="51"/>
    </row>
    <row r="6" spans="1:17" ht="31.5" customHeight="1" x14ac:dyDescent="0.15">
      <c r="A6" s="16">
        <v>3</v>
      </c>
      <c r="B6" s="43" t="s">
        <v>757</v>
      </c>
      <c r="C6" s="43" t="s">
        <v>758</v>
      </c>
      <c r="D6" s="15">
        <f>300*L21</f>
        <v>4.99</v>
      </c>
      <c r="E6" s="15">
        <f>(3280*I6)+(10*L36)+(3*2700*I6)</f>
        <v>98.968333333333334</v>
      </c>
      <c r="F6" s="15">
        <f t="shared" si="0"/>
        <v>103.95833333333333</v>
      </c>
      <c r="G6" s="12"/>
      <c r="H6" s="58" t="s">
        <v>104</v>
      </c>
      <c r="I6" s="59">
        <f>I5/I4</f>
        <v>8.3166666666666667E-3</v>
      </c>
      <c r="J6" s="12"/>
      <c r="K6" s="58" t="s">
        <v>104</v>
      </c>
      <c r="L6" s="146">
        <f>IF(L4="N/A","N/A",((L5/L4)*$I$6))</f>
        <v>8.3166666666666667E-3</v>
      </c>
      <c r="M6" s="12"/>
      <c r="N6" s="16" t="s">
        <v>759</v>
      </c>
      <c r="O6" s="15">
        <f>3144*I6</f>
        <v>26.147600000000001</v>
      </c>
      <c r="P6" s="12"/>
      <c r="Q6" s="51"/>
    </row>
    <row r="7" spans="1:17" ht="31.5" customHeight="1" x14ac:dyDescent="0.15">
      <c r="A7" s="16">
        <v>4</v>
      </c>
      <c r="B7" s="43" t="s">
        <v>760</v>
      </c>
      <c r="C7" s="43" t="s">
        <v>761</v>
      </c>
      <c r="D7" s="147">
        <v>0</v>
      </c>
      <c r="E7" s="15">
        <f>(1980*I6)+(27*L16)</f>
        <v>97.304999999999993</v>
      </c>
      <c r="F7" s="15">
        <f t="shared" si="0"/>
        <v>97.304999999999993</v>
      </c>
      <c r="G7" s="12"/>
      <c r="H7" s="61"/>
      <c r="I7" s="89"/>
      <c r="J7" s="12"/>
      <c r="K7" s="64"/>
      <c r="L7" s="148"/>
      <c r="M7" s="12"/>
      <c r="N7" s="16" t="s">
        <v>762</v>
      </c>
      <c r="O7" s="15">
        <f>3133*I6</f>
        <v>26.056116666666668</v>
      </c>
      <c r="P7" s="12"/>
      <c r="Q7" s="51"/>
    </row>
    <row r="8" spans="1:17" ht="31.5" customHeight="1" x14ac:dyDescent="0.15">
      <c r="A8" s="16">
        <v>5</v>
      </c>
      <c r="B8" s="43" t="s">
        <v>763</v>
      </c>
      <c r="C8" s="43" t="s">
        <v>764</v>
      </c>
      <c r="D8" s="15">
        <f>O8</f>
        <v>26.06609666666667</v>
      </c>
      <c r="E8" s="15">
        <f>(1980*I6)+(180*L26)</f>
        <v>112.27499999999999</v>
      </c>
      <c r="F8" s="15">
        <f t="shared" si="0"/>
        <v>138.34109666666666</v>
      </c>
      <c r="G8" s="12"/>
      <c r="H8" s="49" t="s">
        <v>110</v>
      </c>
      <c r="I8" s="85" t="s">
        <v>765</v>
      </c>
      <c r="J8" s="36"/>
      <c r="K8" s="49" t="s">
        <v>367</v>
      </c>
      <c r="L8" s="83" t="s">
        <v>766</v>
      </c>
      <c r="M8" s="36"/>
      <c r="N8" s="28" t="s">
        <v>767</v>
      </c>
      <c r="O8" s="34">
        <f>AVERAGE(O3:O7)</f>
        <v>26.06609666666667</v>
      </c>
      <c r="P8" s="12"/>
      <c r="Q8" s="12"/>
    </row>
    <row r="9" spans="1:17" ht="31.5" customHeight="1" x14ac:dyDescent="0.15">
      <c r="A9" s="16">
        <v>6</v>
      </c>
      <c r="B9" s="43" t="s">
        <v>768</v>
      </c>
      <c r="C9" s="43" t="s">
        <v>769</v>
      </c>
      <c r="D9" s="15">
        <f>50*L31</f>
        <v>43.24666666666667</v>
      </c>
      <c r="E9" s="15">
        <f>(1980*I6)+(110*L31)</f>
        <v>111.60966666666667</v>
      </c>
      <c r="F9" s="15">
        <f t="shared" si="0"/>
        <v>154.85633333333334</v>
      </c>
      <c r="G9" s="12"/>
      <c r="H9" s="52" t="s">
        <v>117</v>
      </c>
      <c r="I9" s="77">
        <v>2250000</v>
      </c>
      <c r="J9" s="12"/>
      <c r="K9" s="52" t="s">
        <v>92</v>
      </c>
      <c r="L9" s="144">
        <v>1</v>
      </c>
      <c r="M9" s="12"/>
      <c r="N9" s="12"/>
      <c r="O9" s="12"/>
      <c r="P9" s="12"/>
      <c r="Q9" s="143"/>
    </row>
    <row r="10" spans="1:17" ht="31.5" customHeight="1" x14ac:dyDescent="0.15">
      <c r="A10" s="16">
        <v>7</v>
      </c>
      <c r="B10" s="43" t="s">
        <v>770</v>
      </c>
      <c r="C10" s="43" t="s">
        <v>771</v>
      </c>
      <c r="D10" s="15">
        <v>0</v>
      </c>
      <c r="E10" s="15">
        <f>(1630*I6)+(6000*L6)+(150*L21)</f>
        <v>65.951166666666666</v>
      </c>
      <c r="F10" s="15">
        <f t="shared" si="0"/>
        <v>65.951166666666666</v>
      </c>
      <c r="G10" s="12"/>
      <c r="H10" s="55" t="s">
        <v>139</v>
      </c>
      <c r="I10" s="79">
        <v>300</v>
      </c>
      <c r="J10" s="12"/>
      <c r="K10" s="55" t="s">
        <v>98</v>
      </c>
      <c r="L10" s="145">
        <v>1</v>
      </c>
      <c r="M10" s="12"/>
      <c r="N10" s="12"/>
      <c r="O10" s="12"/>
      <c r="P10" s="12"/>
      <c r="Q10" s="51"/>
    </row>
    <row r="11" spans="1:17" ht="31.5" customHeight="1" x14ac:dyDescent="0.15">
      <c r="A11" s="16">
        <v>8</v>
      </c>
      <c r="B11" s="43" t="s">
        <v>772</v>
      </c>
      <c r="C11" s="43" t="s">
        <v>773</v>
      </c>
      <c r="D11" s="15">
        <f>6000*L6</f>
        <v>49.9</v>
      </c>
      <c r="E11" s="15">
        <f>(2330*I6)+O8+(300*L21)</f>
        <v>50.433930000000011</v>
      </c>
      <c r="F11" s="15">
        <f t="shared" si="0"/>
        <v>100.33393000000001</v>
      </c>
      <c r="G11" s="12"/>
      <c r="H11" s="58" t="s">
        <v>104</v>
      </c>
      <c r="I11" s="146">
        <f>IF(I9="N/A","N/A",((I10/I9)*$I$6))</f>
        <v>1.1088888888888889E-6</v>
      </c>
      <c r="J11" s="12"/>
      <c r="K11" s="58" t="s">
        <v>104</v>
      </c>
      <c r="L11" s="146">
        <f>IF(L9="N/A","N/A",((L10/L9)*$I$6))</f>
        <v>8.3166666666666667E-3</v>
      </c>
      <c r="M11" s="12"/>
      <c r="N11" s="12"/>
      <c r="O11" s="12"/>
      <c r="P11" s="12"/>
      <c r="Q11" s="143"/>
    </row>
    <row r="12" spans="1:17" ht="31.5" customHeight="1" x14ac:dyDescent="0.15">
      <c r="A12" s="16">
        <v>9</v>
      </c>
      <c r="B12" s="43" t="s">
        <v>774</v>
      </c>
      <c r="C12" s="43" t="s">
        <v>775</v>
      </c>
      <c r="D12" s="15">
        <f>30*L41</f>
        <v>49.9</v>
      </c>
      <c r="E12" s="15">
        <f>(3280*I6)+L46</f>
        <v>27.278666666666666</v>
      </c>
      <c r="F12" s="15">
        <f t="shared" si="0"/>
        <v>77.178666666666658</v>
      </c>
      <c r="G12" s="12"/>
      <c r="H12" s="52"/>
      <c r="I12" s="79"/>
      <c r="J12" s="12"/>
      <c r="K12" s="12"/>
      <c r="L12" s="144"/>
      <c r="M12" s="12"/>
      <c r="N12" s="12"/>
      <c r="O12" s="12"/>
      <c r="P12" s="12"/>
      <c r="Q12" s="143"/>
    </row>
    <row r="13" spans="1:17" ht="31.5" customHeight="1" x14ac:dyDescent="0.15">
      <c r="A13" s="16">
        <v>10</v>
      </c>
      <c r="B13" s="43" t="s">
        <v>776</v>
      </c>
      <c r="C13" s="43" t="s">
        <v>777</v>
      </c>
      <c r="D13" s="15">
        <f>(30*L51)+(300*L21)</f>
        <v>43.163500000000006</v>
      </c>
      <c r="E13" s="15">
        <f>(6480*I6)+(160*L51)</f>
        <v>257.48400000000004</v>
      </c>
      <c r="F13" s="15">
        <f t="shared" si="0"/>
        <v>300.64750000000004</v>
      </c>
      <c r="G13" s="12"/>
      <c r="H13" s="49" t="s">
        <v>236</v>
      </c>
      <c r="I13" s="85" t="s">
        <v>778</v>
      </c>
      <c r="J13" s="36"/>
      <c r="K13" s="49" t="s">
        <v>376</v>
      </c>
      <c r="L13" s="83" t="s">
        <v>779</v>
      </c>
      <c r="M13" s="36"/>
      <c r="N13" s="12"/>
      <c r="O13" s="12"/>
      <c r="P13" s="12"/>
      <c r="Q13" s="143"/>
    </row>
    <row r="14" spans="1:17" ht="31.5" customHeight="1" x14ac:dyDescent="0.15">
      <c r="A14" s="16">
        <v>11</v>
      </c>
      <c r="B14" s="43" t="s">
        <v>780</v>
      </c>
      <c r="C14" s="43" t="s">
        <v>781</v>
      </c>
      <c r="D14" s="15">
        <f>60*L41</f>
        <v>99.8</v>
      </c>
      <c r="E14" s="15">
        <f>6480*I6</f>
        <v>53.892000000000003</v>
      </c>
      <c r="F14" s="15">
        <f t="shared" si="0"/>
        <v>153.69200000000001</v>
      </c>
      <c r="G14" s="12"/>
      <c r="H14" s="52" t="s">
        <v>117</v>
      </c>
      <c r="I14" s="77">
        <v>500</v>
      </c>
      <c r="J14" s="12"/>
      <c r="K14" s="52" t="s">
        <v>92</v>
      </c>
      <c r="L14" s="144">
        <v>1</v>
      </c>
      <c r="M14" s="12"/>
      <c r="N14" s="12"/>
      <c r="O14" s="12"/>
      <c r="P14" s="12"/>
      <c r="Q14" s="143"/>
    </row>
    <row r="15" spans="1:17" ht="31.5" customHeight="1" x14ac:dyDescent="0.15">
      <c r="A15" s="16">
        <v>12</v>
      </c>
      <c r="B15" s="43" t="s">
        <v>782</v>
      </c>
      <c r="C15" s="43" t="s">
        <v>783</v>
      </c>
      <c r="D15" s="15">
        <f>L46+(10000000*I11)</f>
        <v>11.088888888888889</v>
      </c>
      <c r="E15" s="15">
        <f>(6480*I6)+(12000*L6)+(1600*L21)</f>
        <v>180.30533333333335</v>
      </c>
      <c r="F15" s="15">
        <f t="shared" si="0"/>
        <v>191.39422222222225</v>
      </c>
      <c r="G15" s="12"/>
      <c r="H15" s="55" t="s">
        <v>139</v>
      </c>
      <c r="I15" s="79">
        <v>300</v>
      </c>
      <c r="J15" s="12"/>
      <c r="K15" s="55" t="s">
        <v>98</v>
      </c>
      <c r="L15" s="145">
        <v>360</v>
      </c>
      <c r="M15" s="12"/>
      <c r="N15" s="12"/>
      <c r="O15" s="12"/>
      <c r="P15" s="12"/>
      <c r="Q15" s="143"/>
    </row>
    <row r="16" spans="1:17" ht="31.5" customHeight="1" x14ac:dyDescent="0.15">
      <c r="A16" s="28" t="s">
        <v>81</v>
      </c>
      <c r="B16" s="32"/>
      <c r="C16" s="32"/>
      <c r="D16" s="72">
        <f t="shared" ref="D16:F16" si="1">SUM(D4:D15)</f>
        <v>365.08115222222222</v>
      </c>
      <c r="E16" s="72">
        <f t="shared" si="1"/>
        <v>1091.8968300000001</v>
      </c>
      <c r="F16" s="72">
        <f t="shared" si="1"/>
        <v>1456.9779822222222</v>
      </c>
      <c r="G16" s="12"/>
      <c r="H16" s="58" t="s">
        <v>104</v>
      </c>
      <c r="I16" s="149">
        <f>IF(I14="N/A","N/A",((I15/I14)*$I$6))</f>
        <v>4.9899999999999996E-3</v>
      </c>
      <c r="J16" s="12"/>
      <c r="K16" s="58" t="s">
        <v>104</v>
      </c>
      <c r="L16" s="146">
        <f>IF(L14="N/A","N/A",((L15/L14)*$I$6))</f>
        <v>2.9939999999999998</v>
      </c>
      <c r="M16" s="12"/>
      <c r="N16" s="12"/>
      <c r="O16" s="12"/>
      <c r="P16" s="12"/>
      <c r="Q16" s="12"/>
    </row>
    <row r="17" spans="1:17" ht="31.5" customHeight="1" x14ac:dyDescent="0.15">
      <c r="A17" s="28" t="s">
        <v>174</v>
      </c>
      <c r="B17" s="16"/>
      <c r="C17" s="16"/>
      <c r="D17" s="34">
        <f t="shared" ref="D17:F17" si="2">AVERAGE(D2:D15)</f>
        <v>30.423429351851851</v>
      </c>
      <c r="E17" s="34">
        <f t="shared" si="2"/>
        <v>90.991402500000007</v>
      </c>
      <c r="F17" s="34">
        <f t="shared" si="2"/>
        <v>121.41483185185184</v>
      </c>
      <c r="G17" s="12"/>
      <c r="H17" s="52"/>
      <c r="I17" s="90"/>
      <c r="J17" s="12"/>
      <c r="K17" s="64"/>
      <c r="L17" s="51"/>
      <c r="M17" s="12"/>
      <c r="N17" s="12"/>
      <c r="O17" s="12"/>
      <c r="P17" s="12"/>
      <c r="Q17" s="12"/>
    </row>
    <row r="18" spans="1:17" ht="15.75" customHeight="1" x14ac:dyDescent="0.15">
      <c r="A18" s="16"/>
      <c r="B18" s="43"/>
      <c r="C18" s="43"/>
      <c r="D18" s="15"/>
      <c r="E18" s="15"/>
      <c r="F18" s="15"/>
      <c r="G18" s="12"/>
      <c r="H18" s="49" t="s">
        <v>236</v>
      </c>
      <c r="I18" s="83" t="s">
        <v>784</v>
      </c>
      <c r="J18" s="36"/>
      <c r="K18" s="49" t="s">
        <v>386</v>
      </c>
      <c r="L18" s="83" t="s">
        <v>785</v>
      </c>
      <c r="M18" s="36"/>
      <c r="N18" s="12"/>
      <c r="O18" s="12"/>
      <c r="P18" s="12"/>
      <c r="Q18" s="68"/>
    </row>
    <row r="19" spans="1:17" ht="15.75" customHeight="1" x14ac:dyDescent="0.15">
      <c r="A19" s="16"/>
      <c r="B19" s="43"/>
      <c r="C19" s="43"/>
      <c r="D19" s="15"/>
      <c r="E19" s="15"/>
      <c r="F19" s="15"/>
      <c r="G19" s="12"/>
      <c r="H19" s="52" t="s">
        <v>92</v>
      </c>
      <c r="I19" s="150">
        <v>5</v>
      </c>
      <c r="J19" s="12"/>
      <c r="K19" s="52" t="s">
        <v>92</v>
      </c>
      <c r="L19" s="144">
        <v>150</v>
      </c>
      <c r="M19" s="12"/>
      <c r="N19" s="12"/>
      <c r="O19" s="12"/>
      <c r="P19" s="12"/>
      <c r="Q19" s="68"/>
    </row>
    <row r="20" spans="1:17" ht="15.75" customHeight="1" x14ac:dyDescent="0.15">
      <c r="A20" s="16"/>
      <c r="B20" s="43"/>
      <c r="C20" s="43"/>
      <c r="D20" s="15"/>
      <c r="E20" s="15"/>
      <c r="F20" s="15"/>
      <c r="G20" s="12"/>
      <c r="H20" s="55" t="s">
        <v>98</v>
      </c>
      <c r="I20" s="151">
        <v>13</v>
      </c>
      <c r="J20" s="12"/>
      <c r="K20" s="55" t="s">
        <v>98</v>
      </c>
      <c r="L20" s="145">
        <v>300</v>
      </c>
      <c r="M20" s="12"/>
      <c r="N20" s="12"/>
      <c r="O20" s="12"/>
      <c r="P20" s="68"/>
      <c r="Q20" s="68"/>
    </row>
    <row r="21" spans="1:17" ht="15.75" customHeight="1" x14ac:dyDescent="0.15">
      <c r="A21" s="16"/>
      <c r="B21" s="43"/>
      <c r="C21" s="43"/>
      <c r="D21" s="15"/>
      <c r="E21" s="15"/>
      <c r="F21" s="15"/>
      <c r="G21" s="12"/>
      <c r="H21" s="58" t="s">
        <v>104</v>
      </c>
      <c r="I21" s="146">
        <f>IF(I19="N/A","N/A",((I20/I19)*$I$6))</f>
        <v>2.1623333333333335E-2</v>
      </c>
      <c r="J21" s="12"/>
      <c r="K21" s="58" t="s">
        <v>104</v>
      </c>
      <c r="L21" s="146">
        <f>IF(L19="N/A","N/A",((L20/L19)*$I$6))</f>
        <v>1.6633333333333333E-2</v>
      </c>
      <c r="M21" s="12"/>
      <c r="N21" s="12"/>
      <c r="O21" s="12"/>
      <c r="P21" s="68"/>
      <c r="Q21" s="68"/>
    </row>
    <row r="22" spans="1:17" ht="15.75" customHeight="1" x14ac:dyDescent="0.15">
      <c r="A22" s="16"/>
      <c r="B22" s="43"/>
      <c r="C22" s="43"/>
      <c r="D22" s="15"/>
      <c r="E22" s="15"/>
      <c r="F22" s="15"/>
      <c r="G22" s="12"/>
      <c r="H22" s="12"/>
      <c r="I22" s="12"/>
      <c r="J22" s="12"/>
      <c r="K22" s="12"/>
      <c r="L22" s="51"/>
      <c r="M22" s="12"/>
      <c r="N22" s="12"/>
      <c r="O22" s="12"/>
      <c r="P22" s="68"/>
      <c r="Q22" s="68"/>
    </row>
    <row r="23" spans="1:17" ht="15.75" customHeight="1" x14ac:dyDescent="0.15">
      <c r="A23" s="16"/>
      <c r="B23" s="43"/>
      <c r="C23" s="43"/>
      <c r="D23" s="15"/>
      <c r="E23" s="15"/>
      <c r="F23" s="15"/>
      <c r="G23" s="12"/>
      <c r="H23" s="49" t="s">
        <v>786</v>
      </c>
      <c r="I23" s="67" t="s">
        <v>787</v>
      </c>
      <c r="J23" s="36"/>
      <c r="K23" s="49" t="s">
        <v>393</v>
      </c>
      <c r="L23" s="83" t="s">
        <v>788</v>
      </c>
      <c r="M23" s="36"/>
      <c r="N23" s="12"/>
      <c r="O23" s="12"/>
      <c r="P23" s="68"/>
      <c r="Q23" s="12"/>
    </row>
    <row r="24" spans="1:17" ht="15.75" customHeight="1" x14ac:dyDescent="0.15">
      <c r="A24" s="16"/>
      <c r="B24" s="43"/>
      <c r="C24" s="152"/>
      <c r="D24" s="15"/>
      <c r="E24" s="15"/>
      <c r="F24" s="15"/>
      <c r="G24" s="12"/>
      <c r="H24" s="52" t="s">
        <v>92</v>
      </c>
      <c r="I24" s="150">
        <v>18000</v>
      </c>
      <c r="J24" s="12"/>
      <c r="K24" s="52" t="s">
        <v>92</v>
      </c>
      <c r="L24" s="144">
        <v>10</v>
      </c>
      <c r="M24" s="12"/>
      <c r="N24" s="55"/>
      <c r="O24" s="56"/>
      <c r="P24" s="68"/>
      <c r="Q24" s="12"/>
    </row>
    <row r="25" spans="1:17" ht="15.75" customHeight="1" x14ac:dyDescent="0.15">
      <c r="A25" s="16"/>
      <c r="B25" s="43"/>
      <c r="C25" s="43"/>
      <c r="D25" s="15"/>
      <c r="E25" s="15"/>
      <c r="F25" s="15"/>
      <c r="G25" s="12"/>
      <c r="H25" s="55" t="s">
        <v>789</v>
      </c>
      <c r="I25" s="151">
        <v>60</v>
      </c>
      <c r="J25" s="12"/>
      <c r="K25" s="55" t="s">
        <v>358</v>
      </c>
      <c r="L25" s="144">
        <v>4800000</v>
      </c>
      <c r="M25" s="12"/>
      <c r="N25" s="49"/>
      <c r="O25" s="100"/>
      <c r="P25" s="12"/>
      <c r="Q25" s="12"/>
    </row>
    <row r="26" spans="1:17" ht="15.75" customHeight="1" x14ac:dyDescent="0.15">
      <c r="A26" s="16"/>
      <c r="B26" s="43"/>
      <c r="C26" s="43"/>
      <c r="D26" s="15"/>
      <c r="E26" s="15"/>
      <c r="F26" s="15"/>
      <c r="G26" s="12"/>
      <c r="H26" s="58" t="s">
        <v>104</v>
      </c>
      <c r="I26" s="153">
        <f>IF(I24="N/A","N/A",((I25/I24)*$I$21))</f>
        <v>7.2077777777777792E-5</v>
      </c>
      <c r="J26" s="12"/>
      <c r="K26" s="58" t="s">
        <v>104</v>
      </c>
      <c r="L26" s="146">
        <f>IF(L24="N/A","N/A",((L25/L24)*$I$11))</f>
        <v>0.53226666666666667</v>
      </c>
      <c r="M26" s="12"/>
      <c r="N26" s="12"/>
      <c r="O26" s="12"/>
      <c r="P26" s="12"/>
      <c r="Q26" s="12"/>
    </row>
    <row r="27" spans="1:17" ht="15.75" customHeight="1" x14ac:dyDescent="0.15">
      <c r="A27" s="16"/>
      <c r="B27" s="43"/>
      <c r="C27" s="43"/>
      <c r="D27" s="15"/>
      <c r="E27" s="15"/>
      <c r="F27" s="15"/>
      <c r="G27" s="12"/>
      <c r="H27" s="12"/>
      <c r="I27" s="12"/>
      <c r="J27" s="12"/>
      <c r="K27" s="12"/>
      <c r="L27" s="51"/>
      <c r="M27" s="12"/>
      <c r="N27" s="49"/>
      <c r="O27" s="50"/>
      <c r="P27" s="12"/>
      <c r="Q27" s="12"/>
    </row>
    <row r="28" spans="1:17" ht="15.75" customHeight="1" x14ac:dyDescent="0.15">
      <c r="A28" s="16"/>
      <c r="B28" s="43"/>
      <c r="C28" s="43"/>
      <c r="D28" s="15"/>
      <c r="E28" s="15"/>
      <c r="F28" s="15"/>
      <c r="G28" s="12"/>
      <c r="H28" s="12"/>
      <c r="I28" s="12"/>
      <c r="J28" s="12"/>
      <c r="K28" s="49" t="s">
        <v>399</v>
      </c>
      <c r="L28" s="83" t="s">
        <v>790</v>
      </c>
      <c r="M28" s="12"/>
      <c r="N28" s="52"/>
      <c r="O28" s="53"/>
      <c r="P28" s="12"/>
      <c r="Q28" s="12"/>
    </row>
    <row r="29" spans="1:17" ht="15.75" customHeight="1" x14ac:dyDescent="0.15">
      <c r="A29" s="16"/>
      <c r="B29" s="43"/>
      <c r="C29" s="43"/>
      <c r="D29" s="15"/>
      <c r="E29" s="15"/>
      <c r="F29" s="15"/>
      <c r="G29" s="12"/>
      <c r="H29" s="12"/>
      <c r="I29" s="12"/>
      <c r="J29" s="12"/>
      <c r="K29" s="52" t="s">
        <v>92</v>
      </c>
      <c r="L29" s="144">
        <v>10</v>
      </c>
      <c r="M29" s="12"/>
      <c r="N29" s="55"/>
      <c r="O29" s="56"/>
      <c r="P29" s="12"/>
      <c r="Q29" s="12"/>
    </row>
    <row r="30" spans="1:17" ht="15.75" customHeight="1" x14ac:dyDescent="0.15">
      <c r="A30" s="16"/>
      <c r="B30" s="43"/>
      <c r="C30" s="43"/>
      <c r="D30" s="15"/>
      <c r="E30" s="15"/>
      <c r="F30" s="15"/>
      <c r="G30" s="12"/>
      <c r="H30" s="12"/>
      <c r="I30" s="12"/>
      <c r="J30" s="12"/>
      <c r="K30" s="55" t="s">
        <v>358</v>
      </c>
      <c r="L30" s="144">
        <v>7800000</v>
      </c>
      <c r="M30" s="12"/>
      <c r="N30" s="49"/>
      <c r="O30" s="100"/>
      <c r="P30" s="12"/>
      <c r="Q30" s="12"/>
    </row>
    <row r="31" spans="1:17" ht="15.75" customHeight="1" x14ac:dyDescent="0.15">
      <c r="A31" s="16"/>
      <c r="B31" s="43"/>
      <c r="C31" s="43"/>
      <c r="D31" s="15"/>
      <c r="E31" s="15"/>
      <c r="F31" s="15"/>
      <c r="G31" s="12"/>
      <c r="H31" s="12"/>
      <c r="I31" s="12"/>
      <c r="J31" s="12"/>
      <c r="K31" s="58" t="s">
        <v>104</v>
      </c>
      <c r="L31" s="146">
        <f>IF(L29="N/A","N/A",((L30/L29)*$I$11))</f>
        <v>0.86493333333333333</v>
      </c>
      <c r="M31" s="12"/>
      <c r="N31" s="12"/>
      <c r="O31" s="12"/>
      <c r="P31" s="12"/>
      <c r="Q31" s="12"/>
    </row>
    <row r="32" spans="1:17" ht="15.75" customHeight="1" x14ac:dyDescent="0.15">
      <c r="A32" s="16"/>
      <c r="B32" s="43"/>
      <c r="C32" s="43"/>
      <c r="D32" s="15"/>
      <c r="E32" s="15"/>
      <c r="F32" s="15"/>
      <c r="G32" s="12"/>
      <c r="H32" s="12"/>
      <c r="I32" s="12"/>
      <c r="J32" s="12"/>
      <c r="K32" s="12"/>
      <c r="L32" s="51"/>
      <c r="M32" s="12"/>
      <c r="N32" s="49"/>
      <c r="O32" s="100"/>
      <c r="P32" s="12"/>
      <c r="Q32" s="12"/>
    </row>
    <row r="33" spans="1:17" ht="15.75" customHeight="1" x14ac:dyDescent="0.15">
      <c r="A33" s="16"/>
      <c r="B33" s="43"/>
      <c r="C33" s="43"/>
      <c r="D33" s="15"/>
      <c r="E33" s="15"/>
      <c r="F33" s="15"/>
      <c r="G33" s="12"/>
      <c r="H33" s="12"/>
      <c r="I33" s="12"/>
      <c r="J33" s="12"/>
      <c r="K33" s="49" t="s">
        <v>403</v>
      </c>
      <c r="L33" s="83" t="s">
        <v>791</v>
      </c>
      <c r="M33" s="12"/>
      <c r="N33" s="12"/>
      <c r="O33" s="12"/>
      <c r="P33" s="12"/>
      <c r="Q33" s="12"/>
    </row>
    <row r="34" spans="1:17" ht="15.75" customHeight="1" x14ac:dyDescent="0.15">
      <c r="A34" s="16"/>
      <c r="B34" s="43"/>
      <c r="C34" s="43"/>
      <c r="D34" s="15"/>
      <c r="E34" s="15"/>
      <c r="F34" s="15"/>
      <c r="G34" s="12"/>
      <c r="H34" s="12"/>
      <c r="I34" s="12"/>
      <c r="J34" s="12"/>
      <c r="K34" s="52" t="s">
        <v>92</v>
      </c>
      <c r="L34" s="144">
        <v>10</v>
      </c>
      <c r="M34" s="12"/>
      <c r="N34" s="12"/>
      <c r="O34" s="12"/>
      <c r="P34" s="12"/>
      <c r="Q34" s="12"/>
    </row>
    <row r="35" spans="1:17" ht="15.75" customHeight="1" x14ac:dyDescent="0.15">
      <c r="A35" s="16"/>
      <c r="B35" s="43"/>
      <c r="C35" s="43"/>
      <c r="D35" s="15"/>
      <c r="E35" s="15"/>
      <c r="F35" s="15"/>
      <c r="G35" s="12"/>
      <c r="H35" s="12"/>
      <c r="I35" s="12"/>
      <c r="J35" s="12"/>
      <c r="K35" s="55" t="s">
        <v>98</v>
      </c>
      <c r="L35" s="145">
        <v>520</v>
      </c>
      <c r="M35" s="12"/>
      <c r="N35" s="12"/>
      <c r="O35" s="82"/>
      <c r="P35" s="12"/>
      <c r="Q35" s="12"/>
    </row>
    <row r="36" spans="1:17" ht="15.75" customHeight="1" x14ac:dyDescent="0.15">
      <c r="A36" s="16"/>
      <c r="B36" s="43"/>
      <c r="C36" s="43"/>
      <c r="D36" s="15"/>
      <c r="E36" s="15"/>
      <c r="F36" s="15"/>
      <c r="G36" s="12"/>
      <c r="H36" s="12"/>
      <c r="I36" s="12"/>
      <c r="J36" s="12"/>
      <c r="K36" s="58" t="s">
        <v>104</v>
      </c>
      <c r="L36" s="146">
        <f>IF(L34="N/A","N/A",((L35/L34)*$I$6))</f>
        <v>0.43246666666666667</v>
      </c>
      <c r="M36" s="12"/>
      <c r="N36" s="12"/>
      <c r="O36" s="82"/>
      <c r="P36" s="12"/>
      <c r="Q36" s="12"/>
    </row>
    <row r="37" spans="1:17" ht="15.75" customHeight="1" x14ac:dyDescent="0.15">
      <c r="A37" s="16"/>
      <c r="B37" s="43"/>
      <c r="C37" s="43"/>
      <c r="D37" s="15"/>
      <c r="E37" s="15"/>
      <c r="F37" s="15"/>
      <c r="G37" s="12"/>
      <c r="H37" s="12"/>
      <c r="I37" s="12"/>
      <c r="J37" s="12"/>
      <c r="K37" s="12"/>
      <c r="L37" s="51"/>
      <c r="M37" s="12"/>
      <c r="N37" s="12"/>
      <c r="O37" s="82"/>
      <c r="P37" s="12"/>
      <c r="Q37" s="12"/>
    </row>
    <row r="38" spans="1:17" ht="15.75" customHeight="1" x14ac:dyDescent="0.15">
      <c r="A38" s="16"/>
      <c r="B38" s="43"/>
      <c r="C38" s="43"/>
      <c r="D38" s="15"/>
      <c r="E38" s="15"/>
      <c r="F38" s="15"/>
      <c r="G38" s="12"/>
      <c r="H38" s="12"/>
      <c r="I38" s="12"/>
      <c r="J38" s="12"/>
      <c r="K38" s="49" t="s">
        <v>405</v>
      </c>
      <c r="L38" s="83" t="s">
        <v>792</v>
      </c>
      <c r="M38" s="12"/>
      <c r="N38" s="12"/>
      <c r="O38" s="82"/>
      <c r="P38" s="12"/>
      <c r="Q38" s="12"/>
    </row>
    <row r="39" spans="1:17" ht="15.75" customHeight="1" x14ac:dyDescent="0.15">
      <c r="A39" s="16"/>
      <c r="B39" s="43"/>
      <c r="C39" s="43"/>
      <c r="D39" s="15"/>
      <c r="E39" s="15"/>
      <c r="F39" s="15"/>
      <c r="G39" s="12"/>
      <c r="H39" s="12"/>
      <c r="I39" s="12"/>
      <c r="J39" s="12"/>
      <c r="K39" s="52" t="s">
        <v>92</v>
      </c>
      <c r="L39" s="144">
        <v>4</v>
      </c>
      <c r="M39" s="12"/>
      <c r="N39" s="12"/>
      <c r="O39" s="12"/>
      <c r="P39" s="12"/>
      <c r="Q39" s="12"/>
    </row>
    <row r="40" spans="1:17" ht="15.75" customHeight="1" x14ac:dyDescent="0.15">
      <c r="A40" s="16"/>
      <c r="B40" s="43"/>
      <c r="C40" s="43"/>
      <c r="D40" s="15"/>
      <c r="E40" s="15"/>
      <c r="F40" s="15"/>
      <c r="G40" s="12"/>
      <c r="H40" s="12"/>
      <c r="I40" s="12"/>
      <c r="J40" s="12"/>
      <c r="K40" s="55" t="s">
        <v>98</v>
      </c>
      <c r="L40" s="145">
        <v>800</v>
      </c>
      <c r="M40" s="12"/>
      <c r="N40" s="12"/>
      <c r="O40" s="12"/>
      <c r="P40" s="12"/>
      <c r="Q40" s="12"/>
    </row>
    <row r="41" spans="1:17" ht="15.75" customHeight="1" x14ac:dyDescent="0.15">
      <c r="A41" s="16"/>
      <c r="B41" s="43"/>
      <c r="C41" s="43"/>
      <c r="D41" s="15"/>
      <c r="E41" s="15"/>
      <c r="F41" s="15"/>
      <c r="G41" s="12"/>
      <c r="H41" s="12"/>
      <c r="I41" s="12"/>
      <c r="J41" s="12"/>
      <c r="K41" s="58" t="s">
        <v>104</v>
      </c>
      <c r="L41" s="146">
        <f>IF(L39="N/A","N/A",((L40/L39)*$I$6))</f>
        <v>1.6633333333333333</v>
      </c>
      <c r="M41" s="12"/>
      <c r="N41" s="12"/>
      <c r="O41" s="12"/>
      <c r="P41" s="12"/>
      <c r="Q41" s="12"/>
    </row>
    <row r="42" spans="1:17" ht="15.75" customHeight="1" x14ac:dyDescent="0.15">
      <c r="A42" s="16"/>
      <c r="B42" s="43"/>
      <c r="C42" s="43"/>
      <c r="D42" s="15"/>
      <c r="E42" s="15"/>
      <c r="F42" s="15"/>
      <c r="G42" s="12"/>
      <c r="H42" s="12"/>
      <c r="I42" s="12"/>
      <c r="J42" s="12"/>
      <c r="K42" s="12"/>
      <c r="L42" s="51"/>
      <c r="M42" s="12"/>
      <c r="N42" s="12"/>
      <c r="O42" s="12"/>
      <c r="P42" s="12"/>
      <c r="Q42" s="12"/>
    </row>
    <row r="43" spans="1:17" ht="15.75" customHeight="1" x14ac:dyDescent="0.15">
      <c r="A43" s="16"/>
      <c r="B43" s="43"/>
      <c r="C43" s="43"/>
      <c r="D43" s="15"/>
      <c r="E43" s="15"/>
      <c r="F43" s="15"/>
      <c r="G43" s="12"/>
      <c r="H43" s="12"/>
      <c r="I43" s="12"/>
      <c r="J43" s="12"/>
      <c r="K43" s="49" t="s">
        <v>407</v>
      </c>
      <c r="L43" s="83" t="s">
        <v>793</v>
      </c>
      <c r="M43" s="12"/>
      <c r="N43" s="12"/>
      <c r="O43" s="12"/>
      <c r="P43" s="12"/>
      <c r="Q43" s="12"/>
    </row>
    <row r="44" spans="1:17" ht="15.75" customHeight="1" x14ac:dyDescent="0.15">
      <c r="A44" s="16"/>
      <c r="B44" s="43"/>
      <c r="C44" s="43"/>
      <c r="D44" s="15"/>
      <c r="E44" s="15"/>
      <c r="F44" s="15"/>
      <c r="G44" s="12"/>
      <c r="H44" s="12"/>
      <c r="I44" s="12"/>
      <c r="J44" s="12"/>
      <c r="K44" s="52" t="s">
        <v>92</v>
      </c>
      <c r="L44" s="144">
        <v>1</v>
      </c>
      <c r="M44" s="12"/>
      <c r="N44" s="12"/>
      <c r="O44" s="12"/>
      <c r="P44" s="12"/>
      <c r="Q44" s="12"/>
    </row>
    <row r="45" spans="1:17" ht="15.75" customHeight="1" x14ac:dyDescent="0.15">
      <c r="A45" s="16"/>
      <c r="B45" s="43"/>
      <c r="C45" s="43"/>
      <c r="D45" s="15"/>
      <c r="E45" s="15"/>
      <c r="F45" s="15"/>
      <c r="G45" s="12"/>
      <c r="H45" s="12"/>
      <c r="I45" s="12"/>
      <c r="J45" s="12"/>
      <c r="K45" s="55" t="s">
        <v>98</v>
      </c>
      <c r="L45" s="144">
        <v>0</v>
      </c>
      <c r="M45" s="12"/>
      <c r="N45" s="12"/>
      <c r="O45" s="12"/>
      <c r="P45" s="12"/>
      <c r="Q45" s="12"/>
    </row>
    <row r="46" spans="1:17" ht="15.75" customHeight="1" x14ac:dyDescent="0.15">
      <c r="A46" s="16"/>
      <c r="B46" s="43"/>
      <c r="C46" s="43"/>
      <c r="D46" s="15"/>
      <c r="E46" s="15"/>
      <c r="F46" s="15"/>
      <c r="G46" s="12"/>
      <c r="H46" s="12"/>
      <c r="I46" s="12"/>
      <c r="J46" s="12"/>
      <c r="K46" s="58" t="s">
        <v>104</v>
      </c>
      <c r="L46" s="146">
        <f>IF(L44="N/A","N/A",((L45/L44)*$I$6))</f>
        <v>0</v>
      </c>
      <c r="M46" s="12"/>
      <c r="N46" s="12"/>
      <c r="O46" s="12"/>
      <c r="P46" s="12"/>
      <c r="Q46" s="12"/>
    </row>
    <row r="47" spans="1:17" ht="15.75" customHeight="1" x14ac:dyDescent="0.15">
      <c r="A47" s="16"/>
      <c r="B47" s="43"/>
      <c r="C47" s="43"/>
      <c r="D47" s="15"/>
      <c r="E47" s="15"/>
      <c r="F47" s="15"/>
      <c r="G47" s="12"/>
      <c r="H47" s="12"/>
      <c r="I47" s="12"/>
      <c r="J47" s="12"/>
      <c r="K47" s="12"/>
      <c r="L47" s="51"/>
      <c r="M47" s="12"/>
      <c r="N47" s="12"/>
      <c r="O47" s="12"/>
      <c r="P47" s="12"/>
      <c r="Q47" s="12"/>
    </row>
    <row r="48" spans="1:17" ht="15.75" customHeight="1" x14ac:dyDescent="0.15">
      <c r="A48" s="16"/>
      <c r="B48" s="43"/>
      <c r="C48" s="43"/>
      <c r="D48" s="15"/>
      <c r="E48" s="15"/>
      <c r="F48" s="15"/>
      <c r="G48" s="12"/>
      <c r="H48" s="12"/>
      <c r="I48" s="12"/>
      <c r="J48" s="12"/>
      <c r="K48" s="49" t="s">
        <v>490</v>
      </c>
      <c r="L48" s="83" t="s">
        <v>794</v>
      </c>
      <c r="M48" s="12"/>
      <c r="N48" s="12"/>
      <c r="O48" s="12"/>
      <c r="P48" s="12"/>
      <c r="Q48" s="12"/>
    </row>
    <row r="49" spans="1:17" ht="15.75" customHeight="1" x14ac:dyDescent="0.15">
      <c r="A49" s="16"/>
      <c r="B49" s="43"/>
      <c r="C49" s="43"/>
      <c r="D49" s="15"/>
      <c r="E49" s="15"/>
      <c r="F49" s="15"/>
      <c r="G49" s="12"/>
      <c r="H49" s="12"/>
      <c r="I49" s="12"/>
      <c r="J49" s="12"/>
      <c r="K49" s="52" t="s">
        <v>92</v>
      </c>
      <c r="L49" s="144">
        <v>20</v>
      </c>
      <c r="M49" s="12"/>
      <c r="N49" s="12"/>
      <c r="O49" s="12"/>
      <c r="P49" s="12"/>
      <c r="Q49" s="12"/>
    </row>
    <row r="50" spans="1:17" ht="15.75" customHeight="1" x14ac:dyDescent="0.15">
      <c r="A50" s="16"/>
      <c r="B50" s="43"/>
      <c r="C50" s="43"/>
      <c r="D50" s="15"/>
      <c r="E50" s="15"/>
      <c r="F50" s="15"/>
      <c r="G50" s="12"/>
      <c r="H50" s="12"/>
      <c r="I50" s="12"/>
      <c r="J50" s="12"/>
      <c r="K50" s="55" t="s">
        <v>98</v>
      </c>
      <c r="L50" s="144">
        <v>3060</v>
      </c>
      <c r="M50" s="12"/>
      <c r="N50" s="12"/>
      <c r="O50" s="12"/>
      <c r="P50" s="12"/>
      <c r="Q50" s="12"/>
    </row>
    <row r="51" spans="1:17" ht="15.75" customHeight="1" x14ac:dyDescent="0.15">
      <c r="A51" s="16"/>
      <c r="B51" s="43"/>
      <c r="C51" s="43"/>
      <c r="D51" s="15"/>
      <c r="E51" s="15"/>
      <c r="F51" s="15"/>
      <c r="G51" s="12"/>
      <c r="H51" s="12"/>
      <c r="I51" s="12"/>
      <c r="J51" s="12"/>
      <c r="K51" s="58" t="s">
        <v>104</v>
      </c>
      <c r="L51" s="146">
        <f>IF(L49="N/A","N/A",((L50/L49)*$I$6))</f>
        <v>1.2724500000000001</v>
      </c>
      <c r="M51" s="12"/>
      <c r="N51" s="12"/>
      <c r="O51" s="12"/>
      <c r="P51" s="12"/>
      <c r="Q51" s="12"/>
    </row>
    <row r="52" spans="1:17" ht="15.75" customHeight="1" x14ac:dyDescent="0.15">
      <c r="A52" s="16"/>
      <c r="B52" s="43"/>
      <c r="C52" s="43"/>
      <c r="D52" s="15"/>
      <c r="E52" s="15"/>
      <c r="F52" s="15"/>
      <c r="G52" s="12"/>
      <c r="H52" s="12"/>
      <c r="I52" s="12"/>
      <c r="J52" s="12"/>
      <c r="K52" s="12"/>
      <c r="L52" s="51"/>
      <c r="M52" s="12"/>
      <c r="N52" s="12"/>
      <c r="O52" s="12"/>
      <c r="P52" s="12"/>
      <c r="Q52" s="12"/>
    </row>
    <row r="53" spans="1:17" ht="15.75" customHeight="1" x14ac:dyDescent="0.15">
      <c r="A53" s="16"/>
      <c r="B53" s="43"/>
      <c r="C53" s="43"/>
      <c r="D53" s="15"/>
      <c r="E53" s="15"/>
      <c r="F53" s="15"/>
      <c r="G53" s="12"/>
      <c r="H53" s="12"/>
      <c r="I53" s="12"/>
      <c r="J53" s="12"/>
      <c r="K53" s="58" t="s">
        <v>409</v>
      </c>
      <c r="L53" s="146">
        <f>AVERAGE(L6,I21,L11,L16,L21,L26,L31,L36,L41,L46,L51,I26)</f>
        <v>0.65120100648148138</v>
      </c>
      <c r="M53" s="12"/>
      <c r="N53" s="12"/>
      <c r="O53" s="12"/>
      <c r="P53" s="12"/>
      <c r="Q53" s="12"/>
    </row>
    <row r="54" spans="1:17" ht="15.75" customHeight="1" x14ac:dyDescent="0.15">
      <c r="A54" s="16"/>
      <c r="B54" s="43"/>
      <c r="C54" s="43"/>
      <c r="D54" s="15"/>
      <c r="E54" s="15"/>
      <c r="F54" s="15"/>
      <c r="G54" s="12"/>
      <c r="H54" s="12"/>
      <c r="I54" s="12"/>
      <c r="J54" s="12"/>
      <c r="K54" s="12"/>
      <c r="L54" s="51"/>
      <c r="M54" s="12"/>
      <c r="N54" s="12"/>
      <c r="O54" s="12"/>
      <c r="P54" s="12"/>
      <c r="Q54" s="12"/>
    </row>
    <row r="55" spans="1:17" ht="15.75" customHeight="1" x14ac:dyDescent="0.15">
      <c r="A55" s="16"/>
      <c r="B55" s="43"/>
      <c r="C55" s="43"/>
      <c r="D55" s="16"/>
      <c r="E55" s="16"/>
      <c r="F55" s="16"/>
      <c r="G55" s="12"/>
      <c r="H55" s="12"/>
      <c r="I55" s="12"/>
      <c r="J55" s="12"/>
      <c r="K55" s="12"/>
      <c r="L55" s="51"/>
      <c r="M55" s="12"/>
      <c r="N55" s="12"/>
      <c r="O55" s="12"/>
      <c r="P55" s="12"/>
      <c r="Q55" s="12"/>
    </row>
    <row r="56" spans="1:17" ht="15.75" customHeight="1" x14ac:dyDescent="0.15">
      <c r="A56" s="16"/>
      <c r="B56" s="43"/>
      <c r="C56" s="43"/>
      <c r="D56" s="16"/>
      <c r="E56" s="16"/>
      <c r="F56" s="16"/>
      <c r="G56" s="12"/>
      <c r="H56" s="12"/>
      <c r="I56" s="12"/>
      <c r="J56" s="12"/>
      <c r="K56" s="12"/>
      <c r="L56" s="51"/>
      <c r="M56" s="12"/>
      <c r="N56" s="12"/>
      <c r="O56" s="12"/>
      <c r="P56" s="12"/>
      <c r="Q56" s="12"/>
    </row>
    <row r="57" spans="1:17" ht="15.75" customHeight="1" x14ac:dyDescent="0.15">
      <c r="A57" s="16"/>
      <c r="B57" s="43"/>
      <c r="C57" s="43"/>
      <c r="D57" s="16"/>
      <c r="E57" s="16"/>
      <c r="F57" s="16"/>
      <c r="G57" s="12"/>
      <c r="H57" s="12"/>
      <c r="I57" s="12"/>
      <c r="J57" s="12"/>
      <c r="K57" s="12"/>
      <c r="L57" s="51"/>
      <c r="M57" s="12"/>
      <c r="N57" s="12"/>
      <c r="O57" s="12"/>
      <c r="P57" s="12"/>
      <c r="Q57" s="12"/>
    </row>
    <row r="58" spans="1:17" ht="15.75" customHeight="1" x14ac:dyDescent="0.15">
      <c r="A58" s="16"/>
      <c r="B58" s="43"/>
      <c r="C58" s="43"/>
      <c r="D58" s="16"/>
      <c r="E58" s="16"/>
      <c r="F58" s="16"/>
      <c r="G58" s="12"/>
      <c r="H58" s="12"/>
      <c r="I58" s="12"/>
      <c r="J58" s="12"/>
      <c r="K58" s="12"/>
      <c r="L58" s="51"/>
      <c r="M58" s="12"/>
      <c r="N58" s="12"/>
      <c r="O58" s="12"/>
      <c r="P58" s="12"/>
      <c r="Q58" s="12"/>
    </row>
    <row r="59" spans="1:17" ht="15.75" customHeight="1" x14ac:dyDescent="0.15">
      <c r="A59" s="16"/>
      <c r="B59" s="43"/>
      <c r="C59" s="43"/>
      <c r="D59" s="16"/>
      <c r="E59" s="16"/>
      <c r="F59" s="16"/>
      <c r="G59" s="12"/>
      <c r="H59" s="12"/>
      <c r="I59" s="12"/>
      <c r="J59" s="12"/>
      <c r="K59" s="12"/>
      <c r="L59" s="51"/>
      <c r="M59" s="12"/>
      <c r="N59" s="12"/>
      <c r="O59" s="12"/>
      <c r="P59" s="12"/>
      <c r="Q59" s="12"/>
    </row>
    <row r="60" spans="1:17" ht="15.75" customHeight="1" x14ac:dyDescent="0.15">
      <c r="A60" s="16"/>
      <c r="B60" s="43"/>
      <c r="C60" s="43"/>
      <c r="D60" s="16"/>
      <c r="E60" s="16"/>
      <c r="F60" s="16"/>
      <c r="G60" s="12"/>
      <c r="H60" s="12"/>
      <c r="I60" s="12"/>
      <c r="J60" s="12"/>
      <c r="K60" s="12"/>
      <c r="L60" s="51"/>
      <c r="M60" s="12"/>
      <c r="N60" s="12"/>
      <c r="O60" s="12"/>
      <c r="P60" s="12"/>
      <c r="Q60" s="12"/>
    </row>
    <row r="61" spans="1:17" ht="15.75" customHeight="1" x14ac:dyDescent="0.15">
      <c r="A61" s="16"/>
      <c r="B61" s="43"/>
      <c r="C61" s="43"/>
      <c r="D61" s="16"/>
      <c r="E61" s="16"/>
      <c r="F61" s="16"/>
      <c r="G61" s="12"/>
      <c r="H61" s="12"/>
      <c r="I61" s="12"/>
      <c r="J61" s="12"/>
      <c r="K61" s="12"/>
      <c r="L61" s="51"/>
      <c r="M61" s="12"/>
      <c r="N61" s="12"/>
      <c r="O61" s="12"/>
      <c r="P61" s="12"/>
      <c r="Q61" s="12"/>
    </row>
    <row r="62" spans="1:17" ht="15.75" customHeight="1" x14ac:dyDescent="0.15">
      <c r="A62" s="16"/>
      <c r="B62" s="43"/>
      <c r="C62" s="43"/>
      <c r="D62" s="16"/>
      <c r="E62" s="16"/>
      <c r="F62" s="16"/>
      <c r="G62" s="12"/>
      <c r="H62" s="12"/>
      <c r="I62" s="12"/>
      <c r="J62" s="12"/>
      <c r="K62" s="12"/>
      <c r="L62" s="51"/>
      <c r="M62" s="12"/>
      <c r="N62" s="12"/>
      <c r="O62" s="12"/>
      <c r="P62" s="12"/>
      <c r="Q62" s="12"/>
    </row>
    <row r="63" spans="1:17" ht="15.75" customHeight="1" x14ac:dyDescent="0.15">
      <c r="A63" s="16"/>
      <c r="B63" s="43"/>
      <c r="C63" s="43"/>
      <c r="D63" s="16"/>
      <c r="E63" s="16"/>
      <c r="F63" s="16"/>
      <c r="G63" s="12"/>
      <c r="H63" s="12"/>
      <c r="I63" s="12"/>
      <c r="J63" s="12"/>
      <c r="K63" s="12"/>
      <c r="L63" s="51"/>
      <c r="M63" s="12"/>
      <c r="N63" s="12"/>
      <c r="O63" s="12"/>
      <c r="P63" s="12"/>
      <c r="Q63" s="12"/>
    </row>
    <row r="64" spans="1:17" ht="15.75" customHeight="1" x14ac:dyDescent="0.15">
      <c r="A64" s="16"/>
      <c r="B64" s="43"/>
      <c r="C64" s="43"/>
      <c r="D64" s="16"/>
      <c r="E64" s="16"/>
      <c r="F64" s="16"/>
      <c r="G64" s="12"/>
      <c r="H64" s="12"/>
      <c r="I64" s="12"/>
      <c r="J64" s="12"/>
      <c r="K64" s="12"/>
      <c r="L64" s="51"/>
      <c r="M64" s="12"/>
      <c r="N64" s="12"/>
      <c r="O64" s="12"/>
      <c r="P64" s="12"/>
      <c r="Q64" s="12"/>
    </row>
    <row r="65" spans="1:17" ht="15.75" customHeight="1" x14ac:dyDescent="0.15">
      <c r="A65" s="16"/>
      <c r="B65" s="43"/>
      <c r="C65" s="43"/>
      <c r="D65" s="16"/>
      <c r="E65" s="16"/>
      <c r="F65" s="16"/>
      <c r="G65" s="12"/>
      <c r="H65" s="12"/>
      <c r="I65" s="12"/>
      <c r="J65" s="12"/>
      <c r="K65" s="12"/>
      <c r="L65" s="51"/>
      <c r="M65" s="12"/>
      <c r="N65" s="12"/>
      <c r="O65" s="12"/>
      <c r="P65" s="12"/>
      <c r="Q65" s="12"/>
    </row>
    <row r="66" spans="1:17" ht="15.75" customHeight="1" x14ac:dyDescent="0.15">
      <c r="A66" s="16"/>
      <c r="B66" s="43"/>
      <c r="C66" s="43"/>
      <c r="D66" s="16"/>
      <c r="E66" s="16"/>
      <c r="F66" s="16"/>
      <c r="G66" s="12"/>
      <c r="H66" s="12"/>
      <c r="I66" s="12"/>
      <c r="J66" s="12"/>
      <c r="K66" s="12"/>
      <c r="L66" s="51"/>
      <c r="M66" s="12"/>
      <c r="N66" s="12"/>
      <c r="O66" s="12"/>
      <c r="P66" s="12"/>
      <c r="Q66" s="12"/>
    </row>
    <row r="67" spans="1:17" ht="15.75" customHeight="1" x14ac:dyDescent="0.15">
      <c r="A67" s="16"/>
      <c r="B67" s="43"/>
      <c r="C67" s="43"/>
      <c r="D67" s="16"/>
      <c r="E67" s="16"/>
      <c r="F67" s="16"/>
      <c r="G67" s="12"/>
      <c r="H67" s="12"/>
      <c r="I67" s="12"/>
      <c r="J67" s="12"/>
      <c r="K67" s="12"/>
      <c r="L67" s="51"/>
      <c r="M67" s="12"/>
      <c r="N67" s="12"/>
      <c r="O67" s="12"/>
      <c r="P67" s="12"/>
      <c r="Q67" s="12"/>
    </row>
    <row r="68" spans="1:17" ht="15.75" customHeight="1" x14ac:dyDescent="0.15">
      <c r="A68" s="16"/>
      <c r="B68" s="43"/>
      <c r="C68" s="43"/>
      <c r="D68" s="16"/>
      <c r="E68" s="16"/>
      <c r="F68" s="16"/>
      <c r="G68" s="12"/>
      <c r="H68" s="12"/>
      <c r="I68" s="12"/>
      <c r="J68" s="12"/>
      <c r="K68" s="12"/>
      <c r="L68" s="51"/>
      <c r="M68" s="12"/>
      <c r="N68" s="12"/>
      <c r="O68" s="12"/>
      <c r="P68" s="12"/>
      <c r="Q68" s="12"/>
    </row>
    <row r="69" spans="1:17" ht="15.75" customHeight="1" x14ac:dyDescent="0.15">
      <c r="A69" s="16"/>
      <c r="B69" s="43"/>
      <c r="C69" s="43"/>
      <c r="D69" s="16"/>
      <c r="E69" s="16"/>
      <c r="F69" s="16"/>
      <c r="G69" s="12"/>
      <c r="H69" s="12"/>
      <c r="I69" s="12"/>
      <c r="J69" s="12"/>
      <c r="K69" s="12"/>
      <c r="L69" s="51"/>
      <c r="M69" s="12"/>
      <c r="N69" s="12"/>
      <c r="O69" s="12"/>
      <c r="P69" s="12"/>
      <c r="Q69" s="12"/>
    </row>
    <row r="70" spans="1:17" ht="15.75" customHeight="1" x14ac:dyDescent="0.15">
      <c r="A70" s="16"/>
      <c r="B70" s="43"/>
      <c r="C70" s="43"/>
      <c r="D70" s="16"/>
      <c r="E70" s="16"/>
      <c r="F70" s="16"/>
      <c r="G70" s="12"/>
      <c r="H70" s="12"/>
      <c r="I70" s="12"/>
      <c r="J70" s="12"/>
      <c r="K70" s="12"/>
      <c r="L70" s="51"/>
      <c r="M70" s="12"/>
      <c r="N70" s="12"/>
      <c r="O70" s="12"/>
      <c r="P70" s="12"/>
      <c r="Q70" s="12"/>
    </row>
    <row r="71" spans="1:17" ht="15.75" customHeight="1" x14ac:dyDescent="0.15">
      <c r="A71" s="16"/>
      <c r="B71" s="43"/>
      <c r="C71" s="43"/>
      <c r="D71" s="16"/>
      <c r="E71" s="16"/>
      <c r="F71" s="16"/>
      <c r="G71" s="12"/>
      <c r="H71" s="12"/>
      <c r="I71" s="12"/>
      <c r="J71" s="12"/>
      <c r="K71" s="12"/>
      <c r="L71" s="51"/>
      <c r="M71" s="12"/>
      <c r="N71" s="12"/>
      <c r="O71" s="12"/>
      <c r="P71" s="12"/>
      <c r="Q71" s="12"/>
    </row>
    <row r="72" spans="1:17" ht="15.75" customHeight="1" x14ac:dyDescent="0.15">
      <c r="A72" s="16"/>
      <c r="B72" s="43"/>
      <c r="C72" s="43"/>
      <c r="D72" s="16"/>
      <c r="E72" s="16"/>
      <c r="F72" s="16"/>
      <c r="G72" s="12"/>
      <c r="H72" s="12"/>
      <c r="I72" s="12"/>
      <c r="J72" s="12"/>
      <c r="K72" s="12"/>
      <c r="L72" s="51"/>
      <c r="M72" s="12"/>
      <c r="N72" s="12"/>
      <c r="O72" s="12"/>
      <c r="P72" s="12"/>
      <c r="Q72" s="12"/>
    </row>
    <row r="73" spans="1:17" ht="15.75" customHeight="1" x14ac:dyDescent="0.15">
      <c r="A73" s="16"/>
      <c r="B73" s="43"/>
      <c r="C73" s="43"/>
      <c r="D73" s="16"/>
      <c r="E73" s="16"/>
      <c r="F73" s="16"/>
      <c r="G73" s="12"/>
      <c r="H73" s="12"/>
      <c r="I73" s="12"/>
      <c r="J73" s="12"/>
      <c r="K73" s="12"/>
      <c r="L73" s="51"/>
      <c r="M73" s="12"/>
      <c r="N73" s="12"/>
      <c r="O73" s="12"/>
      <c r="P73" s="12"/>
      <c r="Q73" s="12"/>
    </row>
    <row r="74" spans="1:17" ht="15.75" customHeight="1" x14ac:dyDescent="0.15">
      <c r="A74" s="16"/>
      <c r="B74" s="43"/>
      <c r="C74" s="43"/>
      <c r="D74" s="16"/>
      <c r="E74" s="16"/>
      <c r="F74" s="16"/>
      <c r="G74" s="12"/>
      <c r="H74" s="12"/>
      <c r="I74" s="12"/>
      <c r="J74" s="12"/>
      <c r="K74" s="12"/>
      <c r="L74" s="51"/>
      <c r="M74" s="12"/>
      <c r="N74" s="12"/>
      <c r="O74" s="12"/>
      <c r="P74" s="12"/>
      <c r="Q74" s="12"/>
    </row>
    <row r="75" spans="1:17" ht="15.75" customHeight="1" x14ac:dyDescent="0.15">
      <c r="A75" s="16"/>
      <c r="B75" s="43"/>
      <c r="C75" s="43"/>
      <c r="D75" s="16"/>
      <c r="E75" s="16"/>
      <c r="F75" s="16"/>
      <c r="G75" s="12"/>
      <c r="H75" s="12"/>
      <c r="I75" s="12"/>
      <c r="J75" s="12"/>
      <c r="K75" s="12"/>
      <c r="L75" s="51"/>
      <c r="M75" s="12"/>
      <c r="N75" s="12"/>
      <c r="O75" s="12"/>
      <c r="P75" s="12"/>
      <c r="Q75" s="12"/>
    </row>
    <row r="76" spans="1:17" ht="15.75" customHeight="1" x14ac:dyDescent="0.15">
      <c r="A76" s="16"/>
      <c r="B76" s="43"/>
      <c r="C76" s="43"/>
      <c r="D76" s="16"/>
      <c r="E76" s="16"/>
      <c r="F76" s="16"/>
      <c r="G76" s="12"/>
      <c r="H76" s="12"/>
      <c r="I76" s="12"/>
      <c r="J76" s="12"/>
      <c r="K76" s="12"/>
      <c r="L76" s="51"/>
      <c r="M76" s="12"/>
      <c r="N76" s="12"/>
      <c r="O76" s="12"/>
      <c r="P76" s="12"/>
      <c r="Q76" s="12"/>
    </row>
    <row r="77" spans="1:17" ht="15.75" customHeight="1" x14ac:dyDescent="0.15">
      <c r="A77" s="16"/>
      <c r="B77" s="43"/>
      <c r="C77" s="43"/>
      <c r="D77" s="16"/>
      <c r="E77" s="16"/>
      <c r="F77" s="16"/>
      <c r="G77" s="12"/>
      <c r="H77" s="12"/>
      <c r="I77" s="12"/>
      <c r="J77" s="12"/>
      <c r="K77" s="12"/>
      <c r="L77" s="51"/>
      <c r="M77" s="12"/>
      <c r="N77" s="12"/>
      <c r="O77" s="12"/>
      <c r="P77" s="12"/>
      <c r="Q77" s="12"/>
    </row>
    <row r="78" spans="1:17" ht="15.75" customHeight="1" x14ac:dyDescent="0.15">
      <c r="A78" s="16"/>
      <c r="B78" s="43"/>
      <c r="C78" s="43"/>
      <c r="D78" s="16"/>
      <c r="E78" s="16"/>
      <c r="F78" s="16"/>
      <c r="G78" s="12"/>
      <c r="H78" s="12"/>
      <c r="I78" s="12"/>
      <c r="J78" s="12"/>
      <c r="K78" s="12"/>
      <c r="L78" s="51"/>
      <c r="M78" s="12"/>
      <c r="N78" s="12"/>
      <c r="O78" s="12"/>
      <c r="P78" s="12"/>
      <c r="Q78" s="12"/>
    </row>
    <row r="79" spans="1:17" ht="15.75" customHeight="1" x14ac:dyDescent="0.15">
      <c r="A79" s="16"/>
      <c r="B79" s="43"/>
      <c r="C79" s="43"/>
      <c r="D79" s="16"/>
      <c r="E79" s="16"/>
      <c r="F79" s="16"/>
      <c r="G79" s="12"/>
      <c r="H79" s="12"/>
      <c r="I79" s="12"/>
      <c r="J79" s="12"/>
      <c r="K79" s="12"/>
      <c r="L79" s="51"/>
      <c r="M79" s="12"/>
      <c r="N79" s="12"/>
      <c r="O79" s="12"/>
      <c r="P79" s="12"/>
      <c r="Q79" s="12"/>
    </row>
    <row r="80" spans="1:17" ht="15.75" customHeight="1" x14ac:dyDescent="0.15">
      <c r="A80" s="16"/>
      <c r="B80" s="43"/>
      <c r="C80" s="43"/>
      <c r="D80" s="16"/>
      <c r="E80" s="16"/>
      <c r="F80" s="16"/>
      <c r="G80" s="12"/>
      <c r="H80" s="12"/>
      <c r="I80" s="12"/>
      <c r="J80" s="12"/>
      <c r="K80" s="12"/>
      <c r="L80" s="51"/>
      <c r="M80" s="12"/>
      <c r="N80" s="12"/>
      <c r="O80" s="12"/>
      <c r="P80" s="12"/>
      <c r="Q80" s="12"/>
    </row>
    <row r="81" spans="1:17" ht="15.75" customHeight="1" x14ac:dyDescent="0.15">
      <c r="A81" s="16"/>
      <c r="B81" s="43"/>
      <c r="C81" s="43"/>
      <c r="D81" s="16"/>
      <c r="E81" s="16"/>
      <c r="F81" s="16"/>
      <c r="G81" s="12"/>
      <c r="H81" s="12"/>
      <c r="I81" s="12"/>
      <c r="J81" s="12"/>
      <c r="K81" s="12"/>
      <c r="L81" s="51"/>
      <c r="M81" s="12"/>
      <c r="N81" s="12"/>
      <c r="O81" s="12"/>
      <c r="P81" s="12"/>
      <c r="Q81" s="12"/>
    </row>
    <row r="82" spans="1:17" ht="15.75" customHeight="1" x14ac:dyDescent="0.15">
      <c r="A82" s="16"/>
      <c r="B82" s="43"/>
      <c r="C82" s="43"/>
      <c r="D82" s="16"/>
      <c r="E82" s="16"/>
      <c r="F82" s="16"/>
      <c r="G82" s="12"/>
      <c r="H82" s="12"/>
      <c r="I82" s="12"/>
      <c r="J82" s="12"/>
      <c r="K82" s="12"/>
      <c r="L82" s="51"/>
      <c r="M82" s="12"/>
      <c r="N82" s="12"/>
      <c r="O82" s="12"/>
      <c r="P82" s="12"/>
      <c r="Q82" s="12"/>
    </row>
    <row r="83" spans="1:17" ht="15.75" customHeight="1" x14ac:dyDescent="0.15">
      <c r="A83" s="16"/>
      <c r="B83" s="43"/>
      <c r="C83" s="43"/>
      <c r="D83" s="16"/>
      <c r="E83" s="16"/>
      <c r="F83" s="16"/>
      <c r="G83" s="12"/>
      <c r="H83" s="12"/>
      <c r="I83" s="12"/>
      <c r="J83" s="12"/>
      <c r="K83" s="12"/>
      <c r="L83" s="51"/>
      <c r="M83" s="12"/>
      <c r="N83" s="12"/>
      <c r="O83" s="12"/>
      <c r="P83" s="12"/>
      <c r="Q83" s="12"/>
    </row>
    <row r="84" spans="1:17" ht="15.75" customHeight="1" x14ac:dyDescent="0.15">
      <c r="A84" s="16"/>
      <c r="B84" s="43"/>
      <c r="C84" s="43"/>
      <c r="D84" s="16"/>
      <c r="E84" s="16"/>
      <c r="F84" s="16"/>
      <c r="G84" s="12"/>
      <c r="H84" s="12"/>
      <c r="I84" s="12"/>
      <c r="J84" s="12"/>
      <c r="K84" s="12"/>
      <c r="L84" s="51"/>
      <c r="M84" s="12"/>
      <c r="N84" s="12"/>
      <c r="O84" s="12"/>
      <c r="P84" s="12"/>
      <c r="Q84" s="12"/>
    </row>
    <row r="85" spans="1:17" ht="15.75" customHeight="1" x14ac:dyDescent="0.15">
      <c r="A85" s="16"/>
      <c r="B85" s="43"/>
      <c r="C85" s="43"/>
      <c r="D85" s="16"/>
      <c r="E85" s="16"/>
      <c r="F85" s="16"/>
      <c r="G85" s="12"/>
      <c r="H85" s="12"/>
      <c r="I85" s="12"/>
      <c r="J85" s="12"/>
      <c r="K85" s="12"/>
      <c r="L85" s="51"/>
      <c r="M85" s="12"/>
      <c r="N85" s="12"/>
      <c r="O85" s="12"/>
      <c r="P85" s="12"/>
      <c r="Q85" s="12"/>
    </row>
    <row r="86" spans="1:17" ht="15.75" customHeight="1" x14ac:dyDescent="0.15">
      <c r="A86" s="16"/>
      <c r="B86" s="43"/>
      <c r="C86" s="43"/>
      <c r="D86" s="16"/>
      <c r="E86" s="16"/>
      <c r="F86" s="16"/>
      <c r="G86" s="12"/>
      <c r="H86" s="12"/>
      <c r="I86" s="12"/>
      <c r="J86" s="12"/>
      <c r="K86" s="12"/>
      <c r="L86" s="51"/>
      <c r="M86" s="12"/>
      <c r="N86" s="12"/>
      <c r="O86" s="12"/>
      <c r="P86" s="12"/>
      <c r="Q86" s="12"/>
    </row>
    <row r="87" spans="1:17" ht="15.75" customHeight="1" x14ac:dyDescent="0.15">
      <c r="A87" s="16"/>
      <c r="B87" s="43"/>
      <c r="C87" s="43"/>
      <c r="D87" s="16"/>
      <c r="E87" s="16"/>
      <c r="F87" s="16"/>
      <c r="G87" s="12"/>
      <c r="H87" s="12"/>
      <c r="I87" s="12"/>
      <c r="J87" s="12"/>
      <c r="K87" s="12"/>
      <c r="L87" s="51"/>
      <c r="M87" s="12"/>
      <c r="N87" s="12"/>
      <c r="O87" s="12"/>
      <c r="P87" s="12"/>
      <c r="Q87" s="12"/>
    </row>
    <row r="88" spans="1:17" ht="15.75" customHeight="1" x14ac:dyDescent="0.15">
      <c r="A88" s="16"/>
      <c r="B88" s="43"/>
      <c r="C88" s="43"/>
      <c r="D88" s="16"/>
      <c r="E88" s="16"/>
      <c r="F88" s="16"/>
      <c r="G88" s="12"/>
      <c r="H88" s="12"/>
      <c r="I88" s="12"/>
      <c r="J88" s="12"/>
      <c r="K88" s="12"/>
      <c r="L88" s="51"/>
      <c r="M88" s="12"/>
      <c r="N88" s="12"/>
      <c r="O88" s="12"/>
      <c r="P88" s="12"/>
      <c r="Q88" s="12"/>
    </row>
    <row r="89" spans="1:17" ht="15.75" customHeight="1" x14ac:dyDescent="0.15">
      <c r="A89" s="16"/>
      <c r="B89" s="43"/>
      <c r="C89" s="43"/>
      <c r="D89" s="16"/>
      <c r="E89" s="16"/>
      <c r="F89" s="16"/>
      <c r="G89" s="12"/>
      <c r="H89" s="12"/>
      <c r="I89" s="12"/>
      <c r="J89" s="12"/>
      <c r="K89" s="12"/>
      <c r="L89" s="51"/>
      <c r="M89" s="12"/>
      <c r="N89" s="12"/>
      <c r="O89" s="12"/>
      <c r="P89" s="12"/>
      <c r="Q89" s="12"/>
    </row>
    <row r="90" spans="1:17" ht="15.75" customHeight="1" x14ac:dyDescent="0.15">
      <c r="A90" s="16"/>
      <c r="B90" s="43"/>
      <c r="C90" s="43"/>
      <c r="D90" s="16"/>
      <c r="E90" s="16"/>
      <c r="F90" s="16"/>
      <c r="G90" s="12"/>
      <c r="H90" s="12"/>
      <c r="I90" s="12"/>
      <c r="J90" s="12"/>
      <c r="K90" s="12"/>
      <c r="L90" s="51"/>
      <c r="M90" s="12"/>
      <c r="N90" s="12"/>
      <c r="O90" s="12"/>
      <c r="P90" s="12"/>
      <c r="Q90" s="12"/>
    </row>
    <row r="91" spans="1:17" ht="15.75" customHeight="1" x14ac:dyDescent="0.15">
      <c r="A91" s="16"/>
      <c r="B91" s="43"/>
      <c r="C91" s="43"/>
      <c r="D91" s="16"/>
      <c r="E91" s="16"/>
      <c r="F91" s="16"/>
      <c r="G91" s="12"/>
      <c r="H91" s="12"/>
      <c r="I91" s="12"/>
      <c r="J91" s="12"/>
      <c r="K91" s="12"/>
      <c r="L91" s="51"/>
      <c r="M91" s="12"/>
      <c r="N91" s="12"/>
      <c r="O91" s="12"/>
      <c r="P91" s="12"/>
      <c r="Q91" s="12"/>
    </row>
    <row r="92" spans="1:17" ht="15.75" customHeight="1" x14ac:dyDescent="0.15">
      <c r="A92" s="16"/>
      <c r="B92" s="43"/>
      <c r="C92" s="43"/>
      <c r="D92" s="16"/>
      <c r="E92" s="16"/>
      <c r="F92" s="16"/>
      <c r="G92" s="12"/>
      <c r="H92" s="12"/>
      <c r="I92" s="12"/>
      <c r="J92" s="12"/>
      <c r="K92" s="12"/>
      <c r="L92" s="51"/>
      <c r="M92" s="12"/>
      <c r="N92" s="12"/>
      <c r="O92" s="12"/>
      <c r="P92" s="12"/>
      <c r="Q92" s="12"/>
    </row>
    <row r="93" spans="1:17" ht="15.75" customHeight="1" x14ac:dyDescent="0.15">
      <c r="A93" s="16"/>
      <c r="B93" s="43"/>
      <c r="C93" s="43"/>
      <c r="D93" s="16"/>
      <c r="E93" s="16"/>
      <c r="F93" s="16"/>
      <c r="G93" s="12"/>
      <c r="H93" s="12"/>
      <c r="I93" s="12"/>
      <c r="J93" s="12"/>
      <c r="K93" s="12"/>
      <c r="L93" s="51"/>
      <c r="M93" s="12"/>
      <c r="N93" s="12"/>
      <c r="O93" s="12"/>
      <c r="P93" s="12"/>
      <c r="Q93" s="12"/>
    </row>
    <row r="94" spans="1:17" ht="15.75" customHeight="1" x14ac:dyDescent="0.15">
      <c r="A94" s="16"/>
      <c r="B94" s="43"/>
      <c r="C94" s="43"/>
      <c r="D94" s="16"/>
      <c r="E94" s="16"/>
      <c r="F94" s="16"/>
      <c r="G94" s="12"/>
      <c r="H94" s="75"/>
      <c r="I94" s="12"/>
      <c r="J94" s="12"/>
      <c r="K94" s="12"/>
      <c r="L94" s="51"/>
      <c r="M94" s="12"/>
      <c r="N94" s="12"/>
      <c r="O94" s="12"/>
      <c r="P94" s="12"/>
      <c r="Q94" s="12"/>
    </row>
    <row r="95" spans="1:17" ht="15.75" customHeight="1" x14ac:dyDescent="0.15">
      <c r="A95" s="16"/>
      <c r="B95" s="43"/>
      <c r="C95" s="43"/>
      <c r="D95" s="16"/>
      <c r="E95" s="16"/>
      <c r="F95" s="16"/>
      <c r="G95" s="12"/>
      <c r="H95" s="12"/>
      <c r="I95" s="12"/>
      <c r="J95" s="12"/>
      <c r="K95" s="12"/>
      <c r="L95" s="51"/>
      <c r="M95" s="12"/>
      <c r="N95" s="12"/>
      <c r="O95" s="12"/>
      <c r="P95" s="12"/>
      <c r="Q95" s="12"/>
    </row>
    <row r="96" spans="1:17" ht="15.75" customHeight="1" x14ac:dyDescent="0.15">
      <c r="A96" s="16"/>
      <c r="B96" s="43"/>
      <c r="C96" s="43"/>
      <c r="D96" s="16"/>
      <c r="E96" s="16"/>
      <c r="F96" s="16"/>
      <c r="G96" s="12"/>
      <c r="H96" s="12"/>
      <c r="I96" s="12"/>
      <c r="J96" s="12"/>
      <c r="K96" s="12"/>
      <c r="L96" s="51"/>
      <c r="M96" s="12"/>
      <c r="N96" s="12"/>
      <c r="O96" s="12"/>
      <c r="P96" s="12"/>
      <c r="Q96" s="12"/>
    </row>
    <row r="97" spans="1:17" ht="15.75" customHeight="1" x14ac:dyDescent="0.15">
      <c r="A97" s="16"/>
      <c r="B97" s="43"/>
      <c r="C97" s="43"/>
      <c r="D97" s="16"/>
      <c r="E97" s="16"/>
      <c r="F97" s="16"/>
      <c r="G97" s="12"/>
      <c r="H97" s="12"/>
      <c r="I97" s="12"/>
      <c r="J97" s="12"/>
      <c r="K97" s="12"/>
      <c r="L97" s="51"/>
      <c r="M97" s="12"/>
      <c r="N97" s="12"/>
      <c r="O97" s="12"/>
      <c r="P97" s="12"/>
      <c r="Q97" s="12"/>
    </row>
    <row r="98" spans="1:17" ht="15.75" customHeight="1" x14ac:dyDescent="0.15">
      <c r="A98" s="16"/>
      <c r="B98" s="43"/>
      <c r="C98" s="43"/>
      <c r="D98" s="16"/>
      <c r="E98" s="16"/>
      <c r="F98" s="16"/>
      <c r="G98" s="12"/>
      <c r="H98" s="12"/>
      <c r="I98" s="12"/>
      <c r="J98" s="12"/>
      <c r="K98" s="12"/>
      <c r="L98" s="51"/>
      <c r="M98" s="12"/>
      <c r="N98" s="12"/>
      <c r="O98" s="12"/>
      <c r="P98" s="12"/>
      <c r="Q98" s="12"/>
    </row>
    <row r="99" spans="1:17" ht="15.75" customHeight="1" x14ac:dyDescent="0.15">
      <c r="A99" s="16"/>
      <c r="B99" s="43"/>
      <c r="C99" s="43"/>
      <c r="D99" s="16"/>
      <c r="E99" s="16"/>
      <c r="F99" s="16"/>
      <c r="G99" s="12"/>
      <c r="H99" s="12"/>
      <c r="I99" s="12"/>
      <c r="J99" s="12"/>
      <c r="K99" s="12"/>
      <c r="L99" s="51"/>
      <c r="M99" s="12"/>
      <c r="N99" s="12"/>
      <c r="O99" s="12"/>
      <c r="P99" s="12"/>
      <c r="Q99" s="12"/>
    </row>
    <row r="100" spans="1:17" ht="15.75" customHeight="1" x14ac:dyDescent="0.15">
      <c r="A100" s="16"/>
      <c r="B100" s="43"/>
      <c r="C100" s="43"/>
      <c r="D100" s="16"/>
      <c r="E100" s="16"/>
      <c r="F100" s="16"/>
      <c r="G100" s="12"/>
      <c r="H100" s="12"/>
      <c r="I100" s="12"/>
      <c r="J100" s="12"/>
      <c r="K100" s="12"/>
      <c r="L100" s="51"/>
      <c r="M100" s="12"/>
      <c r="N100" s="12"/>
      <c r="O100" s="12"/>
      <c r="P100" s="12"/>
      <c r="Q100" s="12"/>
    </row>
    <row r="101" spans="1:17" ht="15.75" customHeight="1" x14ac:dyDescent="0.15">
      <c r="A101" s="16"/>
      <c r="B101" s="43"/>
      <c r="C101" s="43"/>
      <c r="D101" s="16"/>
      <c r="E101" s="16"/>
      <c r="F101" s="16"/>
      <c r="G101" s="12"/>
      <c r="H101" s="12"/>
      <c r="I101" s="12"/>
      <c r="J101" s="12"/>
      <c r="K101" s="12"/>
      <c r="L101" s="51"/>
      <c r="M101" s="12"/>
      <c r="N101" s="12"/>
      <c r="O101" s="12"/>
      <c r="P101" s="12"/>
      <c r="Q101" s="12"/>
    </row>
    <row r="102" spans="1:17" ht="15.75" customHeight="1" x14ac:dyDescent="0.15">
      <c r="A102" s="16"/>
      <c r="B102" s="43"/>
      <c r="C102" s="43"/>
      <c r="D102" s="16"/>
      <c r="E102" s="16"/>
      <c r="F102" s="16"/>
      <c r="G102" s="12"/>
      <c r="H102" s="12"/>
      <c r="I102" s="12"/>
      <c r="J102" s="12"/>
      <c r="K102" s="12"/>
      <c r="L102" s="51"/>
      <c r="M102" s="12"/>
      <c r="N102" s="12"/>
      <c r="O102" s="12"/>
      <c r="P102" s="12"/>
      <c r="Q102" s="12"/>
    </row>
    <row r="103" spans="1:17" ht="15.75" customHeight="1" x14ac:dyDescent="0.15">
      <c r="A103" s="16"/>
      <c r="B103" s="43"/>
      <c r="C103" s="43"/>
      <c r="D103" s="16"/>
      <c r="E103" s="16"/>
      <c r="F103" s="16"/>
      <c r="G103" s="12"/>
      <c r="H103" s="12"/>
      <c r="I103" s="12"/>
      <c r="J103" s="12"/>
      <c r="K103" s="12"/>
      <c r="L103" s="51"/>
      <c r="M103" s="12"/>
      <c r="N103" s="12"/>
      <c r="O103" s="12"/>
      <c r="P103" s="12"/>
      <c r="Q103" s="12"/>
    </row>
    <row r="104" spans="1:17" ht="15.75" customHeight="1" x14ac:dyDescent="0.15">
      <c r="A104" s="16"/>
      <c r="B104" s="43"/>
      <c r="C104" s="43"/>
      <c r="D104" s="16"/>
      <c r="E104" s="16"/>
      <c r="F104" s="16"/>
      <c r="G104" s="12"/>
      <c r="H104" s="12"/>
      <c r="I104" s="12"/>
      <c r="J104" s="12"/>
      <c r="K104" s="12"/>
      <c r="L104" s="51"/>
      <c r="M104" s="12"/>
      <c r="N104" s="12"/>
      <c r="O104" s="12"/>
      <c r="P104" s="12"/>
      <c r="Q104" s="12"/>
    </row>
    <row r="105" spans="1:17" ht="15.75" customHeight="1" x14ac:dyDescent="0.15">
      <c r="A105" s="16"/>
      <c r="B105" s="43"/>
      <c r="C105" s="43"/>
      <c r="D105" s="16"/>
      <c r="E105" s="16"/>
      <c r="F105" s="16"/>
      <c r="G105" s="12"/>
      <c r="H105" s="12"/>
      <c r="I105" s="12"/>
      <c r="J105" s="12"/>
      <c r="K105" s="12"/>
      <c r="L105" s="51"/>
      <c r="M105" s="12"/>
      <c r="N105" s="12"/>
      <c r="O105" s="12"/>
      <c r="P105" s="12"/>
      <c r="Q105" s="12"/>
    </row>
    <row r="106" spans="1:17" ht="15.75" customHeight="1" x14ac:dyDescent="0.15">
      <c r="A106" s="16"/>
      <c r="B106" s="43"/>
      <c r="C106" s="43"/>
      <c r="D106" s="16"/>
      <c r="E106" s="16"/>
      <c r="F106" s="16"/>
      <c r="G106" s="12"/>
      <c r="H106" s="12"/>
      <c r="I106" s="12"/>
      <c r="J106" s="12"/>
      <c r="K106" s="12"/>
      <c r="L106" s="51"/>
      <c r="M106" s="12"/>
      <c r="N106" s="12"/>
      <c r="O106" s="12"/>
      <c r="P106" s="12"/>
      <c r="Q106" s="12"/>
    </row>
    <row r="107" spans="1:17" ht="15.75" customHeight="1" x14ac:dyDescent="0.15">
      <c r="A107" s="16"/>
      <c r="B107" s="43"/>
      <c r="C107" s="43"/>
      <c r="D107" s="16"/>
      <c r="E107" s="16"/>
      <c r="F107" s="16"/>
      <c r="G107" s="12"/>
      <c r="H107" s="12"/>
      <c r="I107" s="12"/>
      <c r="J107" s="12"/>
      <c r="K107" s="12"/>
      <c r="L107" s="51"/>
      <c r="M107" s="12"/>
      <c r="N107" s="12"/>
      <c r="O107" s="12"/>
      <c r="P107" s="12"/>
      <c r="Q107" s="12"/>
    </row>
    <row r="108" spans="1:17" ht="15.75" customHeight="1" x14ac:dyDescent="0.15">
      <c r="A108" s="16"/>
      <c r="B108" s="43"/>
      <c r="C108" s="43"/>
      <c r="D108" s="16"/>
      <c r="E108" s="16"/>
      <c r="F108" s="16"/>
      <c r="G108" s="12"/>
      <c r="H108" s="12"/>
      <c r="I108" s="12"/>
      <c r="J108" s="12"/>
      <c r="K108" s="12"/>
      <c r="L108" s="51"/>
      <c r="M108" s="12"/>
      <c r="N108" s="12"/>
      <c r="O108" s="12"/>
      <c r="P108" s="12"/>
      <c r="Q108" s="12"/>
    </row>
    <row r="109" spans="1:17" ht="15.75" customHeight="1" x14ac:dyDescent="0.15">
      <c r="A109" s="16"/>
      <c r="B109" s="43"/>
      <c r="C109" s="43"/>
      <c r="D109" s="16"/>
      <c r="E109" s="16"/>
      <c r="F109" s="16"/>
      <c r="G109" s="12"/>
      <c r="H109" s="12"/>
      <c r="I109" s="12"/>
      <c r="J109" s="12"/>
      <c r="K109" s="12"/>
      <c r="L109" s="51"/>
      <c r="M109" s="12"/>
      <c r="N109" s="12"/>
      <c r="O109" s="12"/>
      <c r="P109" s="12"/>
      <c r="Q109" s="12"/>
    </row>
    <row r="110" spans="1:17" ht="15.75" customHeight="1" x14ac:dyDescent="0.15">
      <c r="A110" s="16"/>
      <c r="B110" s="43"/>
      <c r="C110" s="43"/>
      <c r="D110" s="16"/>
      <c r="E110" s="16"/>
      <c r="F110" s="16"/>
      <c r="G110" s="12"/>
      <c r="H110" s="12"/>
      <c r="I110" s="12"/>
      <c r="J110" s="12"/>
      <c r="K110" s="12"/>
      <c r="L110" s="51"/>
      <c r="M110" s="12"/>
      <c r="N110" s="12"/>
      <c r="O110" s="12"/>
      <c r="P110" s="12"/>
      <c r="Q110" s="12"/>
    </row>
    <row r="111" spans="1:17" ht="15.75" customHeight="1" x14ac:dyDescent="0.15">
      <c r="A111" s="16"/>
      <c r="B111" s="43"/>
      <c r="C111" s="43"/>
      <c r="D111" s="16"/>
      <c r="E111" s="16"/>
      <c r="F111" s="16"/>
      <c r="G111" s="12"/>
      <c r="H111" s="12"/>
      <c r="I111" s="12"/>
      <c r="J111" s="12"/>
      <c r="K111" s="12"/>
      <c r="L111" s="51"/>
      <c r="M111" s="12"/>
      <c r="N111" s="12"/>
      <c r="O111" s="12"/>
      <c r="P111" s="12"/>
      <c r="Q111" s="12"/>
    </row>
    <row r="112" spans="1:17" ht="15.75" customHeight="1" x14ac:dyDescent="0.15">
      <c r="A112" s="16"/>
      <c r="B112" s="43"/>
      <c r="C112" s="43"/>
      <c r="D112" s="16"/>
      <c r="E112" s="16"/>
      <c r="F112" s="16"/>
      <c r="G112" s="12"/>
      <c r="H112" s="12"/>
      <c r="I112" s="12"/>
      <c r="J112" s="12"/>
      <c r="K112" s="12"/>
      <c r="L112" s="51"/>
      <c r="M112" s="12"/>
      <c r="N112" s="12"/>
      <c r="O112" s="12"/>
      <c r="P112" s="12"/>
      <c r="Q112" s="12"/>
    </row>
    <row r="113" spans="1:17" ht="15.75" customHeight="1" x14ac:dyDescent="0.15">
      <c r="A113" s="16"/>
      <c r="B113" s="43"/>
      <c r="C113" s="43"/>
      <c r="D113" s="16"/>
      <c r="E113" s="16"/>
      <c r="F113" s="16"/>
      <c r="G113" s="12"/>
      <c r="H113" s="12"/>
      <c r="I113" s="12"/>
      <c r="J113" s="12"/>
      <c r="K113" s="12"/>
      <c r="L113" s="51"/>
      <c r="M113" s="12"/>
      <c r="N113" s="12"/>
      <c r="O113" s="12"/>
      <c r="P113" s="12"/>
      <c r="Q113" s="12"/>
    </row>
    <row r="114" spans="1:17" ht="15.75" customHeight="1" x14ac:dyDescent="0.15">
      <c r="A114" s="16"/>
      <c r="B114" s="43"/>
      <c r="C114" s="43"/>
      <c r="D114" s="16"/>
      <c r="E114" s="16"/>
      <c r="F114" s="16"/>
      <c r="G114" s="12"/>
      <c r="H114" s="12"/>
      <c r="I114" s="12"/>
      <c r="J114" s="12"/>
      <c r="K114" s="12"/>
      <c r="L114" s="51"/>
      <c r="M114" s="12"/>
      <c r="N114" s="12"/>
      <c r="O114" s="12"/>
      <c r="P114" s="12"/>
      <c r="Q114" s="12"/>
    </row>
    <row r="115" spans="1:17" ht="15.75" customHeight="1" x14ac:dyDescent="0.15">
      <c r="A115" s="16"/>
      <c r="B115" s="43"/>
      <c r="C115" s="43"/>
      <c r="D115" s="16"/>
      <c r="E115" s="16"/>
      <c r="F115" s="16"/>
      <c r="G115" s="12"/>
      <c r="H115" s="12"/>
      <c r="I115" s="12"/>
      <c r="J115" s="12"/>
      <c r="K115" s="12"/>
      <c r="L115" s="51"/>
      <c r="M115" s="12"/>
      <c r="N115" s="12"/>
      <c r="O115" s="12"/>
      <c r="P115" s="12"/>
      <c r="Q115" s="12"/>
    </row>
    <row r="116" spans="1:17" ht="15.75" customHeight="1" x14ac:dyDescent="0.15">
      <c r="A116" s="16"/>
      <c r="B116" s="43"/>
      <c r="C116" s="43"/>
      <c r="D116" s="16"/>
      <c r="E116" s="16"/>
      <c r="F116" s="16"/>
      <c r="G116" s="12"/>
      <c r="H116" s="12"/>
      <c r="I116" s="12"/>
      <c r="J116" s="12"/>
      <c r="K116" s="12"/>
      <c r="L116" s="51"/>
      <c r="M116" s="12"/>
      <c r="N116" s="12"/>
      <c r="O116" s="12"/>
      <c r="P116" s="12"/>
      <c r="Q116" s="12"/>
    </row>
    <row r="117" spans="1:17" ht="15.75" customHeight="1" x14ac:dyDescent="0.15">
      <c r="A117" s="16"/>
      <c r="B117" s="43"/>
      <c r="C117" s="43"/>
      <c r="D117" s="16"/>
      <c r="E117" s="16"/>
      <c r="F117" s="16"/>
      <c r="G117" s="12"/>
      <c r="H117" s="12"/>
      <c r="I117" s="12"/>
      <c r="J117" s="12"/>
      <c r="K117" s="12"/>
      <c r="L117" s="51"/>
      <c r="M117" s="12"/>
      <c r="N117" s="12"/>
      <c r="O117" s="12"/>
      <c r="P117" s="12"/>
      <c r="Q117" s="12"/>
    </row>
    <row r="118" spans="1:17" ht="15.75" customHeight="1" x14ac:dyDescent="0.15">
      <c r="A118" s="16"/>
      <c r="B118" s="43"/>
      <c r="C118" s="43"/>
      <c r="D118" s="16"/>
      <c r="E118" s="16"/>
      <c r="F118" s="16"/>
      <c r="G118" s="12"/>
      <c r="H118" s="12"/>
      <c r="I118" s="12"/>
      <c r="J118" s="12"/>
      <c r="K118" s="12"/>
      <c r="L118" s="51"/>
      <c r="M118" s="12"/>
      <c r="N118" s="12"/>
      <c r="O118" s="12"/>
      <c r="P118" s="12"/>
      <c r="Q118" s="12"/>
    </row>
    <row r="119" spans="1:17" ht="15.75" customHeight="1" x14ac:dyDescent="0.15">
      <c r="A119" s="16"/>
      <c r="B119" s="43"/>
      <c r="C119" s="43"/>
      <c r="D119" s="16"/>
      <c r="E119" s="16"/>
      <c r="F119" s="16"/>
      <c r="G119" s="12"/>
      <c r="H119" s="12"/>
      <c r="I119" s="12"/>
      <c r="J119" s="12"/>
      <c r="K119" s="12"/>
      <c r="L119" s="51"/>
      <c r="M119" s="12"/>
      <c r="N119" s="12"/>
      <c r="O119" s="12"/>
      <c r="P119" s="12"/>
      <c r="Q119" s="12"/>
    </row>
    <row r="120" spans="1:17" ht="15.75" customHeight="1" x14ac:dyDescent="0.15">
      <c r="A120" s="16"/>
      <c r="B120" s="43"/>
      <c r="C120" s="43"/>
      <c r="D120" s="16"/>
      <c r="E120" s="16"/>
      <c r="F120" s="16"/>
      <c r="G120" s="12"/>
      <c r="H120" s="12"/>
      <c r="I120" s="12"/>
      <c r="J120" s="12"/>
      <c r="K120" s="12"/>
      <c r="L120" s="51"/>
      <c r="M120" s="12"/>
      <c r="N120" s="12"/>
      <c r="O120" s="12"/>
      <c r="P120" s="12"/>
      <c r="Q120" s="12"/>
    </row>
    <row r="121" spans="1:17" ht="15.75" customHeight="1" x14ac:dyDescent="0.15">
      <c r="A121" s="16"/>
      <c r="B121" s="43"/>
      <c r="C121" s="43"/>
      <c r="D121" s="16"/>
      <c r="E121" s="16"/>
      <c r="F121" s="16"/>
      <c r="G121" s="12"/>
      <c r="H121" s="12"/>
      <c r="I121" s="12"/>
      <c r="J121" s="12"/>
      <c r="K121" s="12"/>
      <c r="L121" s="51"/>
      <c r="M121" s="12"/>
      <c r="N121" s="12"/>
      <c r="O121" s="12"/>
      <c r="P121" s="12"/>
      <c r="Q121" s="12"/>
    </row>
    <row r="122" spans="1:17" ht="15.75" customHeight="1" x14ac:dyDescent="0.15">
      <c r="A122" s="16"/>
      <c r="B122" s="43"/>
      <c r="C122" s="43"/>
      <c r="D122" s="16"/>
      <c r="E122" s="16"/>
      <c r="F122" s="16"/>
      <c r="G122" s="12"/>
      <c r="H122" s="12"/>
      <c r="I122" s="12"/>
      <c r="J122" s="12"/>
      <c r="K122" s="12"/>
      <c r="L122" s="51"/>
      <c r="M122" s="12"/>
      <c r="N122" s="12"/>
      <c r="O122" s="12"/>
      <c r="P122" s="12"/>
      <c r="Q122" s="12"/>
    </row>
    <row r="123" spans="1:17" ht="15.75" customHeight="1" x14ac:dyDescent="0.15">
      <c r="A123" s="16"/>
      <c r="B123" s="43"/>
      <c r="C123" s="43"/>
      <c r="D123" s="16"/>
      <c r="E123" s="16"/>
      <c r="F123" s="16"/>
      <c r="G123" s="12"/>
      <c r="H123" s="12"/>
      <c r="I123" s="12"/>
      <c r="J123" s="12"/>
      <c r="K123" s="12"/>
      <c r="L123" s="51"/>
      <c r="M123" s="12"/>
      <c r="N123" s="12"/>
      <c r="O123" s="12"/>
      <c r="P123" s="12"/>
      <c r="Q123" s="12"/>
    </row>
    <row r="124" spans="1:17" ht="15.75" customHeight="1" x14ac:dyDescent="0.15">
      <c r="A124" s="16"/>
      <c r="B124" s="43"/>
      <c r="C124" s="43"/>
      <c r="D124" s="16"/>
      <c r="E124" s="16"/>
      <c r="F124" s="16"/>
      <c r="G124" s="12"/>
      <c r="H124" s="12"/>
      <c r="I124" s="12"/>
      <c r="J124" s="12"/>
      <c r="K124" s="12"/>
      <c r="L124" s="51"/>
      <c r="M124" s="12"/>
      <c r="N124" s="12"/>
      <c r="O124" s="12"/>
      <c r="P124" s="12"/>
      <c r="Q124" s="12"/>
    </row>
    <row r="125" spans="1:17" ht="15.75" customHeight="1" x14ac:dyDescent="0.15">
      <c r="A125" s="16"/>
      <c r="B125" s="43"/>
      <c r="C125" s="43"/>
      <c r="D125" s="16"/>
      <c r="E125" s="16"/>
      <c r="F125" s="16"/>
      <c r="G125" s="12"/>
      <c r="H125" s="12"/>
      <c r="I125" s="12"/>
      <c r="J125" s="12"/>
      <c r="K125" s="12"/>
      <c r="L125" s="51"/>
      <c r="M125" s="12"/>
      <c r="N125" s="12"/>
      <c r="O125" s="12"/>
      <c r="P125" s="12"/>
      <c r="Q125" s="12"/>
    </row>
    <row r="126" spans="1:17" ht="15.75" customHeight="1" x14ac:dyDescent="0.15">
      <c r="A126" s="16"/>
      <c r="B126" s="43"/>
      <c r="C126" s="43"/>
      <c r="D126" s="16"/>
      <c r="E126" s="16"/>
      <c r="F126" s="16"/>
      <c r="G126" s="12"/>
      <c r="H126" s="12"/>
      <c r="I126" s="12"/>
      <c r="J126" s="12"/>
      <c r="K126" s="12"/>
      <c r="L126" s="51"/>
      <c r="M126" s="12"/>
      <c r="N126" s="12"/>
      <c r="O126" s="12"/>
      <c r="P126" s="12"/>
      <c r="Q126" s="12"/>
    </row>
    <row r="127" spans="1:17" ht="15.75" customHeight="1" x14ac:dyDescent="0.15">
      <c r="A127" s="16"/>
      <c r="B127" s="43"/>
      <c r="C127" s="43"/>
      <c r="D127" s="16"/>
      <c r="E127" s="16"/>
      <c r="F127" s="16"/>
      <c r="G127" s="12"/>
      <c r="H127" s="12"/>
      <c r="I127" s="12"/>
      <c r="J127" s="12"/>
      <c r="K127" s="12"/>
      <c r="L127" s="51"/>
      <c r="M127" s="12"/>
      <c r="N127" s="12"/>
      <c r="O127" s="12"/>
      <c r="P127" s="12"/>
      <c r="Q127" s="12"/>
    </row>
    <row r="128" spans="1:17" ht="15.75" customHeight="1" x14ac:dyDescent="0.15">
      <c r="A128" s="16"/>
      <c r="B128" s="43"/>
      <c r="C128" s="43"/>
      <c r="D128" s="16"/>
      <c r="E128" s="16"/>
      <c r="F128" s="16"/>
      <c r="G128" s="12"/>
      <c r="H128" s="12"/>
      <c r="I128" s="12"/>
      <c r="J128" s="12"/>
      <c r="K128" s="12"/>
      <c r="L128" s="51"/>
      <c r="M128" s="12"/>
      <c r="N128" s="12"/>
      <c r="O128" s="12"/>
      <c r="P128" s="12"/>
      <c r="Q128" s="12"/>
    </row>
    <row r="129" spans="1:17" ht="15.75" customHeight="1" x14ac:dyDescent="0.15">
      <c r="A129" s="16"/>
      <c r="B129" s="43"/>
      <c r="C129" s="43"/>
      <c r="D129" s="16"/>
      <c r="E129" s="16"/>
      <c r="F129" s="16"/>
      <c r="G129" s="12"/>
      <c r="H129" s="12"/>
      <c r="I129" s="12"/>
      <c r="J129" s="12"/>
      <c r="K129" s="12"/>
      <c r="L129" s="51"/>
      <c r="M129" s="12"/>
      <c r="N129" s="12"/>
      <c r="O129" s="12"/>
      <c r="P129" s="12"/>
      <c r="Q129" s="12"/>
    </row>
    <row r="130" spans="1:17" ht="15.75" customHeight="1" x14ac:dyDescent="0.15">
      <c r="A130" s="16"/>
      <c r="B130" s="43"/>
      <c r="C130" s="43"/>
      <c r="D130" s="16"/>
      <c r="E130" s="16"/>
      <c r="F130" s="16"/>
      <c r="G130" s="12"/>
      <c r="H130" s="12"/>
      <c r="I130" s="12"/>
      <c r="J130" s="12"/>
      <c r="K130" s="12"/>
      <c r="L130" s="51"/>
      <c r="M130" s="12"/>
      <c r="N130" s="12"/>
      <c r="O130" s="12"/>
      <c r="P130" s="12"/>
      <c r="Q130" s="12"/>
    </row>
    <row r="131" spans="1:17" ht="15.75" customHeight="1" x14ac:dyDescent="0.15">
      <c r="A131" s="16"/>
      <c r="B131" s="43"/>
      <c r="C131" s="43"/>
      <c r="D131" s="16"/>
      <c r="E131" s="16"/>
      <c r="F131" s="16"/>
      <c r="G131" s="12"/>
      <c r="H131" s="12"/>
      <c r="I131" s="12"/>
      <c r="J131" s="12"/>
      <c r="K131" s="12"/>
      <c r="L131" s="51"/>
      <c r="M131" s="12"/>
      <c r="N131" s="12"/>
      <c r="O131" s="12"/>
      <c r="P131" s="12"/>
      <c r="Q131" s="12"/>
    </row>
    <row r="132" spans="1:17" ht="15.75" customHeight="1" x14ac:dyDescent="0.15">
      <c r="A132" s="16"/>
      <c r="B132" s="43"/>
      <c r="C132" s="43"/>
      <c r="D132" s="16"/>
      <c r="E132" s="16"/>
      <c r="F132" s="16"/>
      <c r="G132" s="12"/>
      <c r="H132" s="12"/>
      <c r="I132" s="12"/>
      <c r="J132" s="12"/>
      <c r="K132" s="12"/>
      <c r="L132" s="51"/>
      <c r="M132" s="12"/>
      <c r="N132" s="12"/>
      <c r="O132" s="12"/>
      <c r="P132" s="12"/>
      <c r="Q132" s="12"/>
    </row>
    <row r="133" spans="1:17" ht="15.75" customHeight="1" x14ac:dyDescent="0.15">
      <c r="A133" s="16"/>
      <c r="B133" s="43"/>
      <c r="C133" s="43"/>
      <c r="D133" s="16"/>
      <c r="E133" s="16"/>
      <c r="F133" s="16"/>
      <c r="G133" s="12"/>
      <c r="H133" s="12"/>
      <c r="I133" s="12"/>
      <c r="J133" s="12"/>
      <c r="K133" s="12"/>
      <c r="L133" s="51"/>
      <c r="M133" s="12"/>
      <c r="N133" s="12"/>
      <c r="O133" s="12"/>
      <c r="P133" s="12"/>
      <c r="Q133" s="12"/>
    </row>
    <row r="134" spans="1:17" ht="15.75" customHeight="1" x14ac:dyDescent="0.15">
      <c r="A134" s="16"/>
      <c r="B134" s="43"/>
      <c r="C134" s="43"/>
      <c r="D134" s="16"/>
      <c r="E134" s="16"/>
      <c r="F134" s="16"/>
      <c r="G134" s="12"/>
      <c r="H134" s="12"/>
      <c r="I134" s="12"/>
      <c r="J134" s="12"/>
      <c r="K134" s="12"/>
      <c r="L134" s="51"/>
      <c r="M134" s="12"/>
      <c r="N134" s="12"/>
      <c r="O134" s="12"/>
      <c r="P134" s="12"/>
      <c r="Q134" s="12"/>
    </row>
    <row r="135" spans="1:17" ht="15.75" customHeight="1" x14ac:dyDescent="0.15">
      <c r="A135" s="16"/>
      <c r="B135" s="43"/>
      <c r="C135" s="43"/>
      <c r="D135" s="16"/>
      <c r="E135" s="16"/>
      <c r="F135" s="16"/>
      <c r="G135" s="12"/>
      <c r="H135" s="12"/>
      <c r="I135" s="12"/>
      <c r="J135" s="12"/>
      <c r="K135" s="12"/>
      <c r="L135" s="51"/>
      <c r="M135" s="12"/>
      <c r="N135" s="12"/>
      <c r="O135" s="12"/>
      <c r="P135" s="12"/>
      <c r="Q135" s="12"/>
    </row>
    <row r="136" spans="1:17" ht="15.75" customHeight="1" x14ac:dyDescent="0.15">
      <c r="A136" s="16"/>
      <c r="B136" s="43"/>
      <c r="C136" s="43"/>
      <c r="D136" s="16"/>
      <c r="E136" s="16"/>
      <c r="F136" s="16"/>
      <c r="G136" s="12"/>
      <c r="H136" s="12"/>
      <c r="I136" s="12"/>
      <c r="J136" s="12"/>
      <c r="K136" s="12"/>
      <c r="L136" s="51"/>
      <c r="M136" s="12"/>
      <c r="N136" s="12"/>
      <c r="O136" s="12"/>
      <c r="P136" s="12"/>
      <c r="Q136" s="12"/>
    </row>
    <row r="137" spans="1:17" ht="15.75" customHeight="1" x14ac:dyDescent="0.15">
      <c r="A137" s="16"/>
      <c r="B137" s="43"/>
      <c r="C137" s="43"/>
      <c r="D137" s="16"/>
      <c r="E137" s="16"/>
      <c r="F137" s="16"/>
      <c r="G137" s="12"/>
      <c r="H137" s="12"/>
      <c r="I137" s="12"/>
      <c r="J137" s="12"/>
      <c r="K137" s="12"/>
      <c r="L137" s="51"/>
      <c r="M137" s="12"/>
      <c r="N137" s="12"/>
      <c r="O137" s="12"/>
      <c r="P137" s="12"/>
      <c r="Q137" s="12"/>
    </row>
    <row r="138" spans="1:17" ht="15.75" customHeight="1" x14ac:dyDescent="0.15">
      <c r="A138" s="16"/>
      <c r="B138" s="43"/>
      <c r="C138" s="43"/>
      <c r="D138" s="16"/>
      <c r="E138" s="16"/>
      <c r="F138" s="16"/>
      <c r="G138" s="12"/>
      <c r="H138" s="12"/>
      <c r="I138" s="12"/>
      <c r="J138" s="12"/>
      <c r="K138" s="12"/>
      <c r="L138" s="51"/>
      <c r="M138" s="12"/>
      <c r="N138" s="12"/>
      <c r="O138" s="12"/>
      <c r="P138" s="12"/>
      <c r="Q138" s="12"/>
    </row>
    <row r="139" spans="1:17" ht="15.75" customHeight="1" x14ac:dyDescent="0.15">
      <c r="A139" s="16"/>
      <c r="B139" s="43"/>
      <c r="C139" s="43"/>
      <c r="D139" s="16"/>
      <c r="E139" s="16"/>
      <c r="F139" s="16"/>
      <c r="G139" s="12"/>
      <c r="H139" s="12"/>
      <c r="I139" s="12"/>
      <c r="J139" s="12"/>
      <c r="K139" s="12"/>
      <c r="L139" s="51"/>
      <c r="M139" s="12"/>
      <c r="N139" s="12"/>
      <c r="O139" s="12"/>
      <c r="P139" s="12"/>
      <c r="Q139" s="12"/>
    </row>
    <row r="140" spans="1:17" ht="15.75" customHeight="1" x14ac:dyDescent="0.15">
      <c r="A140" s="16"/>
      <c r="B140" s="43"/>
      <c r="C140" s="43"/>
      <c r="D140" s="16"/>
      <c r="E140" s="16"/>
      <c r="F140" s="16"/>
      <c r="G140" s="12"/>
      <c r="H140" s="12"/>
      <c r="I140" s="12"/>
      <c r="J140" s="12"/>
      <c r="K140" s="12"/>
      <c r="L140" s="51"/>
      <c r="M140" s="12"/>
      <c r="N140" s="12"/>
      <c r="O140" s="12"/>
      <c r="P140" s="12"/>
      <c r="Q140" s="12"/>
    </row>
    <row r="141" spans="1:17" ht="15.75" customHeight="1" x14ac:dyDescent="0.15">
      <c r="A141" s="16"/>
      <c r="B141" s="43"/>
      <c r="C141" s="43"/>
      <c r="D141" s="16"/>
      <c r="E141" s="16"/>
      <c r="F141" s="16"/>
      <c r="G141" s="12"/>
      <c r="H141" s="12"/>
      <c r="I141" s="12"/>
      <c r="J141" s="12"/>
      <c r="K141" s="12"/>
      <c r="L141" s="51"/>
      <c r="M141" s="12"/>
      <c r="N141" s="12"/>
      <c r="O141" s="12"/>
      <c r="P141" s="12"/>
      <c r="Q141" s="12"/>
    </row>
    <row r="142" spans="1:17" ht="15.75" customHeight="1" x14ac:dyDescent="0.15">
      <c r="A142" s="16"/>
      <c r="B142" s="43"/>
      <c r="C142" s="43"/>
      <c r="D142" s="16"/>
      <c r="E142" s="16"/>
      <c r="F142" s="16"/>
      <c r="G142" s="12"/>
      <c r="H142" s="12"/>
      <c r="I142" s="12"/>
      <c r="J142" s="12"/>
      <c r="K142" s="12"/>
      <c r="L142" s="51"/>
      <c r="M142" s="12"/>
      <c r="N142" s="12"/>
      <c r="O142" s="12"/>
      <c r="P142" s="12"/>
      <c r="Q142" s="12"/>
    </row>
    <row r="143" spans="1:17" ht="15.75" customHeight="1" x14ac:dyDescent="0.15">
      <c r="A143" s="16"/>
      <c r="B143" s="43"/>
      <c r="C143" s="43"/>
      <c r="D143" s="16"/>
      <c r="E143" s="16"/>
      <c r="F143" s="16"/>
      <c r="G143" s="12"/>
      <c r="H143" s="12"/>
      <c r="I143" s="12"/>
      <c r="J143" s="12"/>
      <c r="K143" s="12"/>
      <c r="L143" s="51"/>
      <c r="M143" s="12"/>
      <c r="N143" s="12"/>
      <c r="O143" s="12"/>
      <c r="P143" s="12"/>
      <c r="Q143" s="12"/>
    </row>
    <row r="144" spans="1:17" ht="15.75" customHeight="1" x14ac:dyDescent="0.15">
      <c r="A144" s="16"/>
      <c r="B144" s="43"/>
      <c r="C144" s="43"/>
      <c r="D144" s="16"/>
      <c r="E144" s="16"/>
      <c r="F144" s="16"/>
      <c r="G144" s="12"/>
      <c r="H144" s="12"/>
      <c r="I144" s="12"/>
      <c r="J144" s="12"/>
      <c r="K144" s="12"/>
      <c r="L144" s="51"/>
      <c r="M144" s="12"/>
      <c r="N144" s="12"/>
      <c r="O144" s="12"/>
      <c r="P144" s="12"/>
      <c r="Q144" s="12"/>
    </row>
    <row r="145" spans="1:17" ht="15.75" customHeight="1" x14ac:dyDescent="0.15">
      <c r="A145" s="16"/>
      <c r="B145" s="43"/>
      <c r="C145" s="43"/>
      <c r="D145" s="16"/>
      <c r="E145" s="16"/>
      <c r="F145" s="16"/>
      <c r="G145" s="12"/>
      <c r="H145" s="12"/>
      <c r="I145" s="12"/>
      <c r="J145" s="12"/>
      <c r="K145" s="12"/>
      <c r="L145" s="51"/>
      <c r="M145" s="12"/>
      <c r="N145" s="12"/>
      <c r="O145" s="12"/>
      <c r="P145" s="12"/>
      <c r="Q145" s="12"/>
    </row>
    <row r="146" spans="1:17" ht="15.75" customHeight="1" x14ac:dyDescent="0.15">
      <c r="A146" s="16"/>
      <c r="B146" s="43"/>
      <c r="C146" s="43"/>
      <c r="D146" s="16"/>
      <c r="E146" s="16"/>
      <c r="F146" s="16"/>
      <c r="G146" s="12"/>
      <c r="H146" s="12"/>
      <c r="I146" s="12"/>
      <c r="J146" s="12"/>
      <c r="K146" s="12"/>
      <c r="L146" s="51"/>
      <c r="M146" s="12"/>
      <c r="N146" s="12"/>
      <c r="O146" s="12"/>
      <c r="P146" s="12"/>
      <c r="Q146" s="12"/>
    </row>
    <row r="147" spans="1:17" ht="15.75" customHeight="1" x14ac:dyDescent="0.15">
      <c r="A147" s="16"/>
      <c r="B147" s="43"/>
      <c r="C147" s="43"/>
      <c r="D147" s="16"/>
      <c r="E147" s="16"/>
      <c r="F147" s="16"/>
      <c r="G147" s="12"/>
      <c r="H147" s="12"/>
      <c r="I147" s="12"/>
      <c r="J147" s="12"/>
      <c r="K147" s="12"/>
      <c r="L147" s="51"/>
      <c r="M147" s="12"/>
      <c r="N147" s="12"/>
      <c r="O147" s="12"/>
      <c r="P147" s="12"/>
      <c r="Q147" s="12"/>
    </row>
    <row r="148" spans="1:17" ht="15.75" customHeight="1" x14ac:dyDescent="0.15">
      <c r="A148" s="16"/>
      <c r="B148" s="43"/>
      <c r="C148" s="43"/>
      <c r="D148" s="16"/>
      <c r="E148" s="16"/>
      <c r="F148" s="16"/>
      <c r="G148" s="12"/>
      <c r="H148" s="12"/>
      <c r="I148" s="12"/>
      <c r="J148" s="12"/>
      <c r="K148" s="12"/>
      <c r="L148" s="51"/>
      <c r="M148" s="12"/>
      <c r="N148" s="12"/>
      <c r="O148" s="12"/>
      <c r="P148" s="12"/>
      <c r="Q148" s="12"/>
    </row>
    <row r="149" spans="1:17" ht="15.75" customHeight="1" x14ac:dyDescent="0.15">
      <c r="A149" s="16"/>
      <c r="B149" s="43"/>
      <c r="C149" s="43"/>
      <c r="D149" s="16"/>
      <c r="E149" s="16"/>
      <c r="F149" s="16"/>
      <c r="G149" s="12"/>
      <c r="H149" s="12"/>
      <c r="I149" s="12"/>
      <c r="J149" s="12"/>
      <c r="K149" s="12"/>
      <c r="L149" s="51"/>
      <c r="M149" s="12"/>
      <c r="N149" s="12"/>
      <c r="O149" s="12"/>
      <c r="P149" s="12"/>
      <c r="Q149" s="12"/>
    </row>
    <row r="150" spans="1:17" ht="15.75" customHeight="1" x14ac:dyDescent="0.15">
      <c r="A150" s="16"/>
      <c r="B150" s="43"/>
      <c r="C150" s="43"/>
      <c r="D150" s="16"/>
      <c r="E150" s="16"/>
      <c r="F150" s="16"/>
      <c r="G150" s="12"/>
      <c r="H150" s="12"/>
      <c r="I150" s="12"/>
      <c r="J150" s="12"/>
      <c r="K150" s="12"/>
      <c r="L150" s="51"/>
      <c r="M150" s="12"/>
      <c r="N150" s="12"/>
      <c r="O150" s="12"/>
      <c r="P150" s="12"/>
      <c r="Q150" s="12"/>
    </row>
    <row r="151" spans="1:17" ht="15.75" customHeight="1" x14ac:dyDescent="0.15">
      <c r="A151" s="16"/>
      <c r="B151" s="43"/>
      <c r="C151" s="43"/>
      <c r="D151" s="16"/>
      <c r="E151" s="16"/>
      <c r="F151" s="16"/>
      <c r="G151" s="12"/>
      <c r="H151" s="12"/>
      <c r="I151" s="12"/>
      <c r="J151" s="12"/>
      <c r="K151" s="12"/>
      <c r="L151" s="51"/>
      <c r="M151" s="12"/>
      <c r="N151" s="12"/>
      <c r="O151" s="12"/>
      <c r="P151" s="12"/>
      <c r="Q151" s="12"/>
    </row>
    <row r="152" spans="1:17" ht="15.75" customHeight="1" x14ac:dyDescent="0.15">
      <c r="A152" s="16"/>
      <c r="B152" s="43"/>
      <c r="C152" s="43"/>
      <c r="D152" s="16"/>
      <c r="E152" s="16"/>
      <c r="F152" s="16"/>
      <c r="G152" s="12"/>
      <c r="H152" s="12"/>
      <c r="I152" s="12"/>
      <c r="J152" s="12"/>
      <c r="K152" s="12"/>
      <c r="L152" s="51"/>
      <c r="M152" s="12"/>
      <c r="N152" s="12"/>
      <c r="O152" s="12"/>
      <c r="P152" s="12"/>
      <c r="Q152" s="12"/>
    </row>
    <row r="153" spans="1:17" ht="15.75" customHeight="1" x14ac:dyDescent="0.15">
      <c r="A153" s="16"/>
      <c r="B153" s="43"/>
      <c r="C153" s="43"/>
      <c r="D153" s="16"/>
      <c r="E153" s="16"/>
      <c r="F153" s="16"/>
      <c r="G153" s="12"/>
      <c r="H153" s="12"/>
      <c r="I153" s="12"/>
      <c r="J153" s="12"/>
      <c r="K153" s="12"/>
      <c r="L153" s="51"/>
      <c r="M153" s="12"/>
      <c r="N153" s="12"/>
      <c r="O153" s="12"/>
      <c r="P153" s="12"/>
      <c r="Q153" s="12"/>
    </row>
    <row r="154" spans="1:17" ht="15.75" customHeight="1" x14ac:dyDescent="0.15">
      <c r="A154" s="16"/>
      <c r="B154" s="43"/>
      <c r="C154" s="43"/>
      <c r="D154" s="16"/>
      <c r="E154" s="16"/>
      <c r="F154" s="16"/>
      <c r="G154" s="12"/>
      <c r="H154" s="12"/>
      <c r="I154" s="12"/>
      <c r="J154" s="12"/>
      <c r="K154" s="12"/>
      <c r="L154" s="51"/>
      <c r="M154" s="12"/>
      <c r="N154" s="12"/>
      <c r="O154" s="12"/>
      <c r="P154" s="12"/>
      <c r="Q154" s="12"/>
    </row>
    <row r="155" spans="1:17" ht="15.75" customHeight="1" x14ac:dyDescent="0.15">
      <c r="A155" s="16"/>
      <c r="B155" s="43"/>
      <c r="C155" s="43"/>
      <c r="D155" s="16"/>
      <c r="E155" s="16"/>
      <c r="F155" s="16"/>
      <c r="G155" s="12"/>
      <c r="H155" s="12"/>
      <c r="I155" s="12"/>
      <c r="J155" s="12"/>
      <c r="K155" s="12"/>
      <c r="L155" s="51"/>
      <c r="M155" s="12"/>
      <c r="N155" s="12"/>
      <c r="O155" s="12"/>
      <c r="P155" s="12"/>
      <c r="Q155" s="12"/>
    </row>
    <row r="156" spans="1:17" ht="15.75" customHeight="1" x14ac:dyDescent="0.15">
      <c r="A156" s="16"/>
      <c r="B156" s="43"/>
      <c r="C156" s="43"/>
      <c r="D156" s="16"/>
      <c r="E156" s="16"/>
      <c r="F156" s="16"/>
      <c r="G156" s="12"/>
      <c r="H156" s="12"/>
      <c r="I156" s="12"/>
      <c r="J156" s="12"/>
      <c r="K156" s="12"/>
      <c r="L156" s="51"/>
      <c r="M156" s="12"/>
      <c r="N156" s="12"/>
      <c r="O156" s="12"/>
      <c r="P156" s="12"/>
      <c r="Q156" s="12"/>
    </row>
    <row r="157" spans="1:17" ht="15.75" customHeight="1" x14ac:dyDescent="0.15">
      <c r="A157" s="16"/>
      <c r="B157" s="43"/>
      <c r="C157" s="43"/>
      <c r="D157" s="16"/>
      <c r="E157" s="16"/>
      <c r="F157" s="16"/>
      <c r="G157" s="12"/>
      <c r="H157" s="12"/>
      <c r="I157" s="12"/>
      <c r="J157" s="12"/>
      <c r="K157" s="12"/>
      <c r="L157" s="51"/>
      <c r="M157" s="12"/>
      <c r="N157" s="12"/>
      <c r="O157" s="12"/>
      <c r="P157" s="12"/>
      <c r="Q157" s="12"/>
    </row>
    <row r="158" spans="1:17" ht="15.75" customHeight="1" x14ac:dyDescent="0.15">
      <c r="A158" s="16"/>
      <c r="B158" s="43"/>
      <c r="C158" s="43"/>
      <c r="D158" s="16"/>
      <c r="E158" s="16"/>
      <c r="F158" s="16"/>
      <c r="G158" s="12"/>
      <c r="H158" s="12"/>
      <c r="I158" s="12"/>
      <c r="J158" s="12"/>
      <c r="K158" s="12"/>
      <c r="L158" s="51"/>
      <c r="M158" s="12"/>
      <c r="N158" s="12"/>
      <c r="O158" s="12"/>
      <c r="P158" s="12"/>
      <c r="Q158" s="12"/>
    </row>
    <row r="159" spans="1:17" ht="15.75" customHeight="1" x14ac:dyDescent="0.15">
      <c r="A159" s="16"/>
      <c r="B159" s="43"/>
      <c r="C159" s="43"/>
      <c r="D159" s="16"/>
      <c r="E159" s="16"/>
      <c r="F159" s="16"/>
      <c r="G159" s="12"/>
      <c r="H159" s="12"/>
      <c r="I159" s="12"/>
      <c r="J159" s="12"/>
      <c r="K159" s="12"/>
      <c r="L159" s="51"/>
      <c r="M159" s="12"/>
      <c r="N159" s="12"/>
      <c r="O159" s="12"/>
      <c r="P159" s="12"/>
      <c r="Q159" s="12"/>
    </row>
    <row r="160" spans="1:17" ht="15.75" customHeight="1" x14ac:dyDescent="0.15">
      <c r="A160" s="16"/>
      <c r="B160" s="43"/>
      <c r="C160" s="43"/>
      <c r="D160" s="16"/>
      <c r="E160" s="16"/>
      <c r="F160" s="16"/>
      <c r="G160" s="12"/>
      <c r="H160" s="12"/>
      <c r="I160" s="12"/>
      <c r="J160" s="12"/>
      <c r="K160" s="12"/>
      <c r="L160" s="51"/>
      <c r="M160" s="12"/>
      <c r="N160" s="12"/>
      <c r="O160" s="12"/>
      <c r="P160" s="12"/>
      <c r="Q160" s="12"/>
    </row>
    <row r="161" spans="1:17" ht="15.75" customHeight="1" x14ac:dyDescent="0.15">
      <c r="A161" s="16"/>
      <c r="B161" s="43"/>
      <c r="C161" s="43"/>
      <c r="D161" s="16"/>
      <c r="E161" s="16"/>
      <c r="F161" s="16"/>
      <c r="G161" s="12"/>
      <c r="H161" s="12"/>
      <c r="I161" s="12"/>
      <c r="J161" s="12"/>
      <c r="K161" s="12"/>
      <c r="L161" s="51"/>
      <c r="M161" s="12"/>
      <c r="N161" s="12"/>
      <c r="O161" s="12"/>
      <c r="P161" s="12"/>
      <c r="Q161" s="12"/>
    </row>
    <row r="162" spans="1:17" ht="15.75" customHeight="1" x14ac:dyDescent="0.15">
      <c r="A162" s="16"/>
      <c r="B162" s="43"/>
      <c r="C162" s="43"/>
      <c r="D162" s="16"/>
      <c r="E162" s="16"/>
      <c r="F162" s="16"/>
      <c r="G162" s="12"/>
      <c r="H162" s="12"/>
      <c r="I162" s="12"/>
      <c r="J162" s="12"/>
      <c r="K162" s="12"/>
      <c r="L162" s="51"/>
      <c r="M162" s="12"/>
      <c r="N162" s="12"/>
      <c r="O162" s="12"/>
      <c r="P162" s="12"/>
      <c r="Q162" s="12"/>
    </row>
    <row r="163" spans="1:17" ht="15.75" customHeight="1" x14ac:dyDescent="0.15">
      <c r="A163" s="16"/>
      <c r="B163" s="43"/>
      <c r="C163" s="43"/>
      <c r="D163" s="16"/>
      <c r="E163" s="16"/>
      <c r="F163" s="16"/>
      <c r="G163" s="12"/>
      <c r="H163" s="12"/>
      <c r="I163" s="12"/>
      <c r="J163" s="12"/>
      <c r="K163" s="12"/>
      <c r="L163" s="51"/>
      <c r="M163" s="12"/>
      <c r="N163" s="12"/>
      <c r="O163" s="12"/>
      <c r="P163" s="12"/>
      <c r="Q163" s="12"/>
    </row>
    <row r="164" spans="1:17" ht="15.75" customHeight="1" x14ac:dyDescent="0.15">
      <c r="A164" s="16"/>
      <c r="B164" s="43"/>
      <c r="C164" s="43"/>
      <c r="D164" s="16"/>
      <c r="E164" s="16"/>
      <c r="F164" s="16"/>
      <c r="G164" s="12"/>
      <c r="H164" s="12"/>
      <c r="I164" s="12"/>
      <c r="J164" s="12"/>
      <c r="K164" s="12"/>
      <c r="L164" s="51"/>
      <c r="M164" s="12"/>
      <c r="N164" s="12"/>
      <c r="O164" s="12"/>
      <c r="P164" s="12"/>
      <c r="Q164" s="12"/>
    </row>
    <row r="165" spans="1:17" ht="15.75" customHeight="1" x14ac:dyDescent="0.15">
      <c r="A165" s="16"/>
      <c r="B165" s="43"/>
      <c r="C165" s="43"/>
      <c r="D165" s="16"/>
      <c r="E165" s="16"/>
      <c r="F165" s="16"/>
      <c r="G165" s="12"/>
      <c r="H165" s="12"/>
      <c r="I165" s="12"/>
      <c r="J165" s="12"/>
      <c r="K165" s="12"/>
      <c r="L165" s="51"/>
      <c r="M165" s="12"/>
      <c r="N165" s="12"/>
      <c r="O165" s="12"/>
      <c r="P165" s="12"/>
      <c r="Q165" s="12"/>
    </row>
    <row r="166" spans="1:17" ht="15.75" customHeight="1" x14ac:dyDescent="0.15">
      <c r="A166" s="16"/>
      <c r="B166" s="43"/>
      <c r="C166" s="43"/>
      <c r="D166" s="16"/>
      <c r="E166" s="16"/>
      <c r="F166" s="16"/>
      <c r="G166" s="12"/>
      <c r="H166" s="12"/>
      <c r="I166" s="12"/>
      <c r="J166" s="12"/>
      <c r="K166" s="12"/>
      <c r="L166" s="51"/>
      <c r="M166" s="12"/>
      <c r="N166" s="12"/>
      <c r="O166" s="12"/>
      <c r="P166" s="12"/>
      <c r="Q166" s="12"/>
    </row>
    <row r="167" spans="1:17" ht="15.75" customHeight="1" x14ac:dyDescent="0.15">
      <c r="A167" s="16"/>
      <c r="B167" s="43"/>
      <c r="C167" s="43"/>
      <c r="D167" s="16"/>
      <c r="E167" s="16"/>
      <c r="F167" s="16"/>
      <c r="G167" s="12"/>
      <c r="H167" s="12"/>
      <c r="I167" s="12"/>
      <c r="J167" s="12"/>
      <c r="K167" s="12"/>
      <c r="L167" s="51"/>
      <c r="M167" s="12"/>
      <c r="N167" s="12"/>
      <c r="O167" s="12"/>
      <c r="P167" s="12"/>
      <c r="Q167" s="12"/>
    </row>
    <row r="168" spans="1:17" ht="15.75" customHeight="1" x14ac:dyDescent="0.15">
      <c r="A168" s="16"/>
      <c r="B168" s="43"/>
      <c r="C168" s="43"/>
      <c r="D168" s="16"/>
      <c r="E168" s="16"/>
      <c r="F168" s="16"/>
      <c r="G168" s="12"/>
      <c r="H168" s="12"/>
      <c r="I168" s="12"/>
      <c r="J168" s="12"/>
      <c r="K168" s="12"/>
      <c r="L168" s="51"/>
      <c r="M168" s="12"/>
      <c r="N168" s="12"/>
      <c r="O168" s="12"/>
      <c r="P168" s="12"/>
      <c r="Q168" s="12"/>
    </row>
    <row r="169" spans="1:17" ht="15.75" customHeight="1" x14ac:dyDescent="0.15">
      <c r="A169" s="16"/>
      <c r="B169" s="43"/>
      <c r="C169" s="43"/>
      <c r="D169" s="16"/>
      <c r="E169" s="16"/>
      <c r="F169" s="16"/>
      <c r="G169" s="12"/>
      <c r="H169" s="12"/>
      <c r="I169" s="12"/>
      <c r="J169" s="12"/>
      <c r="K169" s="12"/>
      <c r="L169" s="51"/>
      <c r="M169" s="12"/>
      <c r="N169" s="12"/>
      <c r="O169" s="12"/>
      <c r="P169" s="12"/>
      <c r="Q169" s="12"/>
    </row>
    <row r="170" spans="1:17" ht="15.75" customHeight="1" x14ac:dyDescent="0.15">
      <c r="A170" s="16"/>
      <c r="B170" s="43"/>
      <c r="C170" s="43"/>
      <c r="D170" s="16"/>
      <c r="E170" s="16"/>
      <c r="F170" s="16"/>
      <c r="G170" s="12"/>
      <c r="H170" s="12"/>
      <c r="I170" s="12"/>
      <c r="J170" s="12"/>
      <c r="K170" s="12"/>
      <c r="L170" s="51"/>
      <c r="M170" s="12"/>
      <c r="N170" s="12"/>
      <c r="O170" s="12"/>
      <c r="P170" s="12"/>
      <c r="Q170" s="12"/>
    </row>
    <row r="171" spans="1:17" ht="15.75" customHeight="1" x14ac:dyDescent="0.15">
      <c r="A171" s="16"/>
      <c r="B171" s="43"/>
      <c r="C171" s="43"/>
      <c r="D171" s="16"/>
      <c r="E171" s="16"/>
      <c r="F171" s="16"/>
      <c r="G171" s="12"/>
      <c r="H171" s="12"/>
      <c r="I171" s="12"/>
      <c r="J171" s="12"/>
      <c r="K171" s="12"/>
      <c r="L171" s="51"/>
      <c r="M171" s="12"/>
      <c r="N171" s="12"/>
      <c r="O171" s="12"/>
      <c r="P171" s="12"/>
      <c r="Q171" s="12"/>
    </row>
    <row r="172" spans="1:17" ht="15.75" customHeight="1" x14ac:dyDescent="0.15">
      <c r="A172" s="16"/>
      <c r="B172" s="43"/>
      <c r="C172" s="43"/>
      <c r="D172" s="16"/>
      <c r="E172" s="16"/>
      <c r="F172" s="16"/>
      <c r="G172" s="12"/>
      <c r="H172" s="12"/>
      <c r="I172" s="12"/>
      <c r="J172" s="12"/>
      <c r="K172" s="12"/>
      <c r="L172" s="51"/>
      <c r="M172" s="12"/>
      <c r="N172" s="12"/>
      <c r="O172" s="12"/>
      <c r="P172" s="12"/>
      <c r="Q172" s="12"/>
    </row>
    <row r="173" spans="1:17" ht="15.75" customHeight="1" x14ac:dyDescent="0.15">
      <c r="A173" s="16"/>
      <c r="B173" s="43"/>
      <c r="C173" s="43"/>
      <c r="D173" s="16"/>
      <c r="E173" s="16"/>
      <c r="F173" s="16"/>
      <c r="G173" s="12"/>
      <c r="H173" s="12"/>
      <c r="I173" s="12"/>
      <c r="J173" s="12"/>
      <c r="K173" s="12"/>
      <c r="L173" s="51"/>
      <c r="M173" s="12"/>
      <c r="N173" s="12"/>
      <c r="O173" s="12"/>
      <c r="P173" s="12"/>
      <c r="Q173" s="12"/>
    </row>
    <row r="174" spans="1:17" ht="15.75" customHeight="1" x14ac:dyDescent="0.15">
      <c r="A174" s="16"/>
      <c r="B174" s="43"/>
      <c r="C174" s="43"/>
      <c r="D174" s="16"/>
      <c r="E174" s="16"/>
      <c r="F174" s="16"/>
      <c r="G174" s="12"/>
      <c r="H174" s="12"/>
      <c r="I174" s="12"/>
      <c r="J174" s="12"/>
      <c r="K174" s="12"/>
      <c r="L174" s="51"/>
      <c r="M174" s="12"/>
      <c r="N174" s="12"/>
      <c r="O174" s="12"/>
      <c r="P174" s="12"/>
      <c r="Q174" s="12"/>
    </row>
    <row r="175" spans="1:17" ht="15.75" customHeight="1" x14ac:dyDescent="0.15">
      <c r="A175" s="16"/>
      <c r="B175" s="43"/>
      <c r="C175" s="43"/>
      <c r="D175" s="16"/>
      <c r="E175" s="16"/>
      <c r="F175" s="16"/>
      <c r="G175" s="12"/>
      <c r="H175" s="12"/>
      <c r="I175" s="12"/>
      <c r="J175" s="12"/>
      <c r="K175" s="12"/>
      <c r="L175" s="51"/>
      <c r="M175" s="12"/>
      <c r="N175" s="12"/>
      <c r="O175" s="12"/>
      <c r="P175" s="12"/>
      <c r="Q175" s="12"/>
    </row>
    <row r="176" spans="1:17" ht="15.75" customHeight="1" x14ac:dyDescent="0.15">
      <c r="A176" s="16"/>
      <c r="B176" s="43"/>
      <c r="C176" s="43"/>
      <c r="D176" s="16"/>
      <c r="E176" s="16"/>
      <c r="F176" s="16"/>
      <c r="G176" s="12"/>
      <c r="H176" s="12"/>
      <c r="I176" s="12"/>
      <c r="J176" s="12"/>
      <c r="K176" s="12"/>
      <c r="L176" s="51"/>
      <c r="M176" s="12"/>
      <c r="N176" s="12"/>
      <c r="O176" s="12"/>
      <c r="P176" s="12"/>
      <c r="Q176" s="12"/>
    </row>
    <row r="177" spans="1:17" ht="15.75" customHeight="1" x14ac:dyDescent="0.15">
      <c r="A177" s="16"/>
      <c r="B177" s="43"/>
      <c r="C177" s="43"/>
      <c r="D177" s="16"/>
      <c r="E177" s="16"/>
      <c r="F177" s="16"/>
      <c r="G177" s="12"/>
      <c r="H177" s="12"/>
      <c r="I177" s="12"/>
      <c r="J177" s="12"/>
      <c r="K177" s="12"/>
      <c r="L177" s="51"/>
      <c r="M177" s="12"/>
      <c r="N177" s="12"/>
      <c r="O177" s="12"/>
      <c r="P177" s="12"/>
      <c r="Q177" s="12"/>
    </row>
    <row r="178" spans="1:17" ht="15.75" customHeight="1" x14ac:dyDescent="0.15">
      <c r="A178" s="16"/>
      <c r="B178" s="43"/>
      <c r="C178" s="43"/>
      <c r="D178" s="16"/>
      <c r="E178" s="16"/>
      <c r="F178" s="16"/>
      <c r="G178" s="12"/>
      <c r="H178" s="12"/>
      <c r="I178" s="12"/>
      <c r="J178" s="12"/>
      <c r="K178" s="12"/>
      <c r="L178" s="51"/>
      <c r="M178" s="12"/>
      <c r="N178" s="12"/>
      <c r="O178" s="12"/>
      <c r="P178" s="12"/>
      <c r="Q178" s="12"/>
    </row>
    <row r="179" spans="1:17" ht="15.75" customHeight="1" x14ac:dyDescent="0.15">
      <c r="A179" s="16"/>
      <c r="B179" s="43"/>
      <c r="C179" s="43"/>
      <c r="D179" s="16"/>
      <c r="E179" s="16"/>
      <c r="F179" s="16"/>
      <c r="G179" s="12"/>
      <c r="H179" s="12"/>
      <c r="I179" s="12"/>
      <c r="J179" s="12"/>
      <c r="K179" s="12"/>
      <c r="L179" s="51"/>
      <c r="M179" s="12"/>
      <c r="N179" s="12"/>
      <c r="O179" s="12"/>
      <c r="P179" s="12"/>
      <c r="Q179" s="12"/>
    </row>
    <row r="180" spans="1:17" ht="15.75" customHeight="1" x14ac:dyDescent="0.15">
      <c r="A180" s="16"/>
      <c r="B180" s="43"/>
      <c r="C180" s="43"/>
      <c r="D180" s="16"/>
      <c r="E180" s="16"/>
      <c r="F180" s="16"/>
      <c r="G180" s="12"/>
      <c r="H180" s="12"/>
      <c r="I180" s="12"/>
      <c r="J180" s="12"/>
      <c r="K180" s="12"/>
      <c r="L180" s="51"/>
      <c r="M180" s="12"/>
      <c r="N180" s="12"/>
      <c r="O180" s="12"/>
      <c r="P180" s="12"/>
      <c r="Q180" s="12"/>
    </row>
    <row r="181" spans="1:17" ht="15.75" customHeight="1" x14ac:dyDescent="0.15">
      <c r="A181" s="16"/>
      <c r="B181" s="43"/>
      <c r="C181" s="43"/>
      <c r="D181" s="16"/>
      <c r="E181" s="16"/>
      <c r="F181" s="16"/>
      <c r="G181" s="12"/>
      <c r="H181" s="12"/>
      <c r="I181" s="12"/>
      <c r="J181" s="12"/>
      <c r="K181" s="12"/>
      <c r="L181" s="51"/>
      <c r="M181" s="12"/>
      <c r="N181" s="12"/>
      <c r="O181" s="12"/>
      <c r="P181" s="12"/>
      <c r="Q181" s="12"/>
    </row>
    <row r="182" spans="1:17" ht="15.75" customHeight="1" x14ac:dyDescent="0.15">
      <c r="A182" s="16"/>
      <c r="B182" s="43"/>
      <c r="C182" s="43"/>
      <c r="D182" s="16"/>
      <c r="E182" s="16"/>
      <c r="F182" s="16"/>
      <c r="G182" s="12"/>
      <c r="H182" s="12"/>
      <c r="I182" s="12"/>
      <c r="J182" s="12"/>
      <c r="K182" s="12"/>
      <c r="L182" s="51"/>
      <c r="M182" s="12"/>
      <c r="N182" s="12"/>
      <c r="O182" s="12"/>
      <c r="P182" s="12"/>
      <c r="Q182" s="12"/>
    </row>
    <row r="183" spans="1:17" ht="15.75" customHeight="1" x14ac:dyDescent="0.15">
      <c r="A183" s="16"/>
      <c r="B183" s="43"/>
      <c r="C183" s="43"/>
      <c r="D183" s="16"/>
      <c r="E183" s="16"/>
      <c r="F183" s="16"/>
      <c r="G183" s="12"/>
      <c r="H183" s="12"/>
      <c r="I183" s="12"/>
      <c r="J183" s="12"/>
      <c r="K183" s="12"/>
      <c r="L183" s="51"/>
      <c r="M183" s="12"/>
      <c r="N183" s="12"/>
      <c r="O183" s="12"/>
      <c r="P183" s="12"/>
      <c r="Q183" s="12"/>
    </row>
    <row r="184" spans="1:17" ht="15.75" customHeight="1" x14ac:dyDescent="0.15">
      <c r="A184" s="16"/>
      <c r="B184" s="43"/>
      <c r="C184" s="43"/>
      <c r="D184" s="16"/>
      <c r="E184" s="16"/>
      <c r="F184" s="16"/>
      <c r="G184" s="12"/>
      <c r="H184" s="12"/>
      <c r="I184" s="12"/>
      <c r="J184" s="12"/>
      <c r="K184" s="12"/>
      <c r="L184" s="51"/>
      <c r="M184" s="12"/>
      <c r="N184" s="12"/>
      <c r="O184" s="12"/>
      <c r="P184" s="12"/>
      <c r="Q184" s="12"/>
    </row>
    <row r="185" spans="1:17" ht="15.75" customHeight="1" x14ac:dyDescent="0.15">
      <c r="A185" s="16"/>
      <c r="B185" s="43"/>
      <c r="C185" s="43"/>
      <c r="D185" s="16"/>
      <c r="E185" s="16"/>
      <c r="F185" s="16"/>
      <c r="G185" s="12"/>
      <c r="H185" s="12"/>
      <c r="I185" s="12"/>
      <c r="J185" s="12"/>
      <c r="K185" s="12"/>
      <c r="L185" s="51"/>
      <c r="M185" s="12"/>
      <c r="N185" s="12"/>
      <c r="O185" s="12"/>
      <c r="P185" s="12"/>
      <c r="Q185" s="12"/>
    </row>
    <row r="186" spans="1:17" ht="15.75" customHeight="1" x14ac:dyDescent="0.15">
      <c r="A186" s="16"/>
      <c r="B186" s="43"/>
      <c r="C186" s="43"/>
      <c r="D186" s="16"/>
      <c r="E186" s="16"/>
      <c r="F186" s="16"/>
      <c r="G186" s="12"/>
      <c r="H186" s="12"/>
      <c r="I186" s="12"/>
      <c r="J186" s="12"/>
      <c r="K186" s="12"/>
      <c r="L186" s="51"/>
      <c r="M186" s="12"/>
      <c r="N186" s="12"/>
      <c r="O186" s="12"/>
      <c r="P186" s="12"/>
      <c r="Q186" s="12"/>
    </row>
    <row r="187" spans="1:17" ht="15.75" customHeight="1" x14ac:dyDescent="0.15">
      <c r="A187" s="16"/>
      <c r="B187" s="43"/>
      <c r="C187" s="43"/>
      <c r="D187" s="16"/>
      <c r="E187" s="16"/>
      <c r="F187" s="16"/>
      <c r="G187" s="12"/>
      <c r="H187" s="12"/>
      <c r="I187" s="12"/>
      <c r="J187" s="12"/>
      <c r="K187" s="12"/>
      <c r="L187" s="51"/>
      <c r="M187" s="12"/>
      <c r="N187" s="12"/>
      <c r="O187" s="12"/>
      <c r="P187" s="12"/>
      <c r="Q187" s="12"/>
    </row>
    <row r="188" spans="1:17" ht="15.75" customHeight="1" x14ac:dyDescent="0.15">
      <c r="A188" s="16"/>
      <c r="B188" s="43"/>
      <c r="C188" s="43"/>
      <c r="D188" s="16"/>
      <c r="E188" s="16"/>
      <c r="F188" s="16"/>
      <c r="G188" s="12"/>
      <c r="H188" s="12"/>
      <c r="I188" s="12"/>
      <c r="J188" s="12"/>
      <c r="K188" s="12"/>
      <c r="L188" s="51"/>
      <c r="M188" s="12"/>
      <c r="N188" s="12"/>
      <c r="O188" s="12"/>
      <c r="P188" s="12"/>
      <c r="Q188" s="12"/>
    </row>
    <row r="189" spans="1:17" ht="15.75" customHeight="1" x14ac:dyDescent="0.15">
      <c r="A189" s="16"/>
      <c r="B189" s="43"/>
      <c r="C189" s="43"/>
      <c r="D189" s="16"/>
      <c r="E189" s="16"/>
      <c r="F189" s="16"/>
      <c r="G189" s="12"/>
      <c r="H189" s="12"/>
      <c r="I189" s="12"/>
      <c r="J189" s="12"/>
      <c r="K189" s="12"/>
      <c r="L189" s="51"/>
      <c r="M189" s="12"/>
      <c r="N189" s="12"/>
      <c r="O189" s="12"/>
      <c r="P189" s="12"/>
      <c r="Q189" s="12"/>
    </row>
    <row r="190" spans="1:17" ht="15.75" customHeight="1" x14ac:dyDescent="0.15">
      <c r="A190" s="16"/>
      <c r="B190" s="43"/>
      <c r="C190" s="43"/>
      <c r="D190" s="16"/>
      <c r="E190" s="16"/>
      <c r="F190" s="16"/>
      <c r="G190" s="12"/>
      <c r="H190" s="12"/>
      <c r="I190" s="12"/>
      <c r="J190" s="12"/>
      <c r="K190" s="12"/>
      <c r="L190" s="51"/>
      <c r="M190" s="12"/>
      <c r="N190" s="12"/>
      <c r="O190" s="12"/>
      <c r="P190" s="12"/>
      <c r="Q190" s="12"/>
    </row>
    <row r="191" spans="1:17" ht="15.75" customHeight="1" x14ac:dyDescent="0.15">
      <c r="A191" s="16"/>
      <c r="B191" s="43"/>
      <c r="C191" s="43"/>
      <c r="D191" s="16"/>
      <c r="E191" s="16"/>
      <c r="F191" s="16"/>
      <c r="G191" s="12"/>
      <c r="H191" s="12"/>
      <c r="I191" s="12"/>
      <c r="J191" s="12"/>
      <c r="K191" s="12"/>
      <c r="L191" s="51"/>
      <c r="M191" s="12"/>
      <c r="N191" s="12"/>
      <c r="O191" s="12"/>
      <c r="P191" s="12"/>
      <c r="Q191" s="12"/>
    </row>
    <row r="192" spans="1:17" ht="15.75" customHeight="1" x14ac:dyDescent="0.15">
      <c r="A192" s="16"/>
      <c r="B192" s="43"/>
      <c r="C192" s="43"/>
      <c r="D192" s="16"/>
      <c r="E192" s="16"/>
      <c r="F192" s="16"/>
      <c r="G192" s="12"/>
      <c r="H192" s="12"/>
      <c r="I192" s="12"/>
      <c r="J192" s="12"/>
      <c r="K192" s="12"/>
      <c r="L192" s="51"/>
      <c r="M192" s="12"/>
      <c r="N192" s="12"/>
      <c r="O192" s="12"/>
      <c r="P192" s="12"/>
      <c r="Q192" s="12"/>
    </row>
    <row r="193" spans="1:17" ht="15.75" customHeight="1" x14ac:dyDescent="0.15">
      <c r="A193" s="16"/>
      <c r="B193" s="43"/>
      <c r="C193" s="43"/>
      <c r="D193" s="16"/>
      <c r="E193" s="16"/>
      <c r="F193" s="16"/>
      <c r="G193" s="12"/>
      <c r="H193" s="12"/>
      <c r="I193" s="12"/>
      <c r="J193" s="12"/>
      <c r="K193" s="12"/>
      <c r="L193" s="51"/>
      <c r="M193" s="12"/>
      <c r="N193" s="12"/>
      <c r="O193" s="12"/>
      <c r="P193" s="12"/>
      <c r="Q193" s="12"/>
    </row>
    <row r="194" spans="1:17" ht="15.75" customHeight="1" x14ac:dyDescent="0.15">
      <c r="A194" s="16"/>
      <c r="B194" s="43"/>
      <c r="C194" s="43"/>
      <c r="D194" s="16"/>
      <c r="E194" s="16"/>
      <c r="F194" s="16"/>
      <c r="G194" s="12"/>
      <c r="H194" s="12"/>
      <c r="I194" s="12"/>
      <c r="J194" s="12"/>
      <c r="K194" s="12"/>
      <c r="L194" s="51"/>
      <c r="M194" s="12"/>
      <c r="N194" s="12"/>
      <c r="O194" s="12"/>
      <c r="P194" s="12"/>
      <c r="Q194" s="12"/>
    </row>
    <row r="195" spans="1:17" ht="15.75" customHeight="1" x14ac:dyDescent="0.15">
      <c r="A195" s="16"/>
      <c r="B195" s="43"/>
      <c r="C195" s="43"/>
      <c r="D195" s="16"/>
      <c r="E195" s="16"/>
      <c r="F195" s="16"/>
      <c r="G195" s="12"/>
      <c r="H195" s="12"/>
      <c r="I195" s="12"/>
      <c r="J195" s="12"/>
      <c r="K195" s="12"/>
      <c r="L195" s="51"/>
      <c r="M195" s="12"/>
      <c r="N195" s="12"/>
      <c r="O195" s="12"/>
      <c r="P195" s="12"/>
      <c r="Q195" s="12"/>
    </row>
    <row r="196" spans="1:17" ht="15.75" customHeight="1" x14ac:dyDescent="0.15">
      <c r="A196" s="16"/>
      <c r="B196" s="43"/>
      <c r="C196" s="43"/>
      <c r="D196" s="16"/>
      <c r="E196" s="16"/>
      <c r="F196" s="16"/>
      <c r="G196" s="12"/>
      <c r="H196" s="12"/>
      <c r="I196" s="12"/>
      <c r="J196" s="12"/>
      <c r="K196" s="12"/>
      <c r="L196" s="51"/>
      <c r="M196" s="12"/>
      <c r="N196" s="12"/>
      <c r="O196" s="12"/>
      <c r="P196" s="12"/>
      <c r="Q196" s="12"/>
    </row>
    <row r="197" spans="1:17" ht="15.75" customHeight="1" x14ac:dyDescent="0.15">
      <c r="A197" s="16"/>
      <c r="B197" s="43"/>
      <c r="C197" s="43"/>
      <c r="D197" s="16"/>
      <c r="E197" s="16"/>
      <c r="F197" s="16"/>
      <c r="G197" s="12"/>
      <c r="H197" s="12"/>
      <c r="I197" s="12"/>
      <c r="J197" s="12"/>
      <c r="K197" s="12"/>
      <c r="L197" s="51"/>
      <c r="M197" s="12"/>
      <c r="N197" s="12"/>
      <c r="O197" s="12"/>
      <c r="P197" s="12"/>
      <c r="Q197" s="12"/>
    </row>
    <row r="198" spans="1:17" ht="15.75" customHeight="1" x14ac:dyDescent="0.15">
      <c r="A198" s="16"/>
      <c r="B198" s="43"/>
      <c r="C198" s="43"/>
      <c r="D198" s="16"/>
      <c r="E198" s="16"/>
      <c r="F198" s="16"/>
      <c r="G198" s="12"/>
      <c r="H198" s="12"/>
      <c r="I198" s="12"/>
      <c r="J198" s="12"/>
      <c r="K198" s="12"/>
      <c r="L198" s="51"/>
      <c r="M198" s="12"/>
      <c r="N198" s="12"/>
      <c r="O198" s="12"/>
      <c r="P198" s="12"/>
      <c r="Q198" s="12"/>
    </row>
    <row r="199" spans="1:17" ht="15.75" customHeight="1" x14ac:dyDescent="0.15">
      <c r="A199" s="16"/>
      <c r="B199" s="43"/>
      <c r="C199" s="43"/>
      <c r="D199" s="16"/>
      <c r="E199" s="16"/>
      <c r="F199" s="16"/>
      <c r="G199" s="12"/>
      <c r="H199" s="12"/>
      <c r="I199" s="12"/>
      <c r="J199" s="12"/>
      <c r="K199" s="12"/>
      <c r="L199" s="51"/>
      <c r="M199" s="12"/>
      <c r="N199" s="12"/>
      <c r="O199" s="12"/>
      <c r="P199" s="12"/>
      <c r="Q199" s="12"/>
    </row>
    <row r="200" spans="1:17" ht="15.75" customHeight="1" x14ac:dyDescent="0.15">
      <c r="A200" s="16"/>
      <c r="B200" s="43"/>
      <c r="C200" s="43"/>
      <c r="D200" s="16"/>
      <c r="E200" s="16"/>
      <c r="F200" s="16"/>
      <c r="G200" s="12"/>
      <c r="H200" s="12"/>
      <c r="I200" s="12"/>
      <c r="J200" s="12"/>
      <c r="K200" s="12"/>
      <c r="L200" s="51"/>
      <c r="M200" s="12"/>
      <c r="N200" s="12"/>
      <c r="O200" s="12"/>
      <c r="P200" s="12"/>
      <c r="Q200" s="12"/>
    </row>
    <row r="201" spans="1:17" ht="15.75" customHeight="1" x14ac:dyDescent="0.15">
      <c r="A201" s="16"/>
      <c r="B201" s="43"/>
      <c r="C201" s="43"/>
      <c r="D201" s="16"/>
      <c r="E201" s="16"/>
      <c r="F201" s="16"/>
      <c r="G201" s="12"/>
      <c r="H201" s="12"/>
      <c r="I201" s="12"/>
      <c r="J201" s="12"/>
      <c r="K201" s="12"/>
      <c r="L201" s="51"/>
      <c r="M201" s="12"/>
      <c r="N201" s="12"/>
      <c r="O201" s="12"/>
      <c r="P201" s="12"/>
      <c r="Q201" s="12"/>
    </row>
    <row r="202" spans="1:17" ht="15.75" customHeight="1" x14ac:dyDescent="0.15">
      <c r="A202" s="16"/>
      <c r="B202" s="43"/>
      <c r="C202" s="43"/>
      <c r="D202" s="16"/>
      <c r="E202" s="16"/>
      <c r="F202" s="16"/>
      <c r="G202" s="12"/>
      <c r="H202" s="12"/>
      <c r="I202" s="12"/>
      <c r="J202" s="12"/>
      <c r="K202" s="12"/>
      <c r="L202" s="51"/>
      <c r="M202" s="12"/>
      <c r="N202" s="12"/>
      <c r="O202" s="12"/>
      <c r="P202" s="12"/>
      <c r="Q202" s="12"/>
    </row>
    <row r="203" spans="1:17" ht="15.75" customHeight="1" x14ac:dyDescent="0.15">
      <c r="A203" s="16"/>
      <c r="B203" s="43"/>
      <c r="C203" s="43"/>
      <c r="D203" s="16"/>
      <c r="E203" s="16"/>
      <c r="F203" s="16"/>
      <c r="G203" s="12"/>
      <c r="H203" s="12"/>
      <c r="I203" s="12"/>
      <c r="J203" s="12"/>
      <c r="K203" s="12"/>
      <c r="L203" s="51"/>
      <c r="M203" s="12"/>
      <c r="N203" s="12"/>
      <c r="O203" s="12"/>
      <c r="P203" s="12"/>
      <c r="Q203" s="12"/>
    </row>
    <row r="204" spans="1:17" ht="15.75" customHeight="1" x14ac:dyDescent="0.15">
      <c r="A204" s="16"/>
      <c r="B204" s="43"/>
      <c r="C204" s="43"/>
      <c r="D204" s="16"/>
      <c r="E204" s="16"/>
      <c r="F204" s="16"/>
      <c r="G204" s="12"/>
      <c r="H204" s="12"/>
      <c r="I204" s="12"/>
      <c r="J204" s="12"/>
      <c r="K204" s="12"/>
      <c r="L204" s="51"/>
      <c r="M204" s="12"/>
      <c r="N204" s="12"/>
      <c r="O204" s="12"/>
      <c r="P204" s="12"/>
      <c r="Q204" s="12"/>
    </row>
    <row r="205" spans="1:17" ht="15.75" customHeight="1" x14ac:dyDescent="0.15">
      <c r="A205" s="16"/>
      <c r="B205" s="43"/>
      <c r="C205" s="43"/>
      <c r="D205" s="16"/>
      <c r="E205" s="16"/>
      <c r="F205" s="16"/>
      <c r="G205" s="12"/>
      <c r="H205" s="12"/>
      <c r="I205" s="12"/>
      <c r="J205" s="12"/>
      <c r="K205" s="12"/>
      <c r="L205" s="51"/>
      <c r="M205" s="12"/>
      <c r="N205" s="12"/>
      <c r="O205" s="12"/>
      <c r="P205" s="12"/>
      <c r="Q205" s="12"/>
    </row>
    <row r="206" spans="1:17" ht="15.75" customHeight="1" x14ac:dyDescent="0.15">
      <c r="A206" s="16"/>
      <c r="B206" s="43"/>
      <c r="C206" s="43"/>
      <c r="D206" s="16"/>
      <c r="E206" s="16"/>
      <c r="F206" s="16"/>
      <c r="G206" s="12"/>
      <c r="H206" s="12"/>
      <c r="I206" s="12"/>
      <c r="J206" s="12"/>
      <c r="K206" s="12"/>
      <c r="L206" s="51"/>
      <c r="M206" s="12"/>
      <c r="N206" s="12"/>
      <c r="O206" s="12"/>
      <c r="P206" s="12"/>
      <c r="Q206" s="12"/>
    </row>
    <row r="207" spans="1:17" ht="15.75" customHeight="1" x14ac:dyDescent="0.15">
      <c r="A207" s="16"/>
      <c r="B207" s="43"/>
      <c r="C207" s="43"/>
      <c r="D207" s="16"/>
      <c r="E207" s="16"/>
      <c r="F207" s="16"/>
      <c r="G207" s="12"/>
      <c r="H207" s="12"/>
      <c r="I207" s="12"/>
      <c r="J207" s="12"/>
      <c r="K207" s="12"/>
      <c r="L207" s="51"/>
      <c r="M207" s="12"/>
      <c r="N207" s="12"/>
      <c r="O207" s="12"/>
      <c r="P207" s="12"/>
      <c r="Q207" s="12"/>
    </row>
    <row r="208" spans="1:17" ht="15.75" customHeight="1" x14ac:dyDescent="0.15">
      <c r="A208" s="16"/>
      <c r="B208" s="43"/>
      <c r="C208" s="43"/>
      <c r="D208" s="16"/>
      <c r="E208" s="16"/>
      <c r="F208" s="16"/>
      <c r="G208" s="12"/>
      <c r="H208" s="12"/>
      <c r="I208" s="12"/>
      <c r="J208" s="12"/>
      <c r="K208" s="12"/>
      <c r="L208" s="51"/>
      <c r="M208" s="12"/>
      <c r="N208" s="12"/>
      <c r="O208" s="12"/>
      <c r="P208" s="12"/>
      <c r="Q208" s="12"/>
    </row>
    <row r="209" spans="1:17" ht="15.75" customHeight="1" x14ac:dyDescent="0.15">
      <c r="A209" s="16"/>
      <c r="B209" s="43"/>
      <c r="C209" s="43"/>
      <c r="D209" s="16"/>
      <c r="E209" s="16"/>
      <c r="F209" s="16"/>
      <c r="G209" s="12"/>
      <c r="H209" s="12"/>
      <c r="I209" s="12"/>
      <c r="J209" s="12"/>
      <c r="K209" s="12"/>
      <c r="L209" s="51"/>
      <c r="M209" s="12"/>
      <c r="N209" s="12"/>
      <c r="O209" s="12"/>
      <c r="P209" s="12"/>
      <c r="Q209" s="12"/>
    </row>
    <row r="210" spans="1:17" ht="15.75" customHeight="1" x14ac:dyDescent="0.15">
      <c r="A210" s="16"/>
      <c r="B210" s="43"/>
      <c r="C210" s="43"/>
      <c r="D210" s="16"/>
      <c r="E210" s="16"/>
      <c r="F210" s="16"/>
      <c r="G210" s="12"/>
      <c r="H210" s="12"/>
      <c r="I210" s="12"/>
      <c r="J210" s="12"/>
      <c r="K210" s="12"/>
      <c r="L210" s="51"/>
      <c r="M210" s="12"/>
      <c r="N210" s="12"/>
      <c r="O210" s="12"/>
      <c r="P210" s="12"/>
      <c r="Q210" s="12"/>
    </row>
    <row r="211" spans="1:17" ht="15.75" customHeight="1" x14ac:dyDescent="0.15">
      <c r="A211" s="16"/>
      <c r="B211" s="43"/>
      <c r="C211" s="43"/>
      <c r="D211" s="16"/>
      <c r="E211" s="16"/>
      <c r="F211" s="16"/>
      <c r="G211" s="12"/>
      <c r="H211" s="12"/>
      <c r="I211" s="12"/>
      <c r="J211" s="12"/>
      <c r="K211" s="12"/>
      <c r="L211" s="51"/>
      <c r="M211" s="12"/>
      <c r="N211" s="12"/>
      <c r="O211" s="12"/>
      <c r="P211" s="12"/>
      <c r="Q211" s="12"/>
    </row>
    <row r="212" spans="1:17" ht="15.75" customHeight="1" x14ac:dyDescent="0.15">
      <c r="A212" s="16"/>
      <c r="B212" s="43"/>
      <c r="C212" s="43"/>
      <c r="D212" s="16"/>
      <c r="E212" s="16"/>
      <c r="F212" s="16"/>
      <c r="G212" s="12"/>
      <c r="H212" s="12"/>
      <c r="I212" s="12"/>
      <c r="J212" s="12"/>
      <c r="K212" s="12"/>
      <c r="L212" s="51"/>
      <c r="M212" s="12"/>
      <c r="N212" s="12"/>
      <c r="O212" s="12"/>
      <c r="P212" s="12"/>
      <c r="Q212" s="12"/>
    </row>
    <row r="213" spans="1:17" ht="15.75" customHeight="1" x14ac:dyDescent="0.15">
      <c r="A213" s="16"/>
      <c r="B213" s="43"/>
      <c r="C213" s="43"/>
      <c r="D213" s="16"/>
      <c r="E213" s="16"/>
      <c r="F213" s="16"/>
      <c r="G213" s="12"/>
      <c r="H213" s="12"/>
      <c r="I213" s="12"/>
      <c r="J213" s="12"/>
      <c r="K213" s="12"/>
      <c r="L213" s="51"/>
      <c r="M213" s="12"/>
      <c r="N213" s="12"/>
      <c r="O213" s="12"/>
      <c r="P213" s="12"/>
      <c r="Q213" s="12"/>
    </row>
    <row r="214" spans="1:17" ht="15.75" customHeight="1" x14ac:dyDescent="0.15">
      <c r="A214" s="16"/>
      <c r="B214" s="43"/>
      <c r="C214" s="43"/>
      <c r="D214" s="16"/>
      <c r="E214" s="16"/>
      <c r="F214" s="16"/>
      <c r="G214" s="12"/>
      <c r="H214" s="12"/>
      <c r="I214" s="12"/>
      <c r="J214" s="12"/>
      <c r="K214" s="12"/>
      <c r="L214" s="51"/>
      <c r="M214" s="12"/>
      <c r="N214" s="12"/>
      <c r="O214" s="12"/>
      <c r="P214" s="12"/>
      <c r="Q214" s="12"/>
    </row>
    <row r="215" spans="1:17" ht="15.75" customHeight="1" x14ac:dyDescent="0.15">
      <c r="A215" s="16"/>
      <c r="B215" s="43"/>
      <c r="C215" s="43"/>
      <c r="D215" s="16"/>
      <c r="E215" s="16"/>
      <c r="F215" s="16"/>
      <c r="G215" s="12"/>
      <c r="H215" s="12"/>
      <c r="I215" s="12"/>
      <c r="J215" s="12"/>
      <c r="K215" s="12"/>
      <c r="L215" s="51"/>
      <c r="M215" s="12"/>
      <c r="N215" s="12"/>
      <c r="O215" s="12"/>
      <c r="P215" s="12"/>
      <c r="Q215" s="12"/>
    </row>
    <row r="216" spans="1:17" ht="15.75" customHeight="1" x14ac:dyDescent="0.15">
      <c r="A216" s="16"/>
      <c r="B216" s="43"/>
      <c r="C216" s="43"/>
      <c r="D216" s="16"/>
      <c r="E216" s="16"/>
      <c r="F216" s="16"/>
      <c r="G216" s="12"/>
      <c r="H216" s="12"/>
      <c r="I216" s="12"/>
      <c r="J216" s="12"/>
      <c r="K216" s="12"/>
      <c r="L216" s="51"/>
      <c r="M216" s="12"/>
      <c r="N216" s="12"/>
      <c r="O216" s="12"/>
      <c r="P216" s="12"/>
      <c r="Q216" s="12"/>
    </row>
    <row r="217" spans="1:17" ht="15.75" customHeight="1" x14ac:dyDescent="0.15">
      <c r="A217" s="16"/>
      <c r="B217" s="43"/>
      <c r="C217" s="43"/>
      <c r="D217" s="16"/>
      <c r="E217" s="16"/>
      <c r="F217" s="16"/>
      <c r="G217" s="12"/>
      <c r="H217" s="12"/>
      <c r="I217" s="12"/>
      <c r="J217" s="12"/>
      <c r="K217" s="12"/>
      <c r="L217" s="51"/>
      <c r="M217" s="12"/>
      <c r="N217" s="12"/>
      <c r="O217" s="12"/>
      <c r="P217" s="12"/>
      <c r="Q217" s="12"/>
    </row>
    <row r="218" spans="1:17" ht="15.75" customHeight="1" x14ac:dyDescent="0.15">
      <c r="A218" s="16"/>
      <c r="B218" s="43"/>
      <c r="C218" s="43"/>
      <c r="D218" s="16"/>
      <c r="E218" s="16"/>
      <c r="F218" s="16"/>
      <c r="G218" s="12"/>
      <c r="H218" s="12"/>
      <c r="I218" s="12"/>
      <c r="J218" s="12"/>
      <c r="K218" s="12"/>
      <c r="L218" s="51"/>
      <c r="M218" s="12"/>
      <c r="N218" s="12"/>
      <c r="O218" s="12"/>
      <c r="P218" s="12"/>
      <c r="Q218" s="12"/>
    </row>
    <row r="219" spans="1:17" ht="15.75" customHeight="1" x14ac:dyDescent="0.15">
      <c r="A219" s="16"/>
      <c r="B219" s="43"/>
      <c r="C219" s="43"/>
      <c r="D219" s="16"/>
      <c r="E219" s="16"/>
      <c r="F219" s="16"/>
      <c r="G219" s="12"/>
      <c r="H219" s="12"/>
      <c r="I219" s="12"/>
      <c r="J219" s="12"/>
      <c r="K219" s="12"/>
      <c r="L219" s="51"/>
      <c r="M219" s="12"/>
      <c r="N219" s="12"/>
      <c r="O219" s="12"/>
      <c r="P219" s="12"/>
      <c r="Q219" s="12"/>
    </row>
    <row r="220" spans="1:17" ht="15.75" customHeight="1" x14ac:dyDescent="0.15">
      <c r="A220" s="16"/>
      <c r="B220" s="43"/>
      <c r="C220" s="43"/>
      <c r="D220" s="16"/>
      <c r="E220" s="16"/>
      <c r="F220" s="16"/>
      <c r="G220" s="12"/>
      <c r="H220" s="12"/>
      <c r="I220" s="12"/>
      <c r="J220" s="12"/>
      <c r="K220" s="12"/>
      <c r="L220" s="51"/>
      <c r="M220" s="12"/>
      <c r="N220" s="12"/>
      <c r="O220" s="12"/>
      <c r="P220" s="12"/>
      <c r="Q220" s="12"/>
    </row>
    <row r="221" spans="1:17" ht="15.75" customHeight="1" x14ac:dyDescent="0.15">
      <c r="A221" s="16"/>
      <c r="B221" s="43"/>
      <c r="C221" s="43"/>
      <c r="D221" s="16"/>
      <c r="E221" s="16"/>
      <c r="F221" s="16"/>
      <c r="G221" s="12"/>
      <c r="H221" s="12"/>
      <c r="I221" s="12"/>
      <c r="J221" s="12"/>
      <c r="K221" s="12"/>
      <c r="L221" s="51"/>
      <c r="M221" s="12"/>
      <c r="N221" s="12"/>
      <c r="O221" s="12"/>
      <c r="P221" s="12"/>
      <c r="Q221" s="12"/>
    </row>
    <row r="222" spans="1:17" ht="15.75" customHeight="1" x14ac:dyDescent="0.15">
      <c r="A222" s="16"/>
      <c r="B222" s="43"/>
      <c r="C222" s="43"/>
      <c r="D222" s="16"/>
      <c r="E222" s="16"/>
      <c r="F222" s="16"/>
      <c r="G222" s="12"/>
      <c r="H222" s="12"/>
      <c r="I222" s="12"/>
      <c r="J222" s="12"/>
      <c r="K222" s="12"/>
      <c r="L222" s="51"/>
      <c r="M222" s="12"/>
      <c r="N222" s="12"/>
      <c r="O222" s="12"/>
      <c r="P222" s="12"/>
      <c r="Q222" s="12"/>
    </row>
    <row r="223" spans="1:17" ht="15.75" customHeight="1" x14ac:dyDescent="0.15">
      <c r="A223" s="16"/>
      <c r="B223" s="43"/>
      <c r="C223" s="43"/>
      <c r="D223" s="16"/>
      <c r="E223" s="16"/>
      <c r="F223" s="16"/>
      <c r="G223" s="12"/>
      <c r="H223" s="12"/>
      <c r="I223" s="12"/>
      <c r="J223" s="12"/>
      <c r="K223" s="12"/>
      <c r="L223" s="51"/>
      <c r="M223" s="12"/>
      <c r="N223" s="12"/>
      <c r="O223" s="12"/>
      <c r="P223" s="12"/>
      <c r="Q223" s="12"/>
    </row>
    <row r="224" spans="1:17" ht="15.75" customHeight="1" x14ac:dyDescent="0.15">
      <c r="A224" s="16"/>
      <c r="B224" s="43"/>
      <c r="C224" s="43"/>
      <c r="D224" s="16"/>
      <c r="E224" s="16"/>
      <c r="F224" s="16"/>
      <c r="G224" s="12"/>
      <c r="H224" s="12"/>
      <c r="I224" s="12"/>
      <c r="J224" s="12"/>
      <c r="K224" s="12"/>
      <c r="L224" s="51"/>
      <c r="M224" s="12"/>
      <c r="N224" s="12"/>
      <c r="O224" s="12"/>
      <c r="P224" s="12"/>
      <c r="Q224" s="12"/>
    </row>
    <row r="225" spans="1:17" ht="15.75" customHeight="1" x14ac:dyDescent="0.15">
      <c r="A225" s="16"/>
      <c r="B225" s="43"/>
      <c r="C225" s="43"/>
      <c r="D225" s="16"/>
      <c r="E225" s="16"/>
      <c r="F225" s="16"/>
      <c r="G225" s="12"/>
      <c r="H225" s="12"/>
      <c r="I225" s="12"/>
      <c r="J225" s="12"/>
      <c r="K225" s="12"/>
      <c r="L225" s="51"/>
      <c r="M225" s="12"/>
      <c r="N225" s="12"/>
      <c r="O225" s="12"/>
      <c r="P225" s="12"/>
      <c r="Q225" s="12"/>
    </row>
    <row r="226" spans="1:17" ht="15.75" customHeight="1" x14ac:dyDescent="0.15">
      <c r="A226" s="16"/>
      <c r="B226" s="43"/>
      <c r="C226" s="43"/>
      <c r="D226" s="16"/>
      <c r="E226" s="16"/>
      <c r="F226" s="16"/>
      <c r="G226" s="12"/>
      <c r="H226" s="12"/>
      <c r="I226" s="12"/>
      <c r="J226" s="12"/>
      <c r="K226" s="12"/>
      <c r="L226" s="51"/>
      <c r="M226" s="12"/>
      <c r="N226" s="12"/>
      <c r="O226" s="12"/>
      <c r="P226" s="12"/>
      <c r="Q226" s="12"/>
    </row>
    <row r="227" spans="1:17" ht="15.75" customHeight="1" x14ac:dyDescent="0.15">
      <c r="A227" s="16"/>
      <c r="B227" s="43"/>
      <c r="C227" s="43"/>
      <c r="D227" s="16"/>
      <c r="E227" s="16"/>
      <c r="F227" s="16"/>
      <c r="G227" s="12"/>
      <c r="H227" s="12"/>
      <c r="I227" s="12"/>
      <c r="J227" s="12"/>
      <c r="K227" s="12"/>
      <c r="L227" s="51"/>
      <c r="M227" s="12"/>
      <c r="N227" s="12"/>
      <c r="O227" s="12"/>
      <c r="P227" s="12"/>
      <c r="Q227" s="12"/>
    </row>
    <row r="228" spans="1:17" ht="15.75" customHeight="1" x14ac:dyDescent="0.15">
      <c r="A228" s="16"/>
      <c r="B228" s="43"/>
      <c r="C228" s="43"/>
      <c r="D228" s="16"/>
      <c r="E228" s="16"/>
      <c r="F228" s="16"/>
      <c r="G228" s="12"/>
      <c r="H228" s="12"/>
      <c r="I228" s="12"/>
      <c r="J228" s="12"/>
      <c r="K228" s="12"/>
      <c r="L228" s="51"/>
      <c r="M228" s="12"/>
      <c r="N228" s="12"/>
      <c r="O228" s="12"/>
      <c r="P228" s="12"/>
      <c r="Q228" s="12"/>
    </row>
    <row r="229" spans="1:17" ht="15.75" customHeight="1" x14ac:dyDescent="0.15">
      <c r="A229" s="16"/>
      <c r="B229" s="43"/>
      <c r="C229" s="43"/>
      <c r="D229" s="16"/>
      <c r="E229" s="16"/>
      <c r="F229" s="16"/>
      <c r="G229" s="12"/>
      <c r="H229" s="12"/>
      <c r="I229" s="12"/>
      <c r="J229" s="12"/>
      <c r="K229" s="12"/>
      <c r="L229" s="51"/>
      <c r="M229" s="12"/>
      <c r="N229" s="12"/>
      <c r="O229" s="12"/>
      <c r="P229" s="12"/>
      <c r="Q229" s="12"/>
    </row>
    <row r="230" spans="1:17" ht="15.75" customHeight="1" x14ac:dyDescent="0.15">
      <c r="A230" s="16"/>
      <c r="B230" s="43"/>
      <c r="C230" s="43"/>
      <c r="D230" s="16"/>
      <c r="E230" s="16"/>
      <c r="F230" s="16"/>
      <c r="G230" s="12"/>
      <c r="H230" s="12"/>
      <c r="I230" s="12"/>
      <c r="J230" s="12"/>
      <c r="K230" s="12"/>
      <c r="L230" s="51"/>
      <c r="M230" s="12"/>
      <c r="N230" s="12"/>
      <c r="O230" s="12"/>
      <c r="P230" s="12"/>
      <c r="Q230" s="12"/>
    </row>
    <row r="231" spans="1:17" ht="15.75" customHeight="1" x14ac:dyDescent="0.15">
      <c r="A231" s="16"/>
      <c r="B231" s="43"/>
      <c r="C231" s="43"/>
      <c r="D231" s="16"/>
      <c r="E231" s="16"/>
      <c r="F231" s="16"/>
      <c r="G231" s="12"/>
      <c r="H231" s="12"/>
      <c r="I231" s="12"/>
      <c r="J231" s="12"/>
      <c r="K231" s="12"/>
      <c r="L231" s="51"/>
      <c r="M231" s="12"/>
      <c r="N231" s="12"/>
      <c r="O231" s="12"/>
      <c r="P231" s="12"/>
      <c r="Q231" s="12"/>
    </row>
    <row r="232" spans="1:17" ht="15.75" customHeight="1" x14ac:dyDescent="0.15">
      <c r="A232" s="16"/>
      <c r="B232" s="43"/>
      <c r="C232" s="43"/>
      <c r="D232" s="16"/>
      <c r="E232" s="16"/>
      <c r="F232" s="16"/>
      <c r="G232" s="12"/>
      <c r="H232" s="12"/>
      <c r="I232" s="12"/>
      <c r="J232" s="12"/>
      <c r="K232" s="12"/>
      <c r="L232" s="51"/>
      <c r="M232" s="12"/>
      <c r="N232" s="12"/>
      <c r="O232" s="12"/>
      <c r="P232" s="12"/>
      <c r="Q232" s="12"/>
    </row>
    <row r="233" spans="1:17" ht="15.75" customHeight="1" x14ac:dyDescent="0.15">
      <c r="A233" s="16"/>
      <c r="B233" s="43"/>
      <c r="C233" s="43"/>
      <c r="D233" s="16"/>
      <c r="E233" s="16"/>
      <c r="F233" s="16"/>
      <c r="G233" s="12"/>
      <c r="H233" s="12"/>
      <c r="I233" s="12"/>
      <c r="J233" s="12"/>
      <c r="K233" s="12"/>
      <c r="L233" s="51"/>
      <c r="M233" s="12"/>
      <c r="N233" s="12"/>
      <c r="O233" s="12"/>
      <c r="P233" s="12"/>
      <c r="Q233" s="12"/>
    </row>
    <row r="234" spans="1:17" ht="15.75" customHeight="1" x14ac:dyDescent="0.15">
      <c r="A234" s="16"/>
      <c r="B234" s="43"/>
      <c r="C234" s="43"/>
      <c r="D234" s="16"/>
      <c r="E234" s="16"/>
      <c r="F234" s="16"/>
      <c r="G234" s="12"/>
      <c r="H234" s="12"/>
      <c r="I234" s="12"/>
      <c r="J234" s="12"/>
      <c r="K234" s="12"/>
      <c r="L234" s="51"/>
      <c r="M234" s="12"/>
      <c r="N234" s="12"/>
      <c r="O234" s="12"/>
      <c r="P234" s="12"/>
      <c r="Q234" s="12"/>
    </row>
    <row r="235" spans="1:17" ht="15.75" customHeight="1" x14ac:dyDescent="0.15">
      <c r="A235" s="16"/>
      <c r="B235" s="43"/>
      <c r="C235" s="43"/>
      <c r="D235" s="16"/>
      <c r="E235" s="16"/>
      <c r="F235" s="16"/>
      <c r="G235" s="12"/>
      <c r="H235" s="12"/>
      <c r="I235" s="12"/>
      <c r="J235" s="12"/>
      <c r="K235" s="12"/>
      <c r="L235" s="51"/>
      <c r="M235" s="12"/>
      <c r="N235" s="12"/>
      <c r="O235" s="12"/>
      <c r="P235" s="12"/>
      <c r="Q235" s="12"/>
    </row>
    <row r="236" spans="1:17" ht="15.75" customHeight="1" x14ac:dyDescent="0.15">
      <c r="A236" s="16"/>
      <c r="B236" s="43"/>
      <c r="C236" s="43"/>
      <c r="D236" s="16"/>
      <c r="E236" s="16"/>
      <c r="F236" s="16"/>
      <c r="G236" s="12"/>
      <c r="H236" s="12"/>
      <c r="I236" s="12"/>
      <c r="J236" s="12"/>
      <c r="K236" s="12"/>
      <c r="L236" s="51"/>
      <c r="M236" s="12"/>
      <c r="N236" s="12"/>
      <c r="O236" s="12"/>
      <c r="P236" s="12"/>
      <c r="Q236" s="12"/>
    </row>
    <row r="237" spans="1:17" ht="15.75" customHeight="1" x14ac:dyDescent="0.15">
      <c r="A237" s="16"/>
      <c r="B237" s="43"/>
      <c r="C237" s="43"/>
      <c r="D237" s="16"/>
      <c r="E237" s="16"/>
      <c r="F237" s="16"/>
      <c r="G237" s="12"/>
      <c r="H237" s="12"/>
      <c r="I237" s="12"/>
      <c r="J237" s="12"/>
      <c r="K237" s="12"/>
      <c r="L237" s="51"/>
      <c r="M237" s="12"/>
      <c r="N237" s="12"/>
      <c r="O237" s="12"/>
      <c r="P237" s="12"/>
      <c r="Q237" s="12"/>
    </row>
    <row r="238" spans="1:17" ht="15.75" customHeight="1" x14ac:dyDescent="0.15">
      <c r="A238" s="16"/>
      <c r="B238" s="43"/>
      <c r="C238" s="43"/>
      <c r="D238" s="16"/>
      <c r="E238" s="16"/>
      <c r="F238" s="16"/>
      <c r="G238" s="12"/>
      <c r="H238" s="12"/>
      <c r="I238" s="12"/>
      <c r="J238" s="12"/>
      <c r="K238" s="12"/>
      <c r="L238" s="51"/>
      <c r="M238" s="12"/>
      <c r="N238" s="12"/>
      <c r="O238" s="12"/>
      <c r="P238" s="12"/>
      <c r="Q238" s="12"/>
    </row>
    <row r="239" spans="1:17" ht="15.75" customHeight="1" x14ac:dyDescent="0.15">
      <c r="A239" s="16"/>
      <c r="B239" s="43"/>
      <c r="C239" s="43"/>
      <c r="D239" s="16"/>
      <c r="E239" s="16"/>
      <c r="F239" s="16"/>
      <c r="G239" s="12"/>
      <c r="H239" s="12"/>
      <c r="I239" s="12"/>
      <c r="J239" s="12"/>
      <c r="K239" s="12"/>
      <c r="L239" s="51"/>
      <c r="M239" s="12"/>
      <c r="N239" s="12"/>
      <c r="O239" s="12"/>
      <c r="P239" s="12"/>
      <c r="Q239" s="12"/>
    </row>
    <row r="240" spans="1:17" ht="15.75" customHeight="1" x14ac:dyDescent="0.15">
      <c r="A240" s="16"/>
      <c r="B240" s="43"/>
      <c r="C240" s="43"/>
      <c r="D240" s="16"/>
      <c r="E240" s="16"/>
      <c r="F240" s="16"/>
      <c r="G240" s="12"/>
      <c r="H240" s="12"/>
      <c r="I240" s="12"/>
      <c r="J240" s="12"/>
      <c r="K240" s="12"/>
      <c r="L240" s="51"/>
      <c r="M240" s="12"/>
      <c r="N240" s="12"/>
      <c r="O240" s="12"/>
      <c r="P240" s="12"/>
      <c r="Q240" s="12"/>
    </row>
    <row r="241" spans="1:17" ht="15.75" customHeight="1" x14ac:dyDescent="0.15">
      <c r="A241" s="16"/>
      <c r="B241" s="43"/>
      <c r="C241" s="43"/>
      <c r="D241" s="16"/>
      <c r="E241" s="16"/>
      <c r="F241" s="16"/>
      <c r="G241" s="12"/>
      <c r="H241" s="12"/>
      <c r="I241" s="12"/>
      <c r="J241" s="12"/>
      <c r="K241" s="12"/>
      <c r="L241" s="51"/>
      <c r="M241" s="12"/>
      <c r="N241" s="12"/>
      <c r="O241" s="12"/>
      <c r="P241" s="12"/>
      <c r="Q241" s="12"/>
    </row>
    <row r="242" spans="1:17" ht="15.75" customHeight="1" x14ac:dyDescent="0.15">
      <c r="A242" s="16"/>
      <c r="B242" s="43"/>
      <c r="C242" s="43"/>
      <c r="D242" s="16"/>
      <c r="E242" s="16"/>
      <c r="F242" s="16"/>
      <c r="G242" s="12"/>
      <c r="H242" s="12"/>
      <c r="I242" s="12"/>
      <c r="J242" s="12"/>
      <c r="K242" s="12"/>
      <c r="L242" s="51"/>
      <c r="M242" s="12"/>
      <c r="N242" s="12"/>
      <c r="O242" s="12"/>
      <c r="P242" s="12"/>
      <c r="Q242" s="12"/>
    </row>
    <row r="243" spans="1:17" ht="15.75" customHeight="1" x14ac:dyDescent="0.15">
      <c r="A243" s="16"/>
      <c r="B243" s="43"/>
      <c r="C243" s="43"/>
      <c r="D243" s="16"/>
      <c r="E243" s="16"/>
      <c r="F243" s="16"/>
      <c r="G243" s="12"/>
      <c r="H243" s="12"/>
      <c r="I243" s="12"/>
      <c r="J243" s="12"/>
      <c r="K243" s="12"/>
      <c r="L243" s="51"/>
      <c r="M243" s="12"/>
      <c r="N243" s="12"/>
      <c r="O243" s="12"/>
      <c r="P243" s="12"/>
      <c r="Q243" s="12"/>
    </row>
    <row r="244" spans="1:17" ht="15.75" customHeight="1" x14ac:dyDescent="0.15">
      <c r="A244" s="16"/>
      <c r="B244" s="43"/>
      <c r="C244" s="43"/>
      <c r="D244" s="16"/>
      <c r="E244" s="16"/>
      <c r="F244" s="16"/>
      <c r="G244" s="12"/>
      <c r="H244" s="12"/>
      <c r="I244" s="12"/>
      <c r="J244" s="12"/>
      <c r="K244" s="12"/>
      <c r="L244" s="51"/>
      <c r="M244" s="12"/>
      <c r="N244" s="12"/>
      <c r="O244" s="12"/>
      <c r="P244" s="12"/>
      <c r="Q244" s="12"/>
    </row>
    <row r="245" spans="1:17" ht="15.75" customHeight="1" x14ac:dyDescent="0.15">
      <c r="A245" s="16"/>
      <c r="B245" s="43"/>
      <c r="C245" s="43"/>
      <c r="D245" s="16"/>
      <c r="E245" s="16"/>
      <c r="F245" s="16"/>
      <c r="G245" s="12"/>
      <c r="H245" s="12"/>
      <c r="I245" s="12"/>
      <c r="J245" s="12"/>
      <c r="K245" s="12"/>
      <c r="L245" s="51"/>
      <c r="M245" s="12"/>
      <c r="N245" s="12"/>
      <c r="O245" s="12"/>
      <c r="P245" s="12"/>
      <c r="Q245" s="12"/>
    </row>
    <row r="246" spans="1:17" ht="15.75" customHeight="1" x14ac:dyDescent="0.15">
      <c r="A246" s="16"/>
      <c r="B246" s="43"/>
      <c r="C246" s="43"/>
      <c r="D246" s="16"/>
      <c r="E246" s="16"/>
      <c r="F246" s="16"/>
      <c r="G246" s="12"/>
      <c r="H246" s="12"/>
      <c r="I246" s="12"/>
      <c r="J246" s="12"/>
      <c r="K246" s="12"/>
      <c r="L246" s="51"/>
      <c r="M246" s="12"/>
      <c r="N246" s="12"/>
      <c r="O246" s="12"/>
      <c r="P246" s="12"/>
      <c r="Q246" s="12"/>
    </row>
    <row r="247" spans="1:17" ht="15.75" customHeight="1" x14ac:dyDescent="0.15">
      <c r="A247" s="16"/>
      <c r="B247" s="43"/>
      <c r="C247" s="43"/>
      <c r="D247" s="16"/>
      <c r="E247" s="16"/>
      <c r="F247" s="16"/>
      <c r="G247" s="12"/>
      <c r="H247" s="12"/>
      <c r="I247" s="12"/>
      <c r="J247" s="12"/>
      <c r="K247" s="12"/>
      <c r="L247" s="51"/>
      <c r="M247" s="12"/>
      <c r="N247" s="12"/>
      <c r="O247" s="12"/>
      <c r="P247" s="12"/>
      <c r="Q247" s="12"/>
    </row>
    <row r="248" spans="1:17" ht="15.75" customHeight="1" x14ac:dyDescent="0.15">
      <c r="A248" s="16"/>
      <c r="B248" s="43"/>
      <c r="C248" s="43"/>
      <c r="D248" s="16"/>
      <c r="E248" s="16"/>
      <c r="F248" s="16"/>
      <c r="G248" s="12"/>
      <c r="H248" s="12"/>
      <c r="I248" s="12"/>
      <c r="J248" s="12"/>
      <c r="K248" s="12"/>
      <c r="L248" s="51"/>
      <c r="M248" s="12"/>
      <c r="N248" s="12"/>
      <c r="O248" s="12"/>
      <c r="P248" s="12"/>
      <c r="Q248" s="12"/>
    </row>
    <row r="249" spans="1:17" ht="15.75" customHeight="1" x14ac:dyDescent="0.15">
      <c r="A249" s="16"/>
      <c r="B249" s="43"/>
      <c r="C249" s="43"/>
      <c r="D249" s="16"/>
      <c r="E249" s="16"/>
      <c r="F249" s="16"/>
      <c r="G249" s="12"/>
      <c r="H249" s="12"/>
      <c r="I249" s="12"/>
      <c r="J249" s="12"/>
      <c r="K249" s="12"/>
      <c r="L249" s="51"/>
      <c r="M249" s="12"/>
      <c r="N249" s="12"/>
      <c r="O249" s="12"/>
      <c r="P249" s="12"/>
      <c r="Q249" s="12"/>
    </row>
    <row r="250" spans="1:17" ht="15.75" customHeight="1" x14ac:dyDescent="0.15">
      <c r="A250" s="16"/>
      <c r="B250" s="43"/>
      <c r="C250" s="43"/>
      <c r="D250" s="16"/>
      <c r="E250" s="16"/>
      <c r="F250" s="16"/>
      <c r="G250" s="12"/>
      <c r="H250" s="12"/>
      <c r="I250" s="12"/>
      <c r="J250" s="12"/>
      <c r="K250" s="12"/>
      <c r="L250" s="51"/>
      <c r="M250" s="12"/>
      <c r="N250" s="12"/>
      <c r="O250" s="12"/>
      <c r="P250" s="12"/>
      <c r="Q250" s="12"/>
    </row>
    <row r="251" spans="1:17" ht="15.75" customHeight="1" x14ac:dyDescent="0.15">
      <c r="A251" s="16"/>
      <c r="B251" s="43"/>
      <c r="C251" s="43"/>
      <c r="D251" s="16"/>
      <c r="E251" s="16"/>
      <c r="F251" s="16"/>
      <c r="G251" s="12"/>
      <c r="H251" s="12"/>
      <c r="I251" s="12"/>
      <c r="J251" s="12"/>
      <c r="K251" s="12"/>
      <c r="L251" s="51"/>
      <c r="M251" s="12"/>
      <c r="N251" s="12"/>
      <c r="O251" s="12"/>
      <c r="P251" s="12"/>
      <c r="Q251" s="12"/>
    </row>
    <row r="252" spans="1:17" ht="15.75" customHeight="1" x14ac:dyDescent="0.15">
      <c r="A252" s="16"/>
      <c r="B252" s="43"/>
      <c r="C252" s="43"/>
      <c r="D252" s="16"/>
      <c r="E252" s="16"/>
      <c r="F252" s="16"/>
      <c r="G252" s="12"/>
      <c r="H252" s="12"/>
      <c r="I252" s="12"/>
      <c r="J252" s="12"/>
      <c r="K252" s="12"/>
      <c r="L252" s="51"/>
      <c r="M252" s="12"/>
      <c r="N252" s="12"/>
      <c r="O252" s="12"/>
      <c r="P252" s="12"/>
      <c r="Q252" s="12"/>
    </row>
    <row r="253" spans="1:17" ht="15.75" customHeight="1" x14ac:dyDescent="0.15">
      <c r="A253" s="16"/>
      <c r="B253" s="43"/>
      <c r="C253" s="43"/>
      <c r="D253" s="16"/>
      <c r="E253" s="16"/>
      <c r="F253" s="16"/>
      <c r="G253" s="12"/>
      <c r="H253" s="12"/>
      <c r="I253" s="12"/>
      <c r="J253" s="12"/>
      <c r="K253" s="12"/>
      <c r="L253" s="51"/>
      <c r="M253" s="12"/>
      <c r="N253" s="12"/>
      <c r="O253" s="12"/>
      <c r="P253" s="12"/>
      <c r="Q253" s="12"/>
    </row>
    <row r="254" spans="1:17" ht="15.75" customHeight="1" x14ac:dyDescent="0.15"/>
    <row r="255" spans="1:17" ht="15.75" customHeight="1" x14ac:dyDescent="0.15"/>
    <row r="256" spans="1:17"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hyperlinks>
    <hyperlink ref="A2" r:id="rId1" xr:uid="{00000000-0004-0000-1100-000000000000}"/>
    <hyperlink ref="Q3" r:id="rId2" xr:uid="{00000000-0004-0000-1100-000001000000}"/>
    <hyperlink ref="Q4" r:id="rId3" xr:uid="{00000000-0004-0000-1100-000002000000}"/>
  </hyperlink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Z1000"/>
  <sheetViews>
    <sheetView workbookViewId="0"/>
  </sheetViews>
  <sheetFormatPr baseColWidth="10" defaultColWidth="14.5" defaultRowHeight="15" customHeight="1" x14ac:dyDescent="0.15"/>
  <cols>
    <col min="1" max="1" width="16.6640625" customWidth="1"/>
    <col min="2" max="3" width="16.1640625" customWidth="1"/>
    <col min="4" max="4" width="13.5" customWidth="1"/>
    <col min="5" max="6" width="14.5" customWidth="1"/>
    <col min="7" max="7" width="9.1640625" customWidth="1"/>
    <col min="8" max="8" width="35.5" customWidth="1"/>
    <col min="9" max="9" width="19.33203125" customWidth="1"/>
    <col min="10" max="10" width="4.83203125" customWidth="1"/>
    <col min="11" max="11" width="31.5" customWidth="1"/>
    <col min="12" max="12" width="17.1640625" customWidth="1"/>
    <col min="13" max="13" width="7" customWidth="1"/>
    <col min="14" max="14" width="23.83203125" customWidth="1"/>
    <col min="15" max="18" width="15.83203125" customWidth="1"/>
    <col min="19" max="19" width="7" customWidth="1"/>
    <col min="20" max="20" width="89" customWidth="1"/>
  </cols>
  <sheetData>
    <row r="1" spans="1:26" ht="15.75" customHeight="1" x14ac:dyDescent="0.2">
      <c r="A1" s="38" t="s">
        <v>795</v>
      </c>
      <c r="B1" s="39"/>
      <c r="C1" s="39"/>
      <c r="D1" s="3"/>
      <c r="E1" s="3"/>
      <c r="F1" s="3"/>
      <c r="G1" s="40"/>
      <c r="H1" s="38" t="s">
        <v>796</v>
      </c>
      <c r="I1" s="40"/>
      <c r="J1" s="40"/>
      <c r="K1" s="73"/>
      <c r="L1" s="40"/>
      <c r="M1" s="40"/>
      <c r="N1" s="2"/>
      <c r="O1" s="2"/>
      <c r="P1" s="40"/>
      <c r="Q1" s="40"/>
      <c r="R1" s="40"/>
      <c r="S1" s="40"/>
      <c r="T1" s="2"/>
      <c r="U1" s="41"/>
      <c r="V1" s="41"/>
      <c r="W1" s="41"/>
      <c r="X1" s="41"/>
      <c r="Y1" s="41"/>
      <c r="Z1" s="41"/>
    </row>
    <row r="2" spans="1:26" ht="30.75" customHeight="1" x14ac:dyDescent="0.2">
      <c r="A2" s="42" t="s">
        <v>797</v>
      </c>
      <c r="B2" s="43"/>
      <c r="C2" s="43"/>
      <c r="D2" s="16"/>
      <c r="E2" s="16"/>
      <c r="F2" s="16"/>
      <c r="G2" s="12"/>
      <c r="H2" s="44" t="s">
        <v>73</v>
      </c>
      <c r="I2" s="45"/>
      <c r="J2" s="154"/>
      <c r="K2" s="44" t="s">
        <v>413</v>
      </c>
      <c r="L2" s="45"/>
      <c r="M2" s="12"/>
      <c r="N2" s="214" t="s">
        <v>798</v>
      </c>
      <c r="O2" s="222"/>
      <c r="P2" s="222"/>
      <c r="Q2" s="222"/>
      <c r="R2" s="215"/>
      <c r="S2" s="12"/>
      <c r="T2" s="44" t="s">
        <v>76</v>
      </c>
      <c r="U2" s="41"/>
      <c r="V2" s="41"/>
      <c r="W2" s="41"/>
      <c r="X2" s="41"/>
      <c r="Y2" s="41"/>
      <c r="Z2" s="41"/>
    </row>
    <row r="3" spans="1:26" ht="30.75" customHeight="1" x14ac:dyDescent="0.2">
      <c r="A3" s="7" t="s">
        <v>18</v>
      </c>
      <c r="B3" s="7" t="s">
        <v>77</v>
      </c>
      <c r="C3" s="7" t="s">
        <v>78</v>
      </c>
      <c r="D3" s="47" t="s">
        <v>79</v>
      </c>
      <c r="E3" s="47" t="s">
        <v>80</v>
      </c>
      <c r="F3" s="48" t="s">
        <v>81</v>
      </c>
      <c r="G3" s="12"/>
      <c r="H3" s="49" t="s">
        <v>82</v>
      </c>
      <c r="I3" s="85" t="s">
        <v>366</v>
      </c>
      <c r="J3" s="36"/>
      <c r="K3" s="49" t="s">
        <v>351</v>
      </c>
      <c r="L3" s="85" t="s">
        <v>799</v>
      </c>
      <c r="M3" s="12"/>
      <c r="N3" s="155" t="s">
        <v>800</v>
      </c>
      <c r="O3" s="156" t="s">
        <v>801</v>
      </c>
      <c r="P3" s="156" t="s">
        <v>802</v>
      </c>
      <c r="Q3" s="156" t="s">
        <v>803</v>
      </c>
      <c r="R3" s="156" t="s">
        <v>804</v>
      </c>
      <c r="S3" s="12"/>
      <c r="T3" s="157" t="s">
        <v>805</v>
      </c>
      <c r="U3" s="41"/>
      <c r="V3" s="41"/>
      <c r="W3" s="41"/>
      <c r="X3" s="41"/>
      <c r="Y3" s="41"/>
      <c r="Z3" s="41"/>
    </row>
    <row r="4" spans="1:26" ht="30.75" customHeight="1" x14ac:dyDescent="0.2">
      <c r="A4" s="16">
        <v>1</v>
      </c>
      <c r="B4" s="43"/>
      <c r="C4" s="43" t="s">
        <v>806</v>
      </c>
      <c r="D4" s="15">
        <v>0</v>
      </c>
      <c r="E4" s="15">
        <f>I11</f>
        <v>1.8712500000000001</v>
      </c>
      <c r="F4" s="15">
        <f t="shared" ref="F4:F53" si="0">IFERROR(D4+E4,"error")</f>
        <v>1.8712500000000001</v>
      </c>
      <c r="G4" s="12"/>
      <c r="H4" s="52" t="s">
        <v>91</v>
      </c>
      <c r="I4" s="77">
        <v>400</v>
      </c>
      <c r="J4" s="12"/>
      <c r="K4" s="52" t="s">
        <v>92</v>
      </c>
      <c r="L4" s="77">
        <v>1</v>
      </c>
      <c r="M4" s="12"/>
      <c r="N4" s="16" t="s">
        <v>807</v>
      </c>
      <c r="O4" s="158">
        <v>0.71</v>
      </c>
      <c r="P4" s="158">
        <v>0.26500000000000001</v>
      </c>
      <c r="Q4" s="158">
        <v>2.5000000000000001E-2</v>
      </c>
      <c r="R4" s="16">
        <v>300</v>
      </c>
      <c r="S4" s="21"/>
      <c r="T4" s="157" t="s">
        <v>808</v>
      </c>
      <c r="U4" s="41"/>
      <c r="V4" s="41"/>
      <c r="W4" s="41"/>
      <c r="X4" s="41"/>
      <c r="Y4" s="41"/>
      <c r="Z4" s="41"/>
    </row>
    <row r="5" spans="1:26" ht="30.75" customHeight="1" x14ac:dyDescent="0.2">
      <c r="A5" s="16">
        <v>2</v>
      </c>
      <c r="B5" s="43" t="s">
        <v>809</v>
      </c>
      <c r="C5" s="43" t="s">
        <v>810</v>
      </c>
      <c r="D5" s="15">
        <f>10000*I16</f>
        <v>0.1497</v>
      </c>
      <c r="E5" s="15">
        <f>(2*10000*I16)</f>
        <v>0.2994</v>
      </c>
      <c r="F5" s="15">
        <f t="shared" si="0"/>
        <v>0.4491</v>
      </c>
      <c r="G5" s="12"/>
      <c r="H5" s="52" t="s">
        <v>500</v>
      </c>
      <c r="I5" s="87">
        <v>4.99</v>
      </c>
      <c r="J5" s="12"/>
      <c r="K5" s="55" t="s">
        <v>98</v>
      </c>
      <c r="L5" s="79">
        <v>20</v>
      </c>
      <c r="M5" s="12"/>
      <c r="N5" s="16" t="s">
        <v>811</v>
      </c>
      <c r="O5" s="158">
        <v>0.71</v>
      </c>
      <c r="P5" s="158">
        <v>0.26500000000000001</v>
      </c>
      <c r="Q5" s="158">
        <v>2.5000000000000001E-2</v>
      </c>
      <c r="R5" s="16">
        <v>300</v>
      </c>
      <c r="S5" s="21"/>
      <c r="T5" s="51" t="s">
        <v>812</v>
      </c>
      <c r="U5" s="41"/>
      <c r="V5" s="41"/>
      <c r="W5" s="41"/>
      <c r="X5" s="41"/>
      <c r="Y5" s="41"/>
      <c r="Z5" s="41"/>
    </row>
    <row r="6" spans="1:26" ht="30.75" customHeight="1" x14ac:dyDescent="0.2">
      <c r="A6" s="16">
        <v>3</v>
      </c>
      <c r="B6" s="16"/>
      <c r="C6" s="43" t="s">
        <v>813</v>
      </c>
      <c r="D6" s="15">
        <v>0</v>
      </c>
      <c r="E6" s="15">
        <f>I26</f>
        <v>4.36625E-2</v>
      </c>
      <c r="F6" s="15">
        <f t="shared" si="0"/>
        <v>4.36625E-2</v>
      </c>
      <c r="G6" s="12"/>
      <c r="H6" s="139" t="s">
        <v>524</v>
      </c>
      <c r="I6" s="60">
        <f>IF(I4="N/A","N/A",I5/I4)</f>
        <v>1.2475E-2</v>
      </c>
      <c r="J6" s="12"/>
      <c r="K6" s="58" t="s">
        <v>104</v>
      </c>
      <c r="L6" s="60">
        <f>IF(L4="N/A","N/A",(L5/L4))*$I$6</f>
        <v>0.2495</v>
      </c>
      <c r="M6" s="12"/>
      <c r="N6" s="16" t="s">
        <v>814</v>
      </c>
      <c r="O6" s="158">
        <v>0.71</v>
      </c>
      <c r="P6" s="158">
        <v>0.26500000000000001</v>
      </c>
      <c r="Q6" s="158">
        <v>2.5000000000000001E-2</v>
      </c>
      <c r="R6" s="16">
        <v>300</v>
      </c>
      <c r="S6" s="21"/>
      <c r="T6" s="51" t="s">
        <v>815</v>
      </c>
      <c r="U6" s="41"/>
      <c r="V6" s="41"/>
      <c r="W6" s="41"/>
      <c r="X6" s="41"/>
      <c r="Y6" s="41"/>
      <c r="Z6" s="41"/>
    </row>
    <row r="7" spans="1:26" ht="30.75" customHeight="1" x14ac:dyDescent="0.2">
      <c r="A7" s="16">
        <v>4</v>
      </c>
      <c r="B7" s="43" t="s">
        <v>816</v>
      </c>
      <c r="C7" s="43" t="s">
        <v>817</v>
      </c>
      <c r="D7" s="15">
        <f>50*I6</f>
        <v>0.62375000000000003</v>
      </c>
      <c r="E7" s="15">
        <f>100*I6</f>
        <v>1.2475000000000001</v>
      </c>
      <c r="F7" s="15">
        <f t="shared" si="0"/>
        <v>1.8712500000000001</v>
      </c>
      <c r="G7" s="12"/>
      <c r="H7" s="61"/>
      <c r="I7" s="89"/>
      <c r="J7" s="12"/>
      <c r="K7" s="12"/>
      <c r="L7" s="79"/>
      <c r="M7" s="12"/>
      <c r="N7" s="16" t="s">
        <v>818</v>
      </c>
      <c r="O7" s="158">
        <v>0.85</v>
      </c>
      <c r="P7" s="158">
        <v>0.15</v>
      </c>
      <c r="Q7" s="158">
        <v>0</v>
      </c>
      <c r="R7" s="16">
        <v>300</v>
      </c>
      <c r="S7" s="21"/>
      <c r="T7" s="105" t="s">
        <v>819</v>
      </c>
      <c r="U7" s="41"/>
      <c r="V7" s="41"/>
      <c r="W7" s="41"/>
      <c r="X7" s="41"/>
      <c r="Y7" s="41"/>
      <c r="Z7" s="41"/>
    </row>
    <row r="8" spans="1:26" ht="30.75" customHeight="1" x14ac:dyDescent="0.2">
      <c r="A8" s="16">
        <v>5</v>
      </c>
      <c r="B8" s="43"/>
      <c r="C8" s="43" t="s">
        <v>820</v>
      </c>
      <c r="D8" s="15">
        <v>0</v>
      </c>
      <c r="E8" s="15">
        <v>0</v>
      </c>
      <c r="F8" s="15">
        <f t="shared" si="0"/>
        <v>0</v>
      </c>
      <c r="G8" s="12"/>
      <c r="H8" s="49" t="s">
        <v>821</v>
      </c>
      <c r="I8" s="85" t="s">
        <v>822</v>
      </c>
      <c r="J8" s="36"/>
      <c r="K8" s="49" t="s">
        <v>367</v>
      </c>
      <c r="L8" s="85" t="s">
        <v>823</v>
      </c>
      <c r="M8" s="12"/>
      <c r="N8" s="16" t="s">
        <v>824</v>
      </c>
      <c r="O8" s="158">
        <v>0.71</v>
      </c>
      <c r="P8" s="158">
        <v>0.26500000000000001</v>
      </c>
      <c r="Q8" s="158">
        <v>2.5000000000000001E-2</v>
      </c>
      <c r="R8" s="16">
        <v>350</v>
      </c>
      <c r="S8" s="21"/>
      <c r="T8" s="105"/>
      <c r="U8" s="41"/>
      <c r="V8" s="41"/>
      <c r="W8" s="41"/>
      <c r="X8" s="41"/>
      <c r="Y8" s="41"/>
      <c r="Z8" s="41"/>
    </row>
    <row r="9" spans="1:26" ht="30.75" customHeight="1" x14ac:dyDescent="0.2">
      <c r="A9" s="16">
        <v>6</v>
      </c>
      <c r="B9" s="43" t="s">
        <v>825</v>
      </c>
      <c r="C9" s="43" t="s">
        <v>826</v>
      </c>
      <c r="D9" s="15">
        <f>1*I16</f>
        <v>1.4969999999999999E-5</v>
      </c>
      <c r="E9" s="15">
        <f>2*I16</f>
        <v>2.9939999999999998E-5</v>
      </c>
      <c r="F9" s="15">
        <f t="shared" si="0"/>
        <v>4.4909999999999995E-5</v>
      </c>
      <c r="G9" s="12"/>
      <c r="H9" s="52" t="s">
        <v>91</v>
      </c>
      <c r="I9" s="77">
        <v>1</v>
      </c>
      <c r="J9" s="12"/>
      <c r="K9" s="52" t="s">
        <v>92</v>
      </c>
      <c r="L9" s="77">
        <v>1</v>
      </c>
      <c r="M9" s="12"/>
      <c r="N9" s="28" t="s">
        <v>426</v>
      </c>
      <c r="O9" s="29">
        <f t="shared" ref="O9:R9" si="1">AVERAGE(O4:O8)</f>
        <v>0.73799999999999999</v>
      </c>
      <c r="P9" s="29">
        <f t="shared" si="1"/>
        <v>0.24199999999999999</v>
      </c>
      <c r="Q9" s="29">
        <f t="shared" si="1"/>
        <v>0.02</v>
      </c>
      <c r="R9" s="35">
        <f t="shared" si="1"/>
        <v>310</v>
      </c>
      <c r="S9" s="12"/>
      <c r="T9" s="159" t="s">
        <v>827</v>
      </c>
      <c r="U9" s="41"/>
      <c r="V9" s="41"/>
      <c r="W9" s="41"/>
      <c r="X9" s="41"/>
      <c r="Y9" s="41"/>
      <c r="Z9" s="41"/>
    </row>
    <row r="10" spans="1:26" ht="30.75" customHeight="1" x14ac:dyDescent="0.2">
      <c r="A10" s="16">
        <v>7</v>
      </c>
      <c r="B10" s="43"/>
      <c r="C10" s="43" t="s">
        <v>828</v>
      </c>
      <c r="D10" s="15">
        <v>0</v>
      </c>
      <c r="E10" s="15">
        <f>1*L21</f>
        <v>3.7425000000000002</v>
      </c>
      <c r="F10" s="15">
        <f t="shared" si="0"/>
        <v>3.7425000000000002</v>
      </c>
      <c r="G10" s="12"/>
      <c r="H10" s="52" t="s">
        <v>139</v>
      </c>
      <c r="I10" s="79">
        <v>150</v>
      </c>
      <c r="J10" s="12"/>
      <c r="K10" s="55" t="s">
        <v>98</v>
      </c>
      <c r="L10" s="79">
        <v>70</v>
      </c>
      <c r="M10" s="12"/>
      <c r="N10" s="16"/>
      <c r="O10" s="66"/>
      <c r="P10" s="66"/>
      <c r="Q10" s="66"/>
      <c r="R10" s="66"/>
      <c r="S10" s="12"/>
      <c r="T10" s="22" t="s">
        <v>829</v>
      </c>
      <c r="U10" s="41"/>
      <c r="V10" s="41"/>
      <c r="W10" s="41"/>
      <c r="X10" s="41"/>
      <c r="Y10" s="41"/>
      <c r="Z10" s="41"/>
    </row>
    <row r="11" spans="1:26" ht="30.75" customHeight="1" x14ac:dyDescent="0.2">
      <c r="A11" s="16">
        <v>8</v>
      </c>
      <c r="B11" s="43" t="s">
        <v>830</v>
      </c>
      <c r="C11" s="43" t="s">
        <v>830</v>
      </c>
      <c r="D11" s="15">
        <f>L16</f>
        <v>1.2475000000000001</v>
      </c>
      <c r="E11" s="15">
        <f>L16</f>
        <v>1.2475000000000001</v>
      </c>
      <c r="F11" s="15">
        <f t="shared" si="0"/>
        <v>2.4950000000000001</v>
      </c>
      <c r="G11" s="12"/>
      <c r="H11" s="58" t="s">
        <v>104</v>
      </c>
      <c r="I11" s="60">
        <f>IF(I9="N/A","N/A",(I10/I9)*$I$6)</f>
        <v>1.8712500000000001</v>
      </c>
      <c r="J11" s="12"/>
      <c r="K11" s="58" t="s">
        <v>104</v>
      </c>
      <c r="L11" s="60">
        <f>IF(L9="N/A","N/A",(L10/L9))*$I$6</f>
        <v>0.87324999999999997</v>
      </c>
      <c r="M11" s="12"/>
      <c r="N11" s="46" t="s">
        <v>831</v>
      </c>
      <c r="O11" s="46"/>
      <c r="P11" s="12"/>
      <c r="Q11" s="66"/>
      <c r="R11" s="66"/>
      <c r="S11" s="12"/>
      <c r="T11" s="160" t="s">
        <v>832</v>
      </c>
      <c r="U11" s="41"/>
      <c r="V11" s="41"/>
      <c r="W11" s="41"/>
      <c r="X11" s="41"/>
      <c r="Y11" s="41"/>
      <c r="Z11" s="41"/>
    </row>
    <row r="12" spans="1:26" ht="30.75" customHeight="1" x14ac:dyDescent="0.2">
      <c r="A12" s="16">
        <v>9</v>
      </c>
      <c r="B12" s="43"/>
      <c r="C12" s="43" t="s">
        <v>833</v>
      </c>
      <c r="D12" s="15">
        <v>0</v>
      </c>
      <c r="E12" s="15">
        <f>10*L6</f>
        <v>2.4950000000000001</v>
      </c>
      <c r="F12" s="15">
        <f t="shared" si="0"/>
        <v>2.4950000000000001</v>
      </c>
      <c r="G12" s="12"/>
      <c r="H12" s="52"/>
      <c r="I12" s="79"/>
      <c r="J12" s="12"/>
      <c r="K12" s="12"/>
      <c r="L12" s="90"/>
      <c r="M12" s="12"/>
      <c r="N12" s="155" t="s">
        <v>264</v>
      </c>
      <c r="O12" s="161" t="s">
        <v>834</v>
      </c>
      <c r="P12" s="69"/>
      <c r="Q12" s="66"/>
      <c r="R12" s="66"/>
      <c r="S12" s="12"/>
      <c r="T12" s="160" t="s">
        <v>835</v>
      </c>
      <c r="U12" s="41"/>
      <c r="V12" s="41"/>
      <c r="W12" s="41"/>
      <c r="X12" s="41"/>
      <c r="Y12" s="41"/>
      <c r="Z12" s="41"/>
    </row>
    <row r="13" spans="1:26" ht="30.75" customHeight="1" x14ac:dyDescent="0.2">
      <c r="A13" s="16">
        <v>10</v>
      </c>
      <c r="B13" s="43" t="s">
        <v>836</v>
      </c>
      <c r="C13" s="43" t="s">
        <v>837</v>
      </c>
      <c r="D13" s="15">
        <v>0</v>
      </c>
      <c r="E13" s="15">
        <v>0</v>
      </c>
      <c r="F13" s="15">
        <f t="shared" si="0"/>
        <v>0</v>
      </c>
      <c r="G13" s="12"/>
      <c r="H13" s="49" t="s">
        <v>236</v>
      </c>
      <c r="I13" s="85" t="s">
        <v>838</v>
      </c>
      <c r="J13" s="36"/>
      <c r="K13" s="49" t="s">
        <v>376</v>
      </c>
      <c r="L13" s="83" t="s">
        <v>839</v>
      </c>
      <c r="M13" s="12"/>
      <c r="N13" s="16" t="s">
        <v>840</v>
      </c>
      <c r="O13" s="23">
        <v>1200</v>
      </c>
      <c r="P13" s="12"/>
      <c r="Q13" s="66"/>
      <c r="R13" s="66"/>
      <c r="S13" s="12"/>
      <c r="T13" s="160" t="s">
        <v>841</v>
      </c>
      <c r="U13" s="41"/>
      <c r="V13" s="41"/>
      <c r="W13" s="41"/>
      <c r="X13" s="41"/>
      <c r="Y13" s="41"/>
      <c r="Z13" s="41"/>
    </row>
    <row r="14" spans="1:26" ht="30.75" customHeight="1" x14ac:dyDescent="0.2">
      <c r="A14" s="16">
        <v>11</v>
      </c>
      <c r="B14" s="43"/>
      <c r="C14" s="43" t="s">
        <v>842</v>
      </c>
      <c r="D14" s="15">
        <v>0</v>
      </c>
      <c r="E14" s="15">
        <v>0</v>
      </c>
      <c r="F14" s="15">
        <f t="shared" si="0"/>
        <v>0</v>
      </c>
      <c r="G14" s="12"/>
      <c r="H14" s="52" t="s">
        <v>117</v>
      </c>
      <c r="I14" s="53">
        <v>10000</v>
      </c>
      <c r="J14" s="12"/>
      <c r="K14" s="52" t="s">
        <v>92</v>
      </c>
      <c r="L14" s="77">
        <v>1</v>
      </c>
      <c r="M14" s="12"/>
      <c r="N14" s="16" t="s">
        <v>843</v>
      </c>
      <c r="O14" s="23">
        <v>500</v>
      </c>
      <c r="P14" s="12"/>
      <c r="Q14" s="66"/>
      <c r="R14" s="66"/>
      <c r="S14" s="12"/>
      <c r="T14" s="160" t="s">
        <v>844</v>
      </c>
      <c r="U14" s="41"/>
      <c r="V14" s="41"/>
      <c r="W14" s="41"/>
      <c r="X14" s="41"/>
      <c r="Y14" s="41"/>
      <c r="Z14" s="41"/>
    </row>
    <row r="15" spans="1:26" ht="30.75" customHeight="1" x14ac:dyDescent="0.2">
      <c r="A15" s="16">
        <v>12</v>
      </c>
      <c r="B15" s="43" t="s">
        <v>845</v>
      </c>
      <c r="C15" s="43" t="s">
        <v>846</v>
      </c>
      <c r="D15" s="15">
        <f>1*I16</f>
        <v>1.4969999999999999E-5</v>
      </c>
      <c r="E15" s="15">
        <f>2*I16</f>
        <v>2.9939999999999998E-5</v>
      </c>
      <c r="F15" s="15">
        <f t="shared" si="0"/>
        <v>4.4909999999999995E-5</v>
      </c>
      <c r="G15" s="12"/>
      <c r="H15" s="55" t="s">
        <v>139</v>
      </c>
      <c r="I15" s="56">
        <v>12</v>
      </c>
      <c r="J15" s="12"/>
      <c r="K15" s="55" t="s">
        <v>98</v>
      </c>
      <c r="L15" s="79">
        <v>100</v>
      </c>
      <c r="M15" s="12"/>
      <c r="N15" s="16" t="s">
        <v>847</v>
      </c>
      <c r="O15" s="23">
        <v>500</v>
      </c>
      <c r="P15" s="12"/>
      <c r="Q15" s="66"/>
      <c r="R15" s="66"/>
      <c r="S15" s="12"/>
      <c r="T15" s="160" t="s">
        <v>848</v>
      </c>
      <c r="U15" s="41"/>
      <c r="V15" s="41"/>
      <c r="W15" s="41"/>
      <c r="X15" s="41"/>
      <c r="Y15" s="41"/>
      <c r="Z15" s="41"/>
    </row>
    <row r="16" spans="1:26" ht="30.75" customHeight="1" x14ac:dyDescent="0.2">
      <c r="A16" s="16">
        <v>13</v>
      </c>
      <c r="B16" s="43"/>
      <c r="C16" s="43" t="s">
        <v>849</v>
      </c>
      <c r="D16" s="15">
        <v>0</v>
      </c>
      <c r="E16" s="15">
        <v>0</v>
      </c>
      <c r="F16" s="15">
        <f t="shared" si="0"/>
        <v>0</v>
      </c>
      <c r="G16" s="12"/>
      <c r="H16" s="58" t="s">
        <v>104</v>
      </c>
      <c r="I16" s="162">
        <f>IF(I14="N/A","N/A",(I15/I14)*$I$6)</f>
        <v>1.4969999999999999E-5</v>
      </c>
      <c r="J16" s="12"/>
      <c r="K16" s="58" t="s">
        <v>104</v>
      </c>
      <c r="L16" s="60">
        <f>IF(L14="N/A","N/A",(L15/L14))*$I$6</f>
        <v>1.2475000000000001</v>
      </c>
      <c r="M16" s="12"/>
      <c r="N16" s="16" t="s">
        <v>850</v>
      </c>
      <c r="O16" s="23">
        <v>500</v>
      </c>
      <c r="P16" s="12"/>
      <c r="Q16" s="66"/>
      <c r="R16" s="66"/>
      <c r="S16" s="12"/>
      <c r="T16" s="160" t="s">
        <v>851</v>
      </c>
      <c r="U16" s="41"/>
      <c r="V16" s="41"/>
      <c r="W16" s="41"/>
      <c r="X16" s="41"/>
      <c r="Y16" s="41"/>
      <c r="Z16" s="41"/>
    </row>
    <row r="17" spans="1:26" ht="30.75" customHeight="1" x14ac:dyDescent="0.2">
      <c r="A17" s="16">
        <v>14</v>
      </c>
      <c r="B17" s="43" t="s">
        <v>852</v>
      </c>
      <c r="C17" s="43" t="s">
        <v>853</v>
      </c>
      <c r="D17" s="15">
        <f>1*L26</f>
        <v>1.8712500000000001</v>
      </c>
      <c r="E17" s="15">
        <f>2*L26</f>
        <v>3.7425000000000002</v>
      </c>
      <c r="F17" s="15">
        <f t="shared" si="0"/>
        <v>5.6137500000000005</v>
      </c>
      <c r="G17" s="12"/>
      <c r="H17" s="12"/>
      <c r="I17" s="87"/>
      <c r="J17" s="12"/>
      <c r="K17" s="12"/>
      <c r="L17" s="87"/>
      <c r="M17" s="12"/>
      <c r="N17" s="28" t="s">
        <v>854</v>
      </c>
      <c r="O17" s="35">
        <f>AVERAGE(O13:O16)</f>
        <v>675</v>
      </c>
      <c r="P17" s="12"/>
      <c r="Q17" s="66"/>
      <c r="R17" s="66"/>
      <c r="S17" s="12"/>
      <c r="T17" s="160" t="s">
        <v>855</v>
      </c>
      <c r="U17" s="41"/>
      <c r="V17" s="41"/>
      <c r="W17" s="41"/>
      <c r="X17" s="41"/>
      <c r="Y17" s="41"/>
      <c r="Z17" s="41"/>
    </row>
    <row r="18" spans="1:26" ht="30.75" customHeight="1" x14ac:dyDescent="0.2">
      <c r="A18" s="16">
        <v>15</v>
      </c>
      <c r="B18" s="43"/>
      <c r="C18" s="43" t="s">
        <v>856</v>
      </c>
      <c r="D18" s="15">
        <v>0</v>
      </c>
      <c r="E18" s="15">
        <f>100*I26</f>
        <v>4.36625</v>
      </c>
      <c r="F18" s="15">
        <f t="shared" si="0"/>
        <v>4.36625</v>
      </c>
      <c r="G18" s="12"/>
      <c r="H18" s="49" t="s">
        <v>236</v>
      </c>
      <c r="I18" s="85" t="s">
        <v>857</v>
      </c>
      <c r="J18" s="36"/>
      <c r="K18" s="49" t="s">
        <v>386</v>
      </c>
      <c r="L18" s="83" t="s">
        <v>858</v>
      </c>
      <c r="M18" s="12"/>
      <c r="N18" s="58" t="s">
        <v>174</v>
      </c>
      <c r="O18" s="60">
        <f>O17*I6</f>
        <v>8.4206249999999994</v>
      </c>
      <c r="P18" s="12"/>
      <c r="Q18" s="66"/>
      <c r="R18" s="66"/>
      <c r="S18" s="12"/>
      <c r="T18" s="160" t="s">
        <v>859</v>
      </c>
      <c r="U18" s="41"/>
      <c r="V18" s="41"/>
      <c r="W18" s="41"/>
      <c r="X18" s="41"/>
      <c r="Y18" s="41"/>
      <c r="Z18" s="41"/>
    </row>
    <row r="19" spans="1:26" ht="30.75" customHeight="1" x14ac:dyDescent="0.2">
      <c r="A19" s="16">
        <v>16</v>
      </c>
      <c r="B19" s="43" t="s">
        <v>860</v>
      </c>
      <c r="C19" s="43" t="s">
        <v>861</v>
      </c>
      <c r="D19" s="15">
        <f>1*I16</f>
        <v>1.4969999999999999E-5</v>
      </c>
      <c r="E19" s="15">
        <f>2*I16</f>
        <v>2.9939999999999998E-5</v>
      </c>
      <c r="F19" s="15">
        <f t="shared" si="0"/>
        <v>4.4909999999999995E-5</v>
      </c>
      <c r="G19" s="12"/>
      <c r="H19" s="52" t="s">
        <v>117</v>
      </c>
      <c r="I19" s="53">
        <v>12500</v>
      </c>
      <c r="J19" s="12"/>
      <c r="K19" s="52" t="s">
        <v>92</v>
      </c>
      <c r="L19" s="53">
        <v>1</v>
      </c>
      <c r="M19" s="12"/>
      <c r="N19" s="49"/>
      <c r="O19" s="100"/>
      <c r="P19" s="12"/>
      <c r="Q19" s="66"/>
      <c r="R19" s="66"/>
      <c r="S19" s="12"/>
      <c r="T19" s="160" t="s">
        <v>862</v>
      </c>
      <c r="U19" s="41"/>
      <c r="V19" s="41"/>
      <c r="W19" s="41"/>
      <c r="X19" s="41"/>
      <c r="Y19" s="41"/>
      <c r="Z19" s="41"/>
    </row>
    <row r="20" spans="1:26" ht="30.75" customHeight="1" x14ac:dyDescent="0.2">
      <c r="A20" s="16">
        <v>17</v>
      </c>
      <c r="B20" s="43"/>
      <c r="C20" s="43" t="s">
        <v>863</v>
      </c>
      <c r="D20" s="15">
        <v>0</v>
      </c>
      <c r="E20" s="15">
        <f>L16</f>
        <v>1.2475000000000001</v>
      </c>
      <c r="F20" s="15">
        <f t="shared" si="0"/>
        <v>1.2475000000000001</v>
      </c>
      <c r="G20" s="12"/>
      <c r="H20" s="55" t="s">
        <v>139</v>
      </c>
      <c r="I20" s="56">
        <v>7</v>
      </c>
      <c r="J20" s="12"/>
      <c r="K20" s="55" t="s">
        <v>98</v>
      </c>
      <c r="L20" s="56">
        <v>300</v>
      </c>
      <c r="M20" s="12"/>
      <c r="N20" s="46" t="s">
        <v>864</v>
      </c>
      <c r="O20" s="46"/>
      <c r="P20" s="12"/>
      <c r="Q20" s="12"/>
      <c r="R20" s="12"/>
      <c r="S20" s="12"/>
      <c r="T20" s="160" t="s">
        <v>865</v>
      </c>
      <c r="U20" s="41"/>
      <c r="V20" s="41"/>
      <c r="W20" s="41"/>
      <c r="X20" s="41"/>
      <c r="Y20" s="41"/>
      <c r="Z20" s="41"/>
    </row>
    <row r="21" spans="1:26" ht="30.75" customHeight="1" x14ac:dyDescent="0.2">
      <c r="A21" s="16">
        <v>18</v>
      </c>
      <c r="B21" s="43" t="s">
        <v>866</v>
      </c>
      <c r="C21" s="43" t="s">
        <v>867</v>
      </c>
      <c r="D21" s="15">
        <v>0</v>
      </c>
      <c r="E21" s="15">
        <v>0</v>
      </c>
      <c r="F21" s="15">
        <f t="shared" si="0"/>
        <v>0</v>
      </c>
      <c r="G21" s="12"/>
      <c r="H21" s="58" t="s">
        <v>104</v>
      </c>
      <c r="I21" s="162">
        <f>IF(I19="N/A","N/A",(I20/I19)*$I$6)</f>
        <v>6.9859999999999997E-6</v>
      </c>
      <c r="J21" s="12"/>
      <c r="K21" s="58" t="s">
        <v>104</v>
      </c>
      <c r="L21" s="60">
        <f>IF(L19="N/A","N/A",(L20/L19))*$I$6</f>
        <v>3.7425000000000002</v>
      </c>
      <c r="M21" s="68"/>
      <c r="N21" s="155" t="s">
        <v>800</v>
      </c>
      <c r="O21" s="161" t="s">
        <v>834</v>
      </c>
      <c r="P21" s="12"/>
      <c r="Q21" s="12"/>
      <c r="R21" s="12"/>
      <c r="S21" s="12"/>
      <c r="T21" s="160" t="s">
        <v>868</v>
      </c>
      <c r="U21" s="41"/>
      <c r="V21" s="41"/>
      <c r="W21" s="41"/>
      <c r="X21" s="41"/>
      <c r="Y21" s="41"/>
      <c r="Z21" s="41"/>
    </row>
    <row r="22" spans="1:26" ht="30.75" customHeight="1" x14ac:dyDescent="0.2">
      <c r="A22" s="16">
        <v>19</v>
      </c>
      <c r="B22" s="43"/>
      <c r="C22" s="43" t="s">
        <v>869</v>
      </c>
      <c r="D22" s="15">
        <v>0</v>
      </c>
      <c r="E22" s="15">
        <f>10*I26</f>
        <v>0.43662499999999999</v>
      </c>
      <c r="F22" s="15">
        <f t="shared" si="0"/>
        <v>0.43662499999999999</v>
      </c>
      <c r="G22" s="12"/>
      <c r="H22" s="64"/>
      <c r="I22" s="69"/>
      <c r="J22" s="12"/>
      <c r="K22" s="12"/>
      <c r="L22" s="82"/>
      <c r="M22" s="68"/>
      <c r="N22" s="16" t="s">
        <v>870</v>
      </c>
      <c r="O22" s="23">
        <v>80</v>
      </c>
      <c r="P22" s="12"/>
      <c r="Q22" s="12"/>
      <c r="R22" s="12"/>
      <c r="S22" s="12"/>
      <c r="T22" s="160" t="s">
        <v>871</v>
      </c>
      <c r="U22" s="41"/>
      <c r="V22" s="41"/>
      <c r="W22" s="41"/>
      <c r="X22" s="41"/>
      <c r="Y22" s="41"/>
      <c r="Z22" s="41"/>
    </row>
    <row r="23" spans="1:26" ht="30.75" customHeight="1" x14ac:dyDescent="0.2">
      <c r="A23" s="16">
        <v>20</v>
      </c>
      <c r="B23" s="43" t="s">
        <v>817</v>
      </c>
      <c r="C23" s="43" t="s">
        <v>872</v>
      </c>
      <c r="D23" s="15">
        <f>100*I6</f>
        <v>1.2475000000000001</v>
      </c>
      <c r="E23" s="15">
        <f>300*I6</f>
        <v>3.7425000000000002</v>
      </c>
      <c r="F23" s="15">
        <f t="shared" si="0"/>
        <v>4.99</v>
      </c>
      <c r="G23" s="12"/>
      <c r="H23" s="49" t="s">
        <v>236</v>
      </c>
      <c r="I23" s="83" t="s">
        <v>873</v>
      </c>
      <c r="J23" s="36"/>
      <c r="K23" s="49" t="s">
        <v>393</v>
      </c>
      <c r="L23" s="83" t="s">
        <v>874</v>
      </c>
      <c r="M23" s="68"/>
      <c r="N23" s="16" t="s">
        <v>875</v>
      </c>
      <c r="O23" s="23">
        <v>60</v>
      </c>
      <c r="P23" s="12"/>
      <c r="Q23" s="12"/>
      <c r="R23" s="12"/>
      <c r="S23" s="12"/>
      <c r="T23" s="160" t="s">
        <v>876</v>
      </c>
      <c r="U23" s="41"/>
      <c r="V23" s="41"/>
      <c r="W23" s="41"/>
      <c r="X23" s="41"/>
      <c r="Y23" s="41"/>
      <c r="Z23" s="41"/>
    </row>
    <row r="24" spans="1:26" ht="30.75" customHeight="1" x14ac:dyDescent="0.2">
      <c r="A24" s="16">
        <v>21</v>
      </c>
      <c r="B24" s="43"/>
      <c r="C24" s="43" t="s">
        <v>877</v>
      </c>
      <c r="D24" s="15">
        <v>0</v>
      </c>
      <c r="E24" s="15">
        <f>3*I11</f>
        <v>5.6137500000000005</v>
      </c>
      <c r="F24" s="15">
        <f t="shared" si="0"/>
        <v>5.6137500000000005</v>
      </c>
      <c r="G24" s="12"/>
      <c r="H24" s="52" t="s">
        <v>91</v>
      </c>
      <c r="I24" s="77">
        <v>100</v>
      </c>
      <c r="J24" s="12"/>
      <c r="K24" s="52" t="s">
        <v>92</v>
      </c>
      <c r="L24" s="53">
        <v>1</v>
      </c>
      <c r="M24" s="68"/>
      <c r="N24" s="16" t="s">
        <v>799</v>
      </c>
      <c r="O24" s="23">
        <v>20</v>
      </c>
      <c r="P24" s="12"/>
      <c r="Q24" s="12"/>
      <c r="R24" s="12"/>
      <c r="S24" s="12"/>
      <c r="T24" s="160"/>
      <c r="U24" s="41"/>
      <c r="V24" s="41"/>
      <c r="W24" s="41"/>
      <c r="X24" s="41"/>
      <c r="Y24" s="41"/>
      <c r="Z24" s="41"/>
    </row>
    <row r="25" spans="1:26" ht="30.75" customHeight="1" x14ac:dyDescent="0.2">
      <c r="A25" s="16">
        <v>22</v>
      </c>
      <c r="B25" s="43" t="s">
        <v>845</v>
      </c>
      <c r="C25" s="43" t="s">
        <v>846</v>
      </c>
      <c r="D25" s="15">
        <f>1*I16</f>
        <v>1.4969999999999999E-5</v>
      </c>
      <c r="E25" s="15">
        <f>2*I16</f>
        <v>2.9939999999999998E-5</v>
      </c>
      <c r="F25" s="15">
        <f t="shared" si="0"/>
        <v>4.4909999999999995E-5</v>
      </c>
      <c r="G25" s="12"/>
      <c r="H25" s="55" t="s">
        <v>139</v>
      </c>
      <c r="I25" s="79">
        <v>350</v>
      </c>
      <c r="J25" s="12"/>
      <c r="K25" s="55" t="s">
        <v>98</v>
      </c>
      <c r="L25" s="56">
        <v>150</v>
      </c>
      <c r="M25" s="68"/>
      <c r="N25" s="16" t="s">
        <v>878</v>
      </c>
      <c r="O25" s="16">
        <v>80</v>
      </c>
      <c r="P25" s="12"/>
      <c r="Q25" s="12"/>
      <c r="R25" s="12"/>
      <c r="S25" s="12"/>
      <c r="T25" s="160"/>
      <c r="U25" s="41"/>
      <c r="V25" s="41"/>
      <c r="W25" s="41"/>
      <c r="X25" s="41"/>
      <c r="Y25" s="41"/>
      <c r="Z25" s="41"/>
    </row>
    <row r="26" spans="1:26" ht="30.75" customHeight="1" x14ac:dyDescent="0.2">
      <c r="A26" s="16">
        <v>23</v>
      </c>
      <c r="B26" s="43"/>
      <c r="C26" s="43" t="s">
        <v>879</v>
      </c>
      <c r="D26" s="15">
        <v>0</v>
      </c>
      <c r="E26" s="15">
        <v>0</v>
      </c>
      <c r="F26" s="15">
        <f t="shared" si="0"/>
        <v>0</v>
      </c>
      <c r="G26" s="12"/>
      <c r="H26" s="58" t="s">
        <v>104</v>
      </c>
      <c r="I26" s="60">
        <f>IF(I24="N/A","N/A",(I25/I24)*$I$6)</f>
        <v>4.36625E-2</v>
      </c>
      <c r="J26" s="12"/>
      <c r="K26" s="58" t="s">
        <v>104</v>
      </c>
      <c r="L26" s="60">
        <f>IF(L24="N/A","N/A",(L25/L24))*$I$6</f>
        <v>1.8712500000000001</v>
      </c>
      <c r="M26" s="12"/>
      <c r="N26" s="16" t="s">
        <v>823</v>
      </c>
      <c r="O26" s="16">
        <v>70</v>
      </c>
      <c r="P26" s="12"/>
      <c r="Q26" s="12"/>
      <c r="R26" s="12"/>
      <c r="S26" s="12"/>
      <c r="T26" s="160"/>
      <c r="U26" s="41"/>
      <c r="V26" s="41"/>
      <c r="W26" s="41"/>
      <c r="X26" s="41"/>
      <c r="Y26" s="41"/>
      <c r="Z26" s="41"/>
    </row>
    <row r="27" spans="1:26" ht="30.75" customHeight="1" x14ac:dyDescent="0.2">
      <c r="A27" s="16">
        <v>24</v>
      </c>
      <c r="B27" s="43" t="s">
        <v>880</v>
      </c>
      <c r="C27" s="43" t="s">
        <v>881</v>
      </c>
      <c r="D27" s="15">
        <f>1*L31</f>
        <v>1.8712500000000001</v>
      </c>
      <c r="E27" s="15">
        <f>2*L31</f>
        <v>3.7425000000000002</v>
      </c>
      <c r="F27" s="15">
        <f t="shared" si="0"/>
        <v>5.6137500000000005</v>
      </c>
      <c r="G27" s="12"/>
      <c r="H27" s="12"/>
      <c r="I27" s="12"/>
      <c r="J27" s="12"/>
      <c r="K27" s="12"/>
      <c r="L27" s="12"/>
      <c r="M27" s="12"/>
      <c r="N27" s="16" t="s">
        <v>882</v>
      </c>
      <c r="O27" s="16">
        <v>30</v>
      </c>
      <c r="P27" s="12"/>
      <c r="Q27" s="12"/>
      <c r="R27" s="12"/>
      <c r="S27" s="12"/>
      <c r="T27" s="160"/>
      <c r="U27" s="41"/>
      <c r="V27" s="41"/>
      <c r="W27" s="41"/>
      <c r="X27" s="41"/>
      <c r="Y27" s="41"/>
      <c r="Z27" s="41"/>
    </row>
    <row r="28" spans="1:26" ht="30.75" customHeight="1" x14ac:dyDescent="0.2">
      <c r="A28" s="16">
        <v>25</v>
      </c>
      <c r="B28" s="43"/>
      <c r="C28" s="43" t="s">
        <v>883</v>
      </c>
      <c r="D28" s="15">
        <v>0</v>
      </c>
      <c r="E28" s="15">
        <v>0</v>
      </c>
      <c r="F28" s="15">
        <f t="shared" si="0"/>
        <v>0</v>
      </c>
      <c r="G28" s="12"/>
      <c r="H28" s="12"/>
      <c r="I28" s="12"/>
      <c r="J28" s="12"/>
      <c r="K28" s="49" t="s">
        <v>393</v>
      </c>
      <c r="L28" s="83" t="s">
        <v>884</v>
      </c>
      <c r="M28" s="12"/>
      <c r="N28" s="16" t="s">
        <v>885</v>
      </c>
      <c r="O28" s="16">
        <v>100</v>
      </c>
      <c r="P28" s="12"/>
      <c r="Q28" s="12"/>
      <c r="R28" s="12"/>
      <c r="S28" s="12"/>
      <c r="T28" s="160"/>
      <c r="U28" s="41"/>
      <c r="V28" s="41"/>
      <c r="W28" s="41"/>
      <c r="X28" s="41"/>
      <c r="Y28" s="41"/>
      <c r="Z28" s="41"/>
    </row>
    <row r="29" spans="1:26" ht="30.75" customHeight="1" x14ac:dyDescent="0.2">
      <c r="A29" s="16">
        <v>26</v>
      </c>
      <c r="B29" s="43" t="s">
        <v>886</v>
      </c>
      <c r="C29" s="43" t="s">
        <v>861</v>
      </c>
      <c r="D29" s="15">
        <f>1*I16</f>
        <v>1.4969999999999999E-5</v>
      </c>
      <c r="E29" s="15">
        <f>2*I16</f>
        <v>2.9939999999999998E-5</v>
      </c>
      <c r="F29" s="15">
        <f t="shared" si="0"/>
        <v>4.4909999999999995E-5</v>
      </c>
      <c r="G29" s="12"/>
      <c r="H29" s="41"/>
      <c r="I29" s="41"/>
      <c r="J29" s="12"/>
      <c r="K29" s="52" t="s">
        <v>92</v>
      </c>
      <c r="L29" s="53">
        <v>1</v>
      </c>
      <c r="M29" s="12"/>
      <c r="N29" s="16" t="s">
        <v>887</v>
      </c>
      <c r="O29" s="16">
        <v>60</v>
      </c>
      <c r="P29" s="12"/>
      <c r="Q29" s="12"/>
      <c r="R29" s="12"/>
      <c r="S29" s="12"/>
      <c r="T29" s="160"/>
      <c r="U29" s="41"/>
      <c r="V29" s="41"/>
      <c r="W29" s="41"/>
      <c r="X29" s="41"/>
      <c r="Y29" s="41"/>
      <c r="Z29" s="41"/>
    </row>
    <row r="30" spans="1:26" ht="30.75" customHeight="1" x14ac:dyDescent="0.2">
      <c r="A30" s="16">
        <v>27</v>
      </c>
      <c r="B30" s="43"/>
      <c r="C30" s="43" t="s">
        <v>888</v>
      </c>
      <c r="D30" s="15">
        <v>0</v>
      </c>
      <c r="E30" s="15">
        <f>10*L11</f>
        <v>8.7324999999999999</v>
      </c>
      <c r="F30" s="15">
        <f t="shared" si="0"/>
        <v>8.7324999999999999</v>
      </c>
      <c r="G30" s="12"/>
      <c r="H30" s="41"/>
      <c r="I30" s="41"/>
      <c r="J30" s="12"/>
      <c r="K30" s="55" t="s">
        <v>98</v>
      </c>
      <c r="L30" s="56">
        <v>150</v>
      </c>
      <c r="M30" s="12"/>
      <c r="N30" s="16" t="s">
        <v>889</v>
      </c>
      <c r="O30" s="16">
        <v>30</v>
      </c>
      <c r="P30" s="12"/>
      <c r="Q30" s="12"/>
      <c r="R30" s="12"/>
      <c r="S30" s="12"/>
      <c r="T30" s="16"/>
      <c r="U30" s="41"/>
      <c r="V30" s="41"/>
      <c r="W30" s="41"/>
      <c r="X30" s="41"/>
      <c r="Y30" s="41"/>
      <c r="Z30" s="41"/>
    </row>
    <row r="31" spans="1:26" ht="30.75" customHeight="1" x14ac:dyDescent="0.2">
      <c r="A31" s="16">
        <v>28</v>
      </c>
      <c r="B31" s="43" t="s">
        <v>866</v>
      </c>
      <c r="C31" s="43" t="s">
        <v>867</v>
      </c>
      <c r="D31" s="15">
        <v>0</v>
      </c>
      <c r="E31" s="15">
        <v>0</v>
      </c>
      <c r="F31" s="15">
        <f t="shared" si="0"/>
        <v>0</v>
      </c>
      <c r="G31" s="12"/>
      <c r="H31" s="41"/>
      <c r="I31" s="41"/>
      <c r="J31" s="12"/>
      <c r="K31" s="58" t="s">
        <v>104</v>
      </c>
      <c r="L31" s="60">
        <f>IF(L29="N/A","N/A",(L30/L29))*$I$6</f>
        <v>1.8712500000000001</v>
      </c>
      <c r="M31" s="12"/>
      <c r="N31" s="16" t="s">
        <v>890</v>
      </c>
      <c r="O31" s="16">
        <v>100</v>
      </c>
      <c r="P31" s="12"/>
      <c r="Q31" s="12"/>
      <c r="R31" s="12"/>
      <c r="S31" s="12"/>
      <c r="T31" s="16"/>
      <c r="U31" s="41"/>
      <c r="V31" s="41"/>
      <c r="W31" s="41"/>
      <c r="X31" s="41"/>
      <c r="Y31" s="41"/>
      <c r="Z31" s="41"/>
    </row>
    <row r="32" spans="1:26" ht="30.75" customHeight="1" x14ac:dyDescent="0.2">
      <c r="A32" s="16">
        <v>29</v>
      </c>
      <c r="B32" s="43"/>
      <c r="C32" s="43" t="s">
        <v>863</v>
      </c>
      <c r="D32" s="15">
        <v>0</v>
      </c>
      <c r="E32" s="15">
        <f>L16</f>
        <v>1.2475000000000001</v>
      </c>
      <c r="F32" s="15">
        <f t="shared" si="0"/>
        <v>1.2475000000000001</v>
      </c>
      <c r="G32" s="12"/>
      <c r="H32" s="41"/>
      <c r="I32" s="41"/>
      <c r="J32" s="12"/>
      <c r="K32" s="12"/>
      <c r="L32" s="12"/>
      <c r="M32" s="12"/>
      <c r="N32" s="16" t="s">
        <v>891</v>
      </c>
      <c r="O32" s="16">
        <v>50</v>
      </c>
      <c r="P32" s="12"/>
      <c r="Q32" s="12"/>
      <c r="R32" s="12"/>
      <c r="S32" s="12"/>
      <c r="T32" s="16"/>
      <c r="U32" s="41"/>
      <c r="V32" s="41"/>
      <c r="W32" s="41"/>
      <c r="X32" s="41"/>
      <c r="Y32" s="41"/>
      <c r="Z32" s="41"/>
    </row>
    <row r="33" spans="1:26" ht="30.75" customHeight="1" x14ac:dyDescent="0.2">
      <c r="A33" s="16">
        <v>30</v>
      </c>
      <c r="B33" s="43" t="s">
        <v>849</v>
      </c>
      <c r="C33" s="43" t="s">
        <v>892</v>
      </c>
      <c r="D33" s="15">
        <v>0</v>
      </c>
      <c r="E33" s="15">
        <v>0</v>
      </c>
      <c r="F33" s="15">
        <f t="shared" si="0"/>
        <v>0</v>
      </c>
      <c r="G33" s="12"/>
      <c r="H33" s="41"/>
      <c r="I33" s="41"/>
      <c r="J33" s="12"/>
      <c r="K33" s="49" t="s">
        <v>393</v>
      </c>
      <c r="L33" s="83" t="s">
        <v>893</v>
      </c>
      <c r="M33" s="12"/>
      <c r="N33" s="16" t="s">
        <v>894</v>
      </c>
      <c r="O33" s="16">
        <v>20</v>
      </c>
      <c r="P33" s="12"/>
      <c r="Q33" s="12"/>
      <c r="R33" s="12"/>
      <c r="S33" s="12"/>
      <c r="T33" s="16"/>
      <c r="U33" s="41"/>
      <c r="V33" s="41"/>
      <c r="W33" s="41"/>
      <c r="X33" s="41"/>
      <c r="Y33" s="41"/>
      <c r="Z33" s="41"/>
    </row>
    <row r="34" spans="1:26" ht="30.75" customHeight="1" x14ac:dyDescent="0.2">
      <c r="A34" s="16">
        <v>31</v>
      </c>
      <c r="B34" s="43"/>
      <c r="C34" s="43" t="s">
        <v>895</v>
      </c>
      <c r="D34" s="15">
        <v>0</v>
      </c>
      <c r="E34" s="15">
        <v>0</v>
      </c>
      <c r="F34" s="15">
        <f t="shared" si="0"/>
        <v>0</v>
      </c>
      <c r="G34" s="12"/>
      <c r="H34" s="41"/>
      <c r="I34" s="41"/>
      <c r="J34" s="12"/>
      <c r="K34" s="52" t="s">
        <v>92</v>
      </c>
      <c r="L34" s="53">
        <v>1</v>
      </c>
      <c r="M34" s="12"/>
      <c r="N34" s="16" t="s">
        <v>896</v>
      </c>
      <c r="O34" s="16">
        <v>80</v>
      </c>
      <c r="P34" s="12"/>
      <c r="Q34" s="12"/>
      <c r="R34" s="12"/>
      <c r="S34" s="12"/>
      <c r="T34" s="16"/>
      <c r="U34" s="41"/>
      <c r="V34" s="41"/>
      <c r="W34" s="41"/>
      <c r="X34" s="41"/>
      <c r="Y34" s="41"/>
      <c r="Z34" s="41"/>
    </row>
    <row r="35" spans="1:26" ht="30.75" customHeight="1" x14ac:dyDescent="0.2">
      <c r="A35" s="16">
        <v>32</v>
      </c>
      <c r="B35" s="43" t="s">
        <v>897</v>
      </c>
      <c r="C35" s="43" t="s">
        <v>898</v>
      </c>
      <c r="D35" s="15">
        <f>1*I16</f>
        <v>1.4969999999999999E-5</v>
      </c>
      <c r="E35" s="15">
        <f>2*I16</f>
        <v>2.9939999999999998E-5</v>
      </c>
      <c r="F35" s="15">
        <f t="shared" si="0"/>
        <v>4.4909999999999995E-5</v>
      </c>
      <c r="G35" s="12"/>
      <c r="H35" s="41"/>
      <c r="I35" s="41"/>
      <c r="J35" s="12"/>
      <c r="K35" s="55" t="s">
        <v>98</v>
      </c>
      <c r="L35" s="56">
        <v>300</v>
      </c>
      <c r="M35" s="12"/>
      <c r="N35" s="16" t="s">
        <v>899</v>
      </c>
      <c r="O35" s="16">
        <v>60</v>
      </c>
      <c r="P35" s="12"/>
      <c r="Q35" s="12"/>
      <c r="R35" s="12"/>
      <c r="S35" s="12"/>
      <c r="T35" s="16"/>
      <c r="U35" s="41"/>
      <c r="V35" s="41"/>
      <c r="W35" s="41"/>
      <c r="X35" s="41"/>
      <c r="Y35" s="41"/>
      <c r="Z35" s="41"/>
    </row>
    <row r="36" spans="1:26" ht="30.75" customHeight="1" x14ac:dyDescent="0.2">
      <c r="A36" s="16">
        <v>33</v>
      </c>
      <c r="B36" s="43"/>
      <c r="C36" s="43" t="s">
        <v>900</v>
      </c>
      <c r="D36" s="15">
        <v>0</v>
      </c>
      <c r="E36" s="15">
        <f>200*I26</f>
        <v>8.7324999999999999</v>
      </c>
      <c r="F36" s="15">
        <f t="shared" si="0"/>
        <v>8.7324999999999999</v>
      </c>
      <c r="G36" s="12"/>
      <c r="H36" s="41"/>
      <c r="I36" s="41"/>
      <c r="J36" s="12"/>
      <c r="K36" s="58" t="s">
        <v>104</v>
      </c>
      <c r="L36" s="60">
        <f>IF(L34="N/A","N/A",(L35/L34))*$I$6</f>
        <v>3.7425000000000002</v>
      </c>
      <c r="M36" s="12"/>
      <c r="N36" s="16" t="s">
        <v>901</v>
      </c>
      <c r="O36" s="16">
        <v>50</v>
      </c>
      <c r="P36" s="12"/>
      <c r="Q36" s="12"/>
      <c r="R36" s="12"/>
      <c r="S36" s="12"/>
      <c r="T36" s="12"/>
      <c r="U36" s="41"/>
      <c r="V36" s="41"/>
      <c r="W36" s="41"/>
      <c r="X36" s="41"/>
      <c r="Y36" s="41"/>
      <c r="Z36" s="41"/>
    </row>
    <row r="37" spans="1:26" ht="30.75" customHeight="1" x14ac:dyDescent="0.2">
      <c r="A37" s="16">
        <v>34</v>
      </c>
      <c r="B37" s="43" t="s">
        <v>902</v>
      </c>
      <c r="C37" s="43" t="s">
        <v>903</v>
      </c>
      <c r="D37" s="15">
        <v>0</v>
      </c>
      <c r="E37" s="15">
        <v>0</v>
      </c>
      <c r="F37" s="15">
        <f t="shared" si="0"/>
        <v>0</v>
      </c>
      <c r="G37" s="12"/>
      <c r="H37" s="41"/>
      <c r="I37" s="41"/>
      <c r="J37" s="12"/>
      <c r="K37" s="12"/>
      <c r="L37" s="12"/>
      <c r="M37" s="12"/>
      <c r="N37" s="28" t="s">
        <v>904</v>
      </c>
      <c r="O37" s="35">
        <f>AVERAGE(O22:O36)</f>
        <v>59.333333333333336</v>
      </c>
      <c r="P37" s="12"/>
      <c r="Q37" s="12"/>
      <c r="R37" s="12"/>
      <c r="S37" s="12"/>
      <c r="T37" s="12"/>
      <c r="U37" s="41"/>
      <c r="V37" s="41"/>
      <c r="W37" s="41"/>
      <c r="X37" s="41"/>
      <c r="Y37" s="41"/>
      <c r="Z37" s="41"/>
    </row>
    <row r="38" spans="1:26" ht="30.75" customHeight="1" x14ac:dyDescent="0.2">
      <c r="A38" s="16">
        <v>35</v>
      </c>
      <c r="B38" s="43"/>
      <c r="C38" s="43" t="s">
        <v>905</v>
      </c>
      <c r="D38" s="15">
        <v>0</v>
      </c>
      <c r="E38" s="15">
        <v>0</v>
      </c>
      <c r="F38" s="15">
        <f t="shared" si="0"/>
        <v>0</v>
      </c>
      <c r="G38" s="12"/>
      <c r="H38" s="41"/>
      <c r="I38" s="41"/>
      <c r="J38" s="12"/>
      <c r="K38" s="49" t="s">
        <v>393</v>
      </c>
      <c r="L38" s="83" t="s">
        <v>906</v>
      </c>
      <c r="M38" s="12"/>
      <c r="N38" s="58" t="s">
        <v>174</v>
      </c>
      <c r="O38" s="60">
        <f>O37*I6</f>
        <v>0.74018333333333342</v>
      </c>
      <c r="P38" s="12"/>
      <c r="Q38" s="12"/>
      <c r="R38" s="12"/>
      <c r="S38" s="12"/>
      <c r="T38" s="12"/>
      <c r="U38" s="41"/>
      <c r="V38" s="41"/>
      <c r="W38" s="41"/>
      <c r="X38" s="41"/>
      <c r="Y38" s="41"/>
      <c r="Z38" s="41"/>
    </row>
    <row r="39" spans="1:26" ht="30.75" customHeight="1" x14ac:dyDescent="0.2">
      <c r="A39" s="16">
        <v>36</v>
      </c>
      <c r="B39" s="43" t="s">
        <v>907</v>
      </c>
      <c r="C39" s="43" t="s">
        <v>908</v>
      </c>
      <c r="D39" s="15">
        <f>1*I16</f>
        <v>1.4969999999999999E-5</v>
      </c>
      <c r="E39" s="15">
        <f>2*I16</f>
        <v>2.9939999999999998E-5</v>
      </c>
      <c r="F39" s="15">
        <f t="shared" si="0"/>
        <v>4.4909999999999995E-5</v>
      </c>
      <c r="G39" s="12"/>
      <c r="H39" s="41"/>
      <c r="I39" s="41"/>
      <c r="J39" s="12"/>
      <c r="K39" s="52" t="s">
        <v>92</v>
      </c>
      <c r="L39" s="53">
        <v>1</v>
      </c>
      <c r="M39" s="12"/>
      <c r="N39" s="16"/>
      <c r="O39" s="16"/>
      <c r="P39" s="12"/>
      <c r="Q39" s="12"/>
      <c r="R39" s="12"/>
      <c r="S39" s="12"/>
      <c r="T39" s="12"/>
      <c r="U39" s="41"/>
      <c r="V39" s="41"/>
      <c r="W39" s="41"/>
      <c r="X39" s="41"/>
      <c r="Y39" s="41"/>
      <c r="Z39" s="41"/>
    </row>
    <row r="40" spans="1:26" ht="30.75" customHeight="1" x14ac:dyDescent="0.2">
      <c r="A40" s="16">
        <v>37</v>
      </c>
      <c r="B40" s="43"/>
      <c r="C40" s="43" t="s">
        <v>909</v>
      </c>
      <c r="D40" s="15">
        <v>0</v>
      </c>
      <c r="E40" s="15">
        <f>5*O38</f>
        <v>3.7009166666666671</v>
      </c>
      <c r="F40" s="15">
        <f t="shared" si="0"/>
        <v>3.7009166666666671</v>
      </c>
      <c r="G40" s="12"/>
      <c r="H40" s="41"/>
      <c r="I40" s="41"/>
      <c r="J40" s="12"/>
      <c r="K40" s="55" t="s">
        <v>98</v>
      </c>
      <c r="L40" s="56">
        <v>300</v>
      </c>
      <c r="M40" s="12"/>
      <c r="N40" s="16"/>
      <c r="O40" s="16"/>
      <c r="P40" s="12"/>
      <c r="Q40" s="12"/>
      <c r="R40" s="12"/>
      <c r="S40" s="12"/>
      <c r="T40" s="12"/>
      <c r="U40" s="41"/>
      <c r="V40" s="41"/>
      <c r="W40" s="41"/>
      <c r="X40" s="41"/>
      <c r="Y40" s="41"/>
      <c r="Z40" s="41"/>
    </row>
    <row r="41" spans="1:26" ht="30.75" customHeight="1" x14ac:dyDescent="0.2">
      <c r="A41" s="16">
        <v>38</v>
      </c>
      <c r="B41" s="43" t="s">
        <v>910</v>
      </c>
      <c r="C41" s="43" t="s">
        <v>911</v>
      </c>
      <c r="D41" s="15">
        <f>1*L36</f>
        <v>3.7425000000000002</v>
      </c>
      <c r="E41" s="15">
        <f>2*L36</f>
        <v>7.4850000000000003</v>
      </c>
      <c r="F41" s="15">
        <f t="shared" si="0"/>
        <v>11.227500000000001</v>
      </c>
      <c r="G41" s="12"/>
      <c r="H41" s="41"/>
      <c r="I41" s="41"/>
      <c r="J41" s="12"/>
      <c r="K41" s="58" t="s">
        <v>104</v>
      </c>
      <c r="L41" s="60">
        <f>IF(L39="N/A","N/A",(L40/L39))*$I$6</f>
        <v>3.7425000000000002</v>
      </c>
      <c r="M41" s="12"/>
      <c r="N41" s="16"/>
      <c r="O41" s="16"/>
      <c r="P41" s="12"/>
      <c r="Q41" s="12"/>
      <c r="R41" s="12"/>
      <c r="S41" s="12"/>
      <c r="T41" s="16"/>
      <c r="U41" s="41"/>
      <c r="V41" s="41"/>
      <c r="W41" s="41"/>
      <c r="X41" s="41"/>
      <c r="Y41" s="41"/>
      <c r="Z41" s="41"/>
    </row>
    <row r="42" spans="1:26" ht="30.75" customHeight="1" x14ac:dyDescent="0.2">
      <c r="A42" s="16">
        <v>39</v>
      </c>
      <c r="B42" s="43"/>
      <c r="C42" s="43" t="s">
        <v>912</v>
      </c>
      <c r="D42" s="15">
        <v>0</v>
      </c>
      <c r="E42" s="15">
        <f>3*L16</f>
        <v>3.7425000000000002</v>
      </c>
      <c r="F42" s="15">
        <f t="shared" si="0"/>
        <v>3.7425000000000002</v>
      </c>
      <c r="G42" s="12"/>
      <c r="H42" s="41"/>
      <c r="I42" s="41"/>
      <c r="J42" s="12"/>
      <c r="K42" s="12"/>
      <c r="L42" s="12"/>
      <c r="M42" s="12"/>
      <c r="N42" s="16"/>
      <c r="O42" s="16"/>
      <c r="P42" s="12"/>
      <c r="Q42" s="12"/>
      <c r="R42" s="12"/>
      <c r="S42" s="12"/>
      <c r="T42" s="16"/>
      <c r="U42" s="41"/>
      <c r="V42" s="41"/>
      <c r="W42" s="41"/>
      <c r="X42" s="41"/>
      <c r="Y42" s="41"/>
      <c r="Z42" s="41"/>
    </row>
    <row r="43" spans="1:26" ht="30.75" customHeight="1" x14ac:dyDescent="0.2">
      <c r="A43" s="16">
        <v>40</v>
      </c>
      <c r="B43" s="43" t="s">
        <v>913</v>
      </c>
      <c r="C43" s="43" t="s">
        <v>914</v>
      </c>
      <c r="D43" s="15">
        <f>2*O38</f>
        <v>1.4803666666666668</v>
      </c>
      <c r="E43" s="15">
        <f>5*O38</f>
        <v>3.7009166666666671</v>
      </c>
      <c r="F43" s="15">
        <f t="shared" si="0"/>
        <v>5.1812833333333339</v>
      </c>
      <c r="G43" s="12"/>
      <c r="H43" s="41"/>
      <c r="I43" s="41"/>
      <c r="J43" s="12"/>
      <c r="K43" s="58" t="s">
        <v>409</v>
      </c>
      <c r="L43" s="60">
        <f>AVERAGE(L6,L11,L16,L21,L26,L31,L36,L41)</f>
        <v>2.1675312500000001</v>
      </c>
      <c r="M43" s="12"/>
      <c r="N43" s="16"/>
      <c r="O43" s="16"/>
      <c r="P43" s="12"/>
      <c r="Q43" s="12"/>
      <c r="R43" s="12"/>
      <c r="S43" s="12"/>
      <c r="T43" s="16"/>
      <c r="U43" s="41"/>
      <c r="V43" s="41"/>
      <c r="W43" s="41"/>
      <c r="X43" s="41"/>
      <c r="Y43" s="41"/>
      <c r="Z43" s="41"/>
    </row>
    <row r="44" spans="1:26" ht="30.75" customHeight="1" x14ac:dyDescent="0.2">
      <c r="A44" s="16">
        <v>41</v>
      </c>
      <c r="B44" s="43"/>
      <c r="C44" s="43" t="s">
        <v>915</v>
      </c>
      <c r="D44" s="15">
        <v>0</v>
      </c>
      <c r="E44" s="15">
        <f>20*I26</f>
        <v>0.87324999999999997</v>
      </c>
      <c r="F44" s="15">
        <f t="shared" si="0"/>
        <v>0.87324999999999997</v>
      </c>
      <c r="G44" s="12"/>
      <c r="H44" s="41"/>
      <c r="I44" s="41"/>
      <c r="J44" s="12"/>
      <c r="K44" s="12"/>
      <c r="L44" s="12"/>
      <c r="M44" s="12"/>
      <c r="N44" s="16"/>
      <c r="O44" s="16"/>
      <c r="P44" s="12"/>
      <c r="Q44" s="12"/>
      <c r="R44" s="12"/>
      <c r="S44" s="12"/>
      <c r="T44" s="16"/>
      <c r="U44" s="41"/>
      <c r="V44" s="41"/>
      <c r="W44" s="41"/>
      <c r="X44" s="41"/>
      <c r="Y44" s="41"/>
      <c r="Z44" s="41"/>
    </row>
    <row r="45" spans="1:26" ht="30.75" customHeight="1" x14ac:dyDescent="0.2">
      <c r="A45" s="16">
        <v>42</v>
      </c>
      <c r="B45" s="43" t="s">
        <v>916</v>
      </c>
      <c r="C45" s="43" t="s">
        <v>917</v>
      </c>
      <c r="D45" s="15">
        <f>1*I16</f>
        <v>1.4969999999999999E-5</v>
      </c>
      <c r="E45" s="15">
        <f>2*I16</f>
        <v>2.9939999999999998E-5</v>
      </c>
      <c r="F45" s="15">
        <f t="shared" si="0"/>
        <v>4.4909999999999995E-5</v>
      </c>
      <c r="G45" s="12"/>
      <c r="H45" s="12"/>
      <c r="I45" s="12"/>
      <c r="J45" s="12"/>
      <c r="K45" s="41"/>
      <c r="L45" s="41"/>
      <c r="M45" s="12"/>
      <c r="N45" s="16"/>
      <c r="O45" s="16"/>
      <c r="P45" s="12"/>
      <c r="Q45" s="12"/>
      <c r="R45" s="12"/>
      <c r="S45" s="12"/>
      <c r="T45" s="16"/>
      <c r="U45" s="41"/>
      <c r="V45" s="41"/>
      <c r="W45" s="41"/>
      <c r="X45" s="41"/>
      <c r="Y45" s="41"/>
      <c r="Z45" s="41"/>
    </row>
    <row r="46" spans="1:26" ht="30.75" customHeight="1" x14ac:dyDescent="0.2">
      <c r="A46" s="16">
        <v>43</v>
      </c>
      <c r="B46" s="43"/>
      <c r="C46" s="43" t="s">
        <v>918</v>
      </c>
      <c r="D46" s="15">
        <v>0</v>
      </c>
      <c r="E46" s="15">
        <f>2*L41</f>
        <v>7.4850000000000003</v>
      </c>
      <c r="F46" s="15">
        <f t="shared" si="0"/>
        <v>7.4850000000000003</v>
      </c>
      <c r="G46" s="12"/>
      <c r="H46" s="12"/>
      <c r="I46" s="12"/>
      <c r="J46" s="12"/>
      <c r="K46" s="12"/>
      <c r="L46" s="12"/>
      <c r="M46" s="12"/>
      <c r="N46" s="16"/>
      <c r="O46" s="16"/>
      <c r="P46" s="12"/>
      <c r="Q46" s="12"/>
      <c r="R46" s="12"/>
      <c r="S46" s="12"/>
      <c r="T46" s="51"/>
      <c r="U46" s="41"/>
      <c r="V46" s="41"/>
      <c r="W46" s="41"/>
      <c r="X46" s="41"/>
      <c r="Y46" s="41"/>
      <c r="Z46" s="41"/>
    </row>
    <row r="47" spans="1:26" ht="30.75" customHeight="1" x14ac:dyDescent="0.2">
      <c r="A47" s="16">
        <v>44</v>
      </c>
      <c r="B47" s="43" t="s">
        <v>264</v>
      </c>
      <c r="C47" s="43" t="s">
        <v>264</v>
      </c>
      <c r="D47" s="15">
        <f>O18</f>
        <v>8.4206249999999994</v>
      </c>
      <c r="E47" s="15">
        <f>O18</f>
        <v>8.4206249999999994</v>
      </c>
      <c r="F47" s="15">
        <f t="shared" si="0"/>
        <v>16.841249999999999</v>
      </c>
      <c r="G47" s="12"/>
      <c r="H47" s="12"/>
      <c r="I47" s="12"/>
      <c r="J47" s="12"/>
      <c r="K47" s="12"/>
      <c r="L47" s="12"/>
      <c r="M47" s="12"/>
      <c r="N47" s="16"/>
      <c r="O47" s="16"/>
      <c r="P47" s="12"/>
      <c r="Q47" s="12"/>
      <c r="R47" s="12"/>
      <c r="S47" s="12"/>
      <c r="T47" s="16"/>
      <c r="U47" s="41"/>
      <c r="V47" s="41"/>
      <c r="W47" s="41"/>
      <c r="X47" s="41"/>
      <c r="Y47" s="41"/>
      <c r="Z47" s="41"/>
    </row>
    <row r="48" spans="1:26" ht="30.75" customHeight="1" x14ac:dyDescent="0.2">
      <c r="A48" s="16">
        <v>45</v>
      </c>
      <c r="B48" s="43"/>
      <c r="C48" s="43" t="s">
        <v>919</v>
      </c>
      <c r="D48" s="15">
        <v>0</v>
      </c>
      <c r="E48" s="15">
        <v>0</v>
      </c>
      <c r="F48" s="15">
        <f t="shared" si="0"/>
        <v>0</v>
      </c>
      <c r="G48" s="12"/>
      <c r="H48" s="12"/>
      <c r="I48" s="12"/>
      <c r="J48" s="12"/>
      <c r="K48" s="12"/>
      <c r="L48" s="12"/>
      <c r="M48" s="12"/>
      <c r="N48" s="16"/>
      <c r="O48" s="16"/>
      <c r="P48" s="12"/>
      <c r="Q48" s="12"/>
      <c r="R48" s="12"/>
      <c r="S48" s="12"/>
      <c r="T48" s="16"/>
      <c r="U48" s="41"/>
      <c r="V48" s="41"/>
      <c r="W48" s="41"/>
      <c r="X48" s="41"/>
      <c r="Y48" s="41"/>
      <c r="Z48" s="41"/>
    </row>
    <row r="49" spans="1:26" ht="30.75" customHeight="1" x14ac:dyDescent="0.2">
      <c r="A49" s="16">
        <v>46</v>
      </c>
      <c r="B49" s="43" t="s">
        <v>920</v>
      </c>
      <c r="C49" s="43" t="s">
        <v>917</v>
      </c>
      <c r="D49" s="15">
        <f>1*I16</f>
        <v>1.4969999999999999E-5</v>
      </c>
      <c r="E49" s="15">
        <f>2*I16</f>
        <v>2.9939999999999998E-5</v>
      </c>
      <c r="F49" s="15">
        <f t="shared" si="0"/>
        <v>4.4909999999999995E-5</v>
      </c>
      <c r="G49" s="12"/>
      <c r="H49" s="12"/>
      <c r="I49" s="12"/>
      <c r="J49" s="12"/>
      <c r="K49" s="12"/>
      <c r="L49" s="12"/>
      <c r="M49" s="12"/>
      <c r="N49" s="16"/>
      <c r="O49" s="16"/>
      <c r="P49" s="12"/>
      <c r="Q49" s="12"/>
      <c r="R49" s="12"/>
      <c r="S49" s="12"/>
      <c r="T49" s="16"/>
      <c r="U49" s="41"/>
      <c r="V49" s="41"/>
      <c r="W49" s="41"/>
      <c r="X49" s="41"/>
      <c r="Y49" s="41"/>
      <c r="Z49" s="41"/>
    </row>
    <row r="50" spans="1:26" ht="30.75" customHeight="1" x14ac:dyDescent="0.2">
      <c r="A50" s="16">
        <v>47</v>
      </c>
      <c r="B50" s="43"/>
      <c r="C50" s="43" t="s">
        <v>921</v>
      </c>
      <c r="D50" s="15">
        <v>0</v>
      </c>
      <c r="E50" s="15">
        <v>0</v>
      </c>
      <c r="F50" s="15">
        <f t="shared" si="0"/>
        <v>0</v>
      </c>
      <c r="G50" s="12"/>
      <c r="H50" s="12"/>
      <c r="I50" s="12"/>
      <c r="J50" s="12"/>
      <c r="K50" s="12"/>
      <c r="L50" s="12"/>
      <c r="M50" s="12"/>
      <c r="N50" s="16"/>
      <c r="O50" s="16"/>
      <c r="P50" s="12"/>
      <c r="Q50" s="12"/>
      <c r="R50" s="12"/>
      <c r="S50" s="12"/>
      <c r="T50" s="16"/>
      <c r="U50" s="41"/>
      <c r="V50" s="41"/>
      <c r="W50" s="41"/>
      <c r="X50" s="41"/>
      <c r="Y50" s="41"/>
      <c r="Z50" s="41"/>
    </row>
    <row r="51" spans="1:26" ht="30.75" customHeight="1" x14ac:dyDescent="0.2">
      <c r="A51" s="16">
        <v>48</v>
      </c>
      <c r="B51" s="43" t="s">
        <v>922</v>
      </c>
      <c r="C51" s="43" t="s">
        <v>923</v>
      </c>
      <c r="D51" s="15">
        <v>0</v>
      </c>
      <c r="E51" s="15">
        <v>0</v>
      </c>
      <c r="F51" s="15">
        <f t="shared" si="0"/>
        <v>0</v>
      </c>
      <c r="G51" s="12"/>
      <c r="H51" s="12"/>
      <c r="I51" s="12"/>
      <c r="J51" s="12"/>
      <c r="K51" s="12"/>
      <c r="L51" s="12"/>
      <c r="M51" s="12"/>
      <c r="N51" s="16"/>
      <c r="O51" s="16"/>
      <c r="P51" s="12"/>
      <c r="Q51" s="12"/>
      <c r="R51" s="12"/>
      <c r="S51" s="12"/>
      <c r="T51" s="16"/>
      <c r="U51" s="41"/>
      <c r="V51" s="41"/>
      <c r="W51" s="41"/>
      <c r="X51" s="41"/>
      <c r="Y51" s="41"/>
      <c r="Z51" s="41"/>
    </row>
    <row r="52" spans="1:26" ht="30.75" customHeight="1" x14ac:dyDescent="0.2">
      <c r="A52" s="16">
        <v>49</v>
      </c>
      <c r="B52" s="43"/>
      <c r="C52" s="43" t="s">
        <v>924</v>
      </c>
      <c r="D52" s="15">
        <v>0</v>
      </c>
      <c r="E52" s="15">
        <v>0</v>
      </c>
      <c r="F52" s="15">
        <f t="shared" si="0"/>
        <v>0</v>
      </c>
      <c r="G52" s="12"/>
      <c r="H52" s="12"/>
      <c r="I52" s="12"/>
      <c r="J52" s="12"/>
      <c r="K52" s="12"/>
      <c r="L52" s="12"/>
      <c r="M52" s="12"/>
      <c r="N52" s="16"/>
      <c r="O52" s="16"/>
      <c r="P52" s="41"/>
      <c r="Q52" s="41"/>
      <c r="R52" s="41"/>
      <c r="S52" s="41"/>
      <c r="T52" s="16"/>
      <c r="U52" s="41"/>
      <c r="V52" s="41"/>
      <c r="W52" s="41"/>
      <c r="X52" s="41"/>
      <c r="Y52" s="41"/>
      <c r="Z52" s="41"/>
    </row>
    <row r="53" spans="1:26" ht="30.75" customHeight="1" x14ac:dyDescent="0.2">
      <c r="A53" s="16">
        <v>50</v>
      </c>
      <c r="B53" s="43" t="s">
        <v>925</v>
      </c>
      <c r="C53" s="43" t="s">
        <v>926</v>
      </c>
      <c r="D53" s="15">
        <v>0</v>
      </c>
      <c r="E53" s="15">
        <v>0</v>
      </c>
      <c r="F53" s="15">
        <f t="shared" si="0"/>
        <v>0</v>
      </c>
      <c r="G53" s="12"/>
      <c r="H53" s="12"/>
      <c r="I53" s="12"/>
      <c r="J53" s="12"/>
      <c r="K53" s="12"/>
      <c r="L53" s="12"/>
      <c r="M53" s="12"/>
      <c r="N53" s="41"/>
      <c r="O53" s="41"/>
      <c r="P53" s="41"/>
      <c r="Q53" s="41"/>
      <c r="R53" s="41"/>
      <c r="S53" s="41"/>
      <c r="T53" s="16"/>
      <c r="U53" s="41"/>
      <c r="V53" s="41"/>
      <c r="W53" s="41"/>
      <c r="X53" s="41"/>
      <c r="Y53" s="41"/>
      <c r="Z53" s="41"/>
    </row>
    <row r="54" spans="1:26" ht="30.75" customHeight="1" x14ac:dyDescent="0.2">
      <c r="A54" s="28" t="s">
        <v>81</v>
      </c>
      <c r="B54" s="32"/>
      <c r="C54" s="32"/>
      <c r="D54" s="72">
        <f t="shared" ref="D54:F54" si="2">SUM(D4:D53)</f>
        <v>20.654576396666666</v>
      </c>
      <c r="E54" s="72">
        <f t="shared" si="2"/>
        <v>87.95941529333335</v>
      </c>
      <c r="F54" s="72">
        <f t="shared" si="2"/>
        <v>108.61399169000002</v>
      </c>
      <c r="G54" s="12"/>
      <c r="H54" s="12"/>
      <c r="I54" s="12"/>
      <c r="J54" s="12"/>
      <c r="K54" s="12"/>
      <c r="L54" s="12"/>
      <c r="M54" s="12"/>
      <c r="N54" s="41"/>
      <c r="O54" s="41"/>
      <c r="P54" s="41"/>
      <c r="Q54" s="41"/>
      <c r="R54" s="41"/>
      <c r="S54" s="41"/>
      <c r="T54" s="16"/>
      <c r="U54" s="41"/>
      <c r="V54" s="41"/>
      <c r="W54" s="41"/>
      <c r="X54" s="41"/>
      <c r="Y54" s="41"/>
      <c r="Z54" s="41"/>
    </row>
    <row r="55" spans="1:26" ht="30.75" customHeight="1" x14ac:dyDescent="0.2">
      <c r="A55" s="28" t="s">
        <v>174</v>
      </c>
      <c r="B55" s="43"/>
      <c r="C55" s="43"/>
      <c r="D55" s="34">
        <f t="shared" ref="D55:F55" si="3">AVERAGE(D4:D53)</f>
        <v>0.41309152793333331</v>
      </c>
      <c r="E55" s="34">
        <f t="shared" si="3"/>
        <v>1.7591883058666671</v>
      </c>
      <c r="F55" s="34">
        <f t="shared" si="3"/>
        <v>2.1722798338000002</v>
      </c>
      <c r="G55" s="12"/>
      <c r="H55" s="12"/>
      <c r="I55" s="12"/>
      <c r="J55" s="12"/>
      <c r="K55" s="12"/>
      <c r="L55" s="12"/>
      <c r="M55" s="12"/>
      <c r="N55" s="41"/>
      <c r="O55" s="41"/>
      <c r="P55" s="41"/>
      <c r="Q55" s="41"/>
      <c r="R55" s="41"/>
      <c r="S55" s="41"/>
      <c r="T55" s="16"/>
      <c r="U55" s="41"/>
      <c r="V55" s="41"/>
      <c r="W55" s="41"/>
      <c r="X55" s="41"/>
      <c r="Y55" s="41"/>
      <c r="Z55" s="41"/>
    </row>
    <row r="56" spans="1:26" ht="15.75" customHeight="1" x14ac:dyDescent="0.2">
      <c r="A56" s="16"/>
      <c r="B56" s="43"/>
      <c r="C56" s="43"/>
      <c r="D56" s="16"/>
      <c r="E56" s="16"/>
      <c r="F56" s="16"/>
      <c r="G56" s="12"/>
      <c r="H56" s="12"/>
      <c r="I56" s="12"/>
      <c r="J56" s="12"/>
      <c r="K56" s="12"/>
      <c r="L56" s="12"/>
      <c r="M56" s="12"/>
      <c r="N56" s="41"/>
      <c r="O56" s="41"/>
      <c r="P56" s="41"/>
      <c r="Q56" s="41"/>
      <c r="R56" s="41"/>
      <c r="S56" s="41"/>
      <c r="T56" s="16"/>
      <c r="U56" s="41"/>
      <c r="V56" s="41"/>
      <c r="W56" s="41"/>
      <c r="X56" s="41"/>
      <c r="Y56" s="41"/>
      <c r="Z56" s="41"/>
    </row>
    <row r="57" spans="1:26" ht="15.75" customHeight="1" x14ac:dyDescent="0.2">
      <c r="A57" s="16"/>
      <c r="B57" s="43"/>
      <c r="C57" s="43"/>
      <c r="D57" s="16"/>
      <c r="E57" s="16"/>
      <c r="F57" s="16"/>
      <c r="G57" s="12"/>
      <c r="H57" s="12"/>
      <c r="I57" s="12"/>
      <c r="J57" s="12"/>
      <c r="K57" s="12"/>
      <c r="L57" s="12"/>
      <c r="M57" s="12"/>
      <c r="N57" s="41"/>
      <c r="O57" s="41"/>
      <c r="P57" s="41"/>
      <c r="Q57" s="41"/>
      <c r="R57" s="41"/>
      <c r="S57" s="41"/>
      <c r="T57" s="16"/>
      <c r="U57" s="41"/>
      <c r="V57" s="41"/>
      <c r="W57" s="41"/>
      <c r="X57" s="41"/>
      <c r="Y57" s="41"/>
      <c r="Z57" s="41"/>
    </row>
    <row r="58" spans="1:26" ht="15.75" customHeight="1" x14ac:dyDescent="0.2">
      <c r="A58" s="16"/>
      <c r="B58" s="43"/>
      <c r="C58" s="43"/>
      <c r="D58" s="16"/>
      <c r="E58" s="16"/>
      <c r="F58" s="16"/>
      <c r="G58" s="12"/>
      <c r="H58" s="12"/>
      <c r="I58" s="12"/>
      <c r="J58" s="12"/>
      <c r="K58" s="12"/>
      <c r="L58" s="12"/>
      <c r="M58" s="12"/>
      <c r="N58" s="41"/>
      <c r="O58" s="41"/>
      <c r="P58" s="41"/>
      <c r="Q58" s="41"/>
      <c r="R58" s="41"/>
      <c r="S58" s="41"/>
      <c r="T58" s="16"/>
      <c r="U58" s="41"/>
      <c r="V58" s="41"/>
      <c r="W58" s="41"/>
      <c r="X58" s="41"/>
      <c r="Y58" s="41"/>
      <c r="Z58" s="41"/>
    </row>
    <row r="59" spans="1:26" ht="15.75" customHeight="1" x14ac:dyDescent="0.2">
      <c r="A59" s="16"/>
      <c r="B59" s="43"/>
      <c r="C59" s="43"/>
      <c r="D59" s="16"/>
      <c r="E59" s="16"/>
      <c r="F59" s="16"/>
      <c r="G59" s="12"/>
      <c r="H59" s="12"/>
      <c r="I59" s="12"/>
      <c r="J59" s="12"/>
      <c r="K59" s="12"/>
      <c r="L59" s="12"/>
      <c r="M59" s="12"/>
      <c r="N59" s="41"/>
      <c r="O59" s="41"/>
      <c r="P59" s="41"/>
      <c r="Q59" s="41"/>
      <c r="R59" s="41"/>
      <c r="S59" s="41"/>
      <c r="T59" s="16"/>
      <c r="U59" s="41"/>
      <c r="V59" s="41"/>
      <c r="W59" s="41"/>
      <c r="X59" s="41"/>
      <c r="Y59" s="41"/>
      <c r="Z59" s="41"/>
    </row>
    <row r="60" spans="1:26" ht="15.75" customHeight="1" x14ac:dyDescent="0.2">
      <c r="A60" s="16"/>
      <c r="B60" s="43"/>
      <c r="C60" s="43"/>
      <c r="D60" s="16"/>
      <c r="E60" s="16"/>
      <c r="F60" s="16"/>
      <c r="G60" s="12"/>
      <c r="H60" s="12"/>
      <c r="I60" s="12"/>
      <c r="J60" s="12"/>
      <c r="K60" s="12"/>
      <c r="L60" s="12"/>
      <c r="M60" s="12"/>
      <c r="N60" s="41"/>
      <c r="O60" s="41"/>
      <c r="P60" s="41"/>
      <c r="Q60" s="41"/>
      <c r="R60" s="41"/>
      <c r="S60" s="41"/>
      <c r="T60" s="16"/>
      <c r="U60" s="41"/>
      <c r="V60" s="41"/>
      <c r="W60" s="41"/>
      <c r="X60" s="41"/>
      <c r="Y60" s="41"/>
      <c r="Z60" s="41"/>
    </row>
    <row r="61" spans="1:26" ht="15.75" customHeight="1" x14ac:dyDescent="0.2">
      <c r="A61" s="41"/>
      <c r="B61" s="41"/>
      <c r="C61" s="41"/>
      <c r="D61" s="41"/>
      <c r="E61" s="41"/>
      <c r="F61" s="41"/>
      <c r="G61" s="12"/>
      <c r="H61" s="12"/>
      <c r="I61" s="12"/>
      <c r="J61" s="12"/>
      <c r="K61" s="12"/>
      <c r="L61" s="12"/>
      <c r="M61" s="12"/>
      <c r="N61" s="41"/>
      <c r="O61" s="41"/>
      <c r="P61" s="41"/>
      <c r="Q61" s="41"/>
      <c r="R61" s="41"/>
      <c r="S61" s="41"/>
      <c r="T61" s="16"/>
      <c r="U61" s="41"/>
      <c r="V61" s="41"/>
      <c r="W61" s="41"/>
      <c r="X61" s="41"/>
      <c r="Y61" s="41"/>
      <c r="Z61" s="41"/>
    </row>
    <row r="62" spans="1:26" ht="15.75" customHeight="1" x14ac:dyDescent="0.2">
      <c r="A62" s="16"/>
      <c r="B62" s="43"/>
      <c r="C62" s="43"/>
      <c r="D62" s="16"/>
      <c r="E62" s="16"/>
      <c r="F62" s="16"/>
      <c r="G62" s="12"/>
      <c r="H62" s="12"/>
      <c r="I62" s="12"/>
      <c r="J62" s="12"/>
      <c r="K62" s="12"/>
      <c r="L62" s="12"/>
      <c r="M62" s="12"/>
      <c r="N62" s="41"/>
      <c r="O62" s="41"/>
      <c r="P62" s="41"/>
      <c r="Q62" s="41"/>
      <c r="R62" s="41"/>
      <c r="S62" s="41"/>
      <c r="T62" s="16"/>
      <c r="U62" s="41"/>
      <c r="V62" s="41"/>
      <c r="W62" s="41"/>
      <c r="X62" s="41"/>
      <c r="Y62" s="41"/>
      <c r="Z62" s="41"/>
    </row>
    <row r="63" spans="1:26" ht="15.75" customHeight="1" x14ac:dyDescent="0.2">
      <c r="A63" s="16"/>
      <c r="B63" s="43"/>
      <c r="C63" s="43"/>
      <c r="D63" s="16"/>
      <c r="E63" s="16"/>
      <c r="F63" s="16"/>
      <c r="G63" s="12"/>
      <c r="H63" s="12"/>
      <c r="I63" s="12"/>
      <c r="J63" s="12"/>
      <c r="K63" s="12"/>
      <c r="L63" s="12"/>
      <c r="M63" s="12"/>
      <c r="N63" s="41"/>
      <c r="O63" s="41"/>
      <c r="P63" s="41"/>
      <c r="Q63" s="41"/>
      <c r="R63" s="41"/>
      <c r="S63" s="41"/>
      <c r="T63" s="16"/>
      <c r="U63" s="41"/>
      <c r="V63" s="41"/>
      <c r="W63" s="41"/>
      <c r="X63" s="41"/>
      <c r="Y63" s="41"/>
      <c r="Z63" s="41"/>
    </row>
    <row r="64" spans="1:26" ht="15.75" customHeight="1" x14ac:dyDescent="0.2">
      <c r="A64" s="16"/>
      <c r="B64" s="43"/>
      <c r="C64" s="43"/>
      <c r="D64" s="16"/>
      <c r="E64" s="16"/>
      <c r="F64" s="16"/>
      <c r="G64" s="12"/>
      <c r="H64" s="12"/>
      <c r="I64" s="12"/>
      <c r="J64" s="12"/>
      <c r="K64" s="12"/>
      <c r="L64" s="12"/>
      <c r="M64" s="12"/>
      <c r="N64" s="41"/>
      <c r="O64" s="41"/>
      <c r="P64" s="41"/>
      <c r="Q64" s="41"/>
      <c r="R64" s="41"/>
      <c r="S64" s="41"/>
      <c r="T64" s="16"/>
      <c r="U64" s="41"/>
      <c r="V64" s="41"/>
      <c r="W64" s="41"/>
      <c r="X64" s="41"/>
      <c r="Y64" s="41"/>
      <c r="Z64" s="41"/>
    </row>
    <row r="65" spans="1:26" ht="15.75" customHeight="1" x14ac:dyDescent="0.2">
      <c r="A65" s="16"/>
      <c r="B65" s="43"/>
      <c r="C65" s="43"/>
      <c r="D65" s="16"/>
      <c r="E65" s="16"/>
      <c r="F65" s="16"/>
      <c r="G65" s="12"/>
      <c r="H65" s="12"/>
      <c r="I65" s="12"/>
      <c r="J65" s="12"/>
      <c r="K65" s="12"/>
      <c r="L65" s="12"/>
      <c r="M65" s="12"/>
      <c r="N65" s="41"/>
      <c r="O65" s="41"/>
      <c r="P65" s="41"/>
      <c r="Q65" s="41"/>
      <c r="R65" s="41"/>
      <c r="S65" s="41"/>
      <c r="T65" s="16"/>
      <c r="U65" s="41"/>
      <c r="V65" s="41"/>
      <c r="W65" s="41"/>
      <c r="X65" s="41"/>
      <c r="Y65" s="41"/>
      <c r="Z65" s="41"/>
    </row>
    <row r="66" spans="1:26" ht="15.75" customHeight="1" x14ac:dyDescent="0.2">
      <c r="A66" s="16"/>
      <c r="B66" s="43"/>
      <c r="C66" s="43"/>
      <c r="D66" s="16"/>
      <c r="E66" s="16"/>
      <c r="F66" s="16"/>
      <c r="G66" s="12"/>
      <c r="H66" s="12"/>
      <c r="I66" s="12"/>
      <c r="J66" s="12"/>
      <c r="K66" s="12"/>
      <c r="L66" s="12"/>
      <c r="M66" s="12"/>
      <c r="N66" s="41"/>
      <c r="O66" s="41"/>
      <c r="P66" s="41"/>
      <c r="Q66" s="41"/>
      <c r="R66" s="41"/>
      <c r="S66" s="41"/>
      <c r="T66" s="16"/>
      <c r="U66" s="41"/>
      <c r="V66" s="41"/>
      <c r="W66" s="41"/>
      <c r="X66" s="41"/>
      <c r="Y66" s="41"/>
      <c r="Z66" s="41"/>
    </row>
    <row r="67" spans="1:26" ht="15.75" customHeight="1" x14ac:dyDescent="0.2">
      <c r="A67" s="16"/>
      <c r="B67" s="43"/>
      <c r="C67" s="43"/>
      <c r="D67" s="16"/>
      <c r="E67" s="16"/>
      <c r="F67" s="16"/>
      <c r="G67" s="12"/>
      <c r="H67" s="12"/>
      <c r="I67" s="12"/>
      <c r="J67" s="12"/>
      <c r="K67" s="12"/>
      <c r="L67" s="12"/>
      <c r="M67" s="12"/>
      <c r="N67" s="41"/>
      <c r="O67" s="41"/>
      <c r="P67" s="41"/>
      <c r="Q67" s="41"/>
      <c r="R67" s="41"/>
      <c r="S67" s="41"/>
      <c r="T67" s="16"/>
      <c r="U67" s="41"/>
      <c r="V67" s="41"/>
      <c r="W67" s="41"/>
      <c r="X67" s="41"/>
      <c r="Y67" s="41"/>
      <c r="Z67" s="41"/>
    </row>
    <row r="68" spans="1:26" ht="15.75" customHeight="1" x14ac:dyDescent="0.2">
      <c r="A68" s="16"/>
      <c r="B68" s="43"/>
      <c r="C68" s="43"/>
      <c r="D68" s="16"/>
      <c r="E68" s="16"/>
      <c r="F68" s="16"/>
      <c r="G68" s="12"/>
      <c r="H68" s="12"/>
      <c r="I68" s="12"/>
      <c r="J68" s="12"/>
      <c r="K68" s="12"/>
      <c r="L68" s="12"/>
      <c r="M68" s="12"/>
      <c r="N68" s="41"/>
      <c r="O68" s="41"/>
      <c r="P68" s="41"/>
      <c r="Q68" s="41"/>
      <c r="R68" s="41"/>
      <c r="S68" s="41"/>
      <c r="T68" s="16"/>
      <c r="U68" s="41"/>
      <c r="V68" s="41"/>
      <c r="W68" s="41"/>
      <c r="X68" s="41"/>
      <c r="Y68" s="41"/>
      <c r="Z68" s="41"/>
    </row>
    <row r="69" spans="1:26" ht="15.75" customHeight="1" x14ac:dyDescent="0.2">
      <c r="A69" s="16"/>
      <c r="B69" s="43"/>
      <c r="C69" s="43"/>
      <c r="D69" s="16"/>
      <c r="E69" s="16"/>
      <c r="F69" s="16"/>
      <c r="G69" s="12"/>
      <c r="H69" s="12"/>
      <c r="I69" s="12"/>
      <c r="J69" s="12"/>
      <c r="K69" s="12"/>
      <c r="L69" s="12"/>
      <c r="M69" s="12"/>
      <c r="N69" s="41"/>
      <c r="O69" s="41"/>
      <c r="P69" s="41"/>
      <c r="Q69" s="41"/>
      <c r="R69" s="41"/>
      <c r="S69" s="41"/>
      <c r="T69" s="16"/>
      <c r="U69" s="41"/>
      <c r="V69" s="41"/>
      <c r="W69" s="41"/>
      <c r="X69" s="41"/>
      <c r="Y69" s="41"/>
      <c r="Z69" s="41"/>
    </row>
    <row r="70" spans="1:26" ht="15.75" customHeight="1" x14ac:dyDescent="0.2">
      <c r="A70" s="16"/>
      <c r="B70" s="43"/>
      <c r="C70" s="43"/>
      <c r="D70" s="16"/>
      <c r="E70" s="16"/>
      <c r="F70" s="16"/>
      <c r="G70" s="12"/>
      <c r="H70" s="12"/>
      <c r="I70" s="12"/>
      <c r="J70" s="12"/>
      <c r="K70" s="12"/>
      <c r="L70" s="12"/>
      <c r="M70" s="12"/>
      <c r="N70" s="41"/>
      <c r="O70" s="41"/>
      <c r="P70" s="41"/>
      <c r="Q70" s="41"/>
      <c r="R70" s="41"/>
      <c r="S70" s="41"/>
      <c r="T70" s="16"/>
      <c r="U70" s="41"/>
      <c r="V70" s="41"/>
      <c r="W70" s="41"/>
      <c r="X70" s="41"/>
      <c r="Y70" s="41"/>
      <c r="Z70" s="41"/>
    </row>
    <row r="71" spans="1:26" ht="15.75" customHeight="1" x14ac:dyDescent="0.2">
      <c r="A71" s="16"/>
      <c r="B71" s="43"/>
      <c r="C71" s="43"/>
      <c r="D71" s="16"/>
      <c r="E71" s="16"/>
      <c r="F71" s="16"/>
      <c r="G71" s="12"/>
      <c r="H71" s="12"/>
      <c r="I71" s="12"/>
      <c r="J71" s="12"/>
      <c r="K71" s="12"/>
      <c r="L71" s="12"/>
      <c r="M71" s="12"/>
      <c r="N71" s="41"/>
      <c r="O71" s="41"/>
      <c r="P71" s="41"/>
      <c r="Q71" s="41"/>
      <c r="R71" s="41"/>
      <c r="S71" s="41"/>
      <c r="T71" s="16"/>
      <c r="U71" s="41"/>
      <c r="V71" s="41"/>
      <c r="W71" s="41"/>
      <c r="X71" s="41"/>
      <c r="Y71" s="41"/>
      <c r="Z71" s="41"/>
    </row>
    <row r="72" spans="1:26" ht="15.75" customHeight="1" x14ac:dyDescent="0.2">
      <c r="A72" s="16"/>
      <c r="B72" s="43"/>
      <c r="C72" s="43"/>
      <c r="D72" s="16"/>
      <c r="E72" s="16"/>
      <c r="F72" s="16"/>
      <c r="G72" s="12"/>
      <c r="H72" s="12"/>
      <c r="I72" s="12"/>
      <c r="J72" s="12"/>
      <c r="K72" s="12"/>
      <c r="L72" s="12"/>
      <c r="M72" s="12"/>
      <c r="N72" s="41"/>
      <c r="O72" s="41"/>
      <c r="P72" s="41"/>
      <c r="Q72" s="41"/>
      <c r="R72" s="41"/>
      <c r="S72" s="41"/>
      <c r="T72" s="16"/>
      <c r="U72" s="41"/>
      <c r="V72" s="41"/>
      <c r="W72" s="41"/>
      <c r="X72" s="41"/>
      <c r="Y72" s="41"/>
      <c r="Z72" s="41"/>
    </row>
    <row r="73" spans="1:26" ht="15.75" customHeight="1" x14ac:dyDescent="0.2">
      <c r="A73" s="16"/>
      <c r="B73" s="43"/>
      <c r="C73" s="43"/>
      <c r="D73" s="16"/>
      <c r="E73" s="16"/>
      <c r="F73" s="16"/>
      <c r="G73" s="12"/>
      <c r="H73" s="12"/>
      <c r="I73" s="12"/>
      <c r="J73" s="12"/>
      <c r="K73" s="12"/>
      <c r="L73" s="12"/>
      <c r="M73" s="12"/>
      <c r="N73" s="41"/>
      <c r="O73" s="41"/>
      <c r="P73" s="41"/>
      <c r="Q73" s="41"/>
      <c r="R73" s="41"/>
      <c r="S73" s="41"/>
      <c r="T73" s="16"/>
      <c r="U73" s="41"/>
      <c r="V73" s="41"/>
      <c r="W73" s="41"/>
      <c r="X73" s="41"/>
      <c r="Y73" s="41"/>
      <c r="Z73" s="41"/>
    </row>
    <row r="74" spans="1:26" ht="15.75" customHeight="1" x14ac:dyDescent="0.2">
      <c r="A74" s="16"/>
      <c r="B74" s="43"/>
      <c r="C74" s="43"/>
      <c r="D74" s="16"/>
      <c r="E74" s="16"/>
      <c r="F74" s="16"/>
      <c r="G74" s="12"/>
      <c r="H74" s="12"/>
      <c r="I74" s="12"/>
      <c r="J74" s="12"/>
      <c r="K74" s="12"/>
      <c r="L74" s="12"/>
      <c r="M74" s="12"/>
      <c r="N74" s="41"/>
      <c r="O74" s="41"/>
      <c r="P74" s="41"/>
      <c r="Q74" s="41"/>
      <c r="R74" s="41"/>
      <c r="S74" s="41"/>
      <c r="T74" s="16"/>
      <c r="U74" s="41"/>
      <c r="V74" s="41"/>
      <c r="W74" s="41"/>
      <c r="X74" s="41"/>
      <c r="Y74" s="41"/>
      <c r="Z74" s="41"/>
    </row>
    <row r="75" spans="1:26" ht="15.75" customHeight="1" x14ac:dyDescent="0.2">
      <c r="A75" s="16"/>
      <c r="B75" s="43"/>
      <c r="C75" s="43"/>
      <c r="D75" s="16"/>
      <c r="E75" s="16"/>
      <c r="F75" s="16"/>
      <c r="G75" s="12"/>
      <c r="H75" s="12"/>
      <c r="I75" s="12"/>
      <c r="J75" s="12"/>
      <c r="K75" s="12"/>
      <c r="L75" s="12"/>
      <c r="M75" s="12"/>
      <c r="N75" s="41"/>
      <c r="O75" s="41"/>
      <c r="P75" s="41"/>
      <c r="Q75" s="41"/>
      <c r="R75" s="41"/>
      <c r="S75" s="41"/>
      <c r="T75" s="16"/>
      <c r="U75" s="41"/>
      <c r="V75" s="41"/>
      <c r="W75" s="41"/>
      <c r="X75" s="41"/>
      <c r="Y75" s="41"/>
      <c r="Z75" s="41"/>
    </row>
    <row r="76" spans="1:26" ht="15.75" customHeight="1" x14ac:dyDescent="0.2">
      <c r="A76" s="16"/>
      <c r="B76" s="43"/>
      <c r="C76" s="43"/>
      <c r="D76" s="16"/>
      <c r="E76" s="16"/>
      <c r="F76" s="16"/>
      <c r="G76" s="12"/>
      <c r="H76" s="12"/>
      <c r="I76" s="12"/>
      <c r="J76" s="12"/>
      <c r="K76" s="12"/>
      <c r="L76" s="12"/>
      <c r="M76" s="12"/>
      <c r="N76" s="41"/>
      <c r="O76" s="41"/>
      <c r="P76" s="41"/>
      <c r="Q76" s="41"/>
      <c r="R76" s="41"/>
      <c r="S76" s="41"/>
      <c r="T76" s="16"/>
      <c r="U76" s="41"/>
      <c r="V76" s="41"/>
      <c r="W76" s="41"/>
      <c r="X76" s="41"/>
      <c r="Y76" s="41"/>
      <c r="Z76" s="41"/>
    </row>
    <row r="77" spans="1:26" ht="15.75" customHeight="1" x14ac:dyDescent="0.2">
      <c r="A77" s="16"/>
      <c r="B77" s="43"/>
      <c r="C77" s="43"/>
      <c r="D77" s="16"/>
      <c r="E77" s="16"/>
      <c r="F77" s="16"/>
      <c r="G77" s="12"/>
      <c r="H77" s="12"/>
      <c r="I77" s="12"/>
      <c r="J77" s="12"/>
      <c r="K77" s="12"/>
      <c r="L77" s="12"/>
      <c r="M77" s="12"/>
      <c r="N77" s="41"/>
      <c r="O77" s="41"/>
      <c r="P77" s="41"/>
      <c r="Q77" s="41"/>
      <c r="R77" s="41"/>
      <c r="S77" s="41"/>
      <c r="T77" s="16"/>
      <c r="U77" s="41"/>
      <c r="V77" s="41"/>
      <c r="W77" s="41"/>
      <c r="X77" s="41"/>
      <c r="Y77" s="41"/>
      <c r="Z77" s="41"/>
    </row>
    <row r="78" spans="1:26" ht="15.75" customHeight="1" x14ac:dyDescent="0.2">
      <c r="A78" s="16"/>
      <c r="B78" s="43"/>
      <c r="C78" s="43"/>
      <c r="D78" s="16"/>
      <c r="E78" s="16"/>
      <c r="F78" s="16"/>
      <c r="G78" s="12"/>
      <c r="H78" s="12"/>
      <c r="I78" s="12"/>
      <c r="J78" s="12"/>
      <c r="K78" s="12"/>
      <c r="L78" s="12"/>
      <c r="M78" s="12"/>
      <c r="N78" s="41"/>
      <c r="O78" s="41"/>
      <c r="P78" s="41"/>
      <c r="Q78" s="41"/>
      <c r="R78" s="41"/>
      <c r="S78" s="41"/>
      <c r="T78" s="16"/>
      <c r="U78" s="41"/>
      <c r="V78" s="41"/>
      <c r="W78" s="41"/>
      <c r="X78" s="41"/>
      <c r="Y78" s="41"/>
      <c r="Z78" s="41"/>
    </row>
    <row r="79" spans="1:26" ht="15.75" customHeight="1" x14ac:dyDescent="0.2">
      <c r="A79" s="16"/>
      <c r="B79" s="43"/>
      <c r="C79" s="43"/>
      <c r="D79" s="16"/>
      <c r="E79" s="16"/>
      <c r="F79" s="16"/>
      <c r="G79" s="12"/>
      <c r="H79" s="12"/>
      <c r="I79" s="12"/>
      <c r="J79" s="12"/>
      <c r="K79" s="12"/>
      <c r="L79" s="12"/>
      <c r="M79" s="12"/>
      <c r="N79" s="41"/>
      <c r="O79" s="41"/>
      <c r="P79" s="12"/>
      <c r="Q79" s="12"/>
      <c r="R79" s="12"/>
      <c r="S79" s="12"/>
      <c r="T79" s="16"/>
      <c r="U79" s="41"/>
      <c r="V79" s="41"/>
      <c r="W79" s="41"/>
      <c r="X79" s="41"/>
      <c r="Y79" s="41"/>
      <c r="Z79" s="41"/>
    </row>
    <row r="80" spans="1:26" ht="15.75" customHeight="1" x14ac:dyDescent="0.2">
      <c r="A80" s="16"/>
      <c r="B80" s="43"/>
      <c r="C80" s="43"/>
      <c r="D80" s="16"/>
      <c r="E80" s="16"/>
      <c r="F80" s="16"/>
      <c r="G80" s="12"/>
      <c r="H80" s="12"/>
      <c r="I80" s="12"/>
      <c r="J80" s="12"/>
      <c r="K80" s="12"/>
      <c r="L80" s="12"/>
      <c r="M80" s="12"/>
      <c r="N80" s="16"/>
      <c r="O80" s="16"/>
      <c r="P80" s="12"/>
      <c r="Q80" s="12"/>
      <c r="R80" s="12"/>
      <c r="S80" s="12"/>
      <c r="T80" s="16"/>
      <c r="U80" s="41"/>
      <c r="V80" s="41"/>
      <c r="W80" s="41"/>
      <c r="X80" s="41"/>
      <c r="Y80" s="41"/>
      <c r="Z80" s="41"/>
    </row>
    <row r="81" spans="1:26" ht="15.75" customHeight="1" x14ac:dyDescent="0.2">
      <c r="A81" s="16"/>
      <c r="B81" s="43"/>
      <c r="C81" s="43"/>
      <c r="D81" s="16"/>
      <c r="E81" s="16"/>
      <c r="F81" s="16"/>
      <c r="G81" s="12"/>
      <c r="H81" s="12"/>
      <c r="I81" s="12"/>
      <c r="J81" s="12"/>
      <c r="K81" s="12"/>
      <c r="L81" s="12"/>
      <c r="M81" s="12"/>
      <c r="N81" s="16"/>
      <c r="O81" s="16"/>
      <c r="P81" s="12"/>
      <c r="Q81" s="12"/>
      <c r="R81" s="12"/>
      <c r="S81" s="12"/>
      <c r="T81" s="16"/>
      <c r="U81" s="41"/>
      <c r="V81" s="41"/>
      <c r="W81" s="41"/>
      <c r="X81" s="41"/>
      <c r="Y81" s="41"/>
      <c r="Z81" s="41"/>
    </row>
    <row r="82" spans="1:26" ht="15.75" customHeight="1" x14ac:dyDescent="0.2">
      <c r="A82" s="16"/>
      <c r="B82" s="43"/>
      <c r="C82" s="43"/>
      <c r="D82" s="16"/>
      <c r="E82" s="16"/>
      <c r="F82" s="16"/>
      <c r="G82" s="12"/>
      <c r="H82" s="12"/>
      <c r="I82" s="12"/>
      <c r="J82" s="12"/>
      <c r="K82" s="12"/>
      <c r="L82" s="12"/>
      <c r="M82" s="12"/>
      <c r="N82" s="16"/>
      <c r="O82" s="16"/>
      <c r="P82" s="12"/>
      <c r="Q82" s="12"/>
      <c r="R82" s="12"/>
      <c r="S82" s="12"/>
      <c r="T82" s="16"/>
      <c r="U82" s="41"/>
      <c r="V82" s="41"/>
      <c r="W82" s="41"/>
      <c r="X82" s="41"/>
      <c r="Y82" s="41"/>
      <c r="Z82" s="41"/>
    </row>
    <row r="83" spans="1:26" ht="15.75" customHeight="1" x14ac:dyDescent="0.2">
      <c r="A83" s="16"/>
      <c r="B83" s="43"/>
      <c r="C83" s="43"/>
      <c r="D83" s="16"/>
      <c r="E83" s="16"/>
      <c r="F83" s="16"/>
      <c r="G83" s="12"/>
      <c r="H83" s="12"/>
      <c r="I83" s="12"/>
      <c r="J83" s="12"/>
      <c r="K83" s="12"/>
      <c r="L83" s="12"/>
      <c r="M83" s="12"/>
      <c r="N83" s="16"/>
      <c r="O83" s="16"/>
      <c r="P83" s="12"/>
      <c r="Q83" s="12"/>
      <c r="R83" s="12"/>
      <c r="S83" s="12"/>
      <c r="T83" s="16"/>
      <c r="U83" s="41"/>
      <c r="V83" s="41"/>
      <c r="W83" s="41"/>
      <c r="X83" s="41"/>
      <c r="Y83" s="41"/>
      <c r="Z83" s="41"/>
    </row>
    <row r="84" spans="1:26" ht="15.75" customHeight="1" x14ac:dyDescent="0.2">
      <c r="A84" s="16"/>
      <c r="B84" s="43"/>
      <c r="C84" s="43"/>
      <c r="D84" s="16"/>
      <c r="E84" s="16"/>
      <c r="F84" s="16"/>
      <c r="G84" s="12"/>
      <c r="H84" s="12"/>
      <c r="I84" s="12"/>
      <c r="J84" s="12"/>
      <c r="K84" s="12"/>
      <c r="L84" s="12"/>
      <c r="M84" s="12"/>
      <c r="N84" s="16"/>
      <c r="O84" s="16"/>
      <c r="P84" s="12"/>
      <c r="Q84" s="12"/>
      <c r="R84" s="12"/>
      <c r="S84" s="12"/>
      <c r="T84" s="16"/>
      <c r="U84" s="41"/>
      <c r="V84" s="41"/>
      <c r="W84" s="41"/>
      <c r="X84" s="41"/>
      <c r="Y84" s="41"/>
      <c r="Z84" s="41"/>
    </row>
    <row r="85" spans="1:26" ht="15.75" customHeight="1" x14ac:dyDescent="0.2">
      <c r="A85" s="16"/>
      <c r="B85" s="43"/>
      <c r="C85" s="43"/>
      <c r="D85" s="16"/>
      <c r="E85" s="16"/>
      <c r="F85" s="16"/>
      <c r="G85" s="12"/>
      <c r="H85" s="12"/>
      <c r="I85" s="12"/>
      <c r="J85" s="12"/>
      <c r="K85" s="12"/>
      <c r="L85" s="12"/>
      <c r="M85" s="12"/>
      <c r="N85" s="16"/>
      <c r="O85" s="16"/>
      <c r="P85" s="12"/>
      <c r="Q85" s="12"/>
      <c r="R85" s="12"/>
      <c r="S85" s="12"/>
      <c r="T85" s="16"/>
      <c r="U85" s="41"/>
      <c r="V85" s="41"/>
      <c r="W85" s="41"/>
      <c r="X85" s="41"/>
      <c r="Y85" s="41"/>
      <c r="Z85" s="41"/>
    </row>
    <row r="86" spans="1:26" ht="15.75" customHeight="1" x14ac:dyDescent="0.2">
      <c r="A86" s="16"/>
      <c r="B86" s="43"/>
      <c r="C86" s="43"/>
      <c r="D86" s="16"/>
      <c r="E86" s="16"/>
      <c r="F86" s="16"/>
      <c r="G86" s="12"/>
      <c r="H86" s="12"/>
      <c r="I86" s="12"/>
      <c r="J86" s="12"/>
      <c r="K86" s="12"/>
      <c r="L86" s="12"/>
      <c r="M86" s="12"/>
      <c r="N86" s="16"/>
      <c r="O86" s="16"/>
      <c r="P86" s="12"/>
      <c r="Q86" s="12"/>
      <c r="R86" s="12"/>
      <c r="S86" s="12"/>
      <c r="T86" s="16"/>
      <c r="U86" s="41"/>
      <c r="V86" s="41"/>
      <c r="W86" s="41"/>
      <c r="X86" s="41"/>
      <c r="Y86" s="41"/>
      <c r="Z86" s="41"/>
    </row>
    <row r="87" spans="1:26" ht="15.75" customHeight="1" x14ac:dyDescent="0.2">
      <c r="A87" s="16"/>
      <c r="B87" s="43"/>
      <c r="C87" s="43"/>
      <c r="D87" s="16"/>
      <c r="E87" s="16"/>
      <c r="F87" s="16"/>
      <c r="G87" s="12"/>
      <c r="H87" s="12"/>
      <c r="I87" s="12"/>
      <c r="J87" s="12"/>
      <c r="K87" s="12"/>
      <c r="L87" s="12"/>
      <c r="M87" s="12"/>
      <c r="N87" s="16"/>
      <c r="O87" s="16"/>
      <c r="P87" s="12"/>
      <c r="Q87" s="12"/>
      <c r="R87" s="12"/>
      <c r="S87" s="12"/>
      <c r="T87" s="16"/>
      <c r="U87" s="41"/>
      <c r="V87" s="41"/>
      <c r="W87" s="41"/>
      <c r="X87" s="41"/>
      <c r="Y87" s="41"/>
      <c r="Z87" s="41"/>
    </row>
    <row r="88" spans="1:26" ht="15.75" customHeight="1" x14ac:dyDescent="0.2">
      <c r="A88" s="16"/>
      <c r="B88" s="43"/>
      <c r="C88" s="43"/>
      <c r="D88" s="16"/>
      <c r="E88" s="16"/>
      <c r="F88" s="16"/>
      <c r="G88" s="12"/>
      <c r="H88" s="12"/>
      <c r="I88" s="12"/>
      <c r="J88" s="12"/>
      <c r="K88" s="12"/>
      <c r="L88" s="12"/>
      <c r="M88" s="12"/>
      <c r="N88" s="16"/>
      <c r="O88" s="16"/>
      <c r="P88" s="12"/>
      <c r="Q88" s="12"/>
      <c r="R88" s="12"/>
      <c r="S88" s="12"/>
      <c r="T88" s="16"/>
      <c r="U88" s="41"/>
      <c r="V88" s="41"/>
      <c r="W88" s="41"/>
      <c r="X88" s="41"/>
      <c r="Y88" s="41"/>
      <c r="Z88" s="41"/>
    </row>
    <row r="89" spans="1:26" ht="15.75" customHeight="1" x14ac:dyDescent="0.2">
      <c r="A89" s="16"/>
      <c r="B89" s="43"/>
      <c r="C89" s="43"/>
      <c r="D89" s="16"/>
      <c r="E89" s="16"/>
      <c r="F89" s="16"/>
      <c r="G89" s="12"/>
      <c r="H89" s="12"/>
      <c r="I89" s="12"/>
      <c r="J89" s="12"/>
      <c r="K89" s="12"/>
      <c r="L89" s="12"/>
      <c r="M89" s="12"/>
      <c r="N89" s="16"/>
      <c r="O89" s="16"/>
      <c r="P89" s="12"/>
      <c r="Q89" s="12"/>
      <c r="R89" s="12"/>
      <c r="S89" s="12"/>
      <c r="T89" s="16"/>
      <c r="U89" s="41"/>
      <c r="V89" s="41"/>
      <c r="W89" s="41"/>
      <c r="X89" s="41"/>
      <c r="Y89" s="41"/>
      <c r="Z89" s="41"/>
    </row>
    <row r="90" spans="1:26" ht="15.75" customHeight="1" x14ac:dyDescent="0.2">
      <c r="A90" s="16"/>
      <c r="B90" s="43"/>
      <c r="C90" s="43"/>
      <c r="D90" s="16"/>
      <c r="E90" s="16"/>
      <c r="F90" s="16"/>
      <c r="G90" s="12"/>
      <c r="H90" s="12"/>
      <c r="I90" s="12"/>
      <c r="J90" s="12"/>
      <c r="K90" s="12"/>
      <c r="L90" s="12"/>
      <c r="M90" s="12"/>
      <c r="N90" s="16"/>
      <c r="O90" s="16"/>
      <c r="P90" s="12"/>
      <c r="Q90" s="12"/>
      <c r="R90" s="12"/>
      <c r="S90" s="12"/>
      <c r="T90" s="16"/>
      <c r="U90" s="41"/>
      <c r="V90" s="41"/>
      <c r="W90" s="41"/>
      <c r="X90" s="41"/>
      <c r="Y90" s="41"/>
      <c r="Z90" s="41"/>
    </row>
    <row r="91" spans="1:26" ht="15.75" customHeight="1" x14ac:dyDescent="0.2">
      <c r="A91" s="16"/>
      <c r="B91" s="43"/>
      <c r="C91" s="43"/>
      <c r="D91" s="16"/>
      <c r="E91" s="16"/>
      <c r="F91" s="16"/>
      <c r="G91" s="12"/>
      <c r="H91" s="12"/>
      <c r="I91" s="12"/>
      <c r="J91" s="12"/>
      <c r="K91" s="12"/>
      <c r="L91" s="12"/>
      <c r="M91" s="12"/>
      <c r="N91" s="16"/>
      <c r="O91" s="16"/>
      <c r="P91" s="12"/>
      <c r="Q91" s="12"/>
      <c r="R91" s="12"/>
      <c r="S91" s="12"/>
      <c r="T91" s="16"/>
      <c r="U91" s="41"/>
      <c r="V91" s="41"/>
      <c r="W91" s="41"/>
      <c r="X91" s="41"/>
      <c r="Y91" s="41"/>
      <c r="Z91" s="41"/>
    </row>
    <row r="92" spans="1:26" ht="15.75" customHeight="1" x14ac:dyDescent="0.2">
      <c r="A92" s="16"/>
      <c r="B92" s="43"/>
      <c r="C92" s="43"/>
      <c r="D92" s="16"/>
      <c r="E92" s="16"/>
      <c r="F92" s="16"/>
      <c r="G92" s="12"/>
      <c r="H92" s="12"/>
      <c r="I92" s="12"/>
      <c r="J92" s="12"/>
      <c r="K92" s="12"/>
      <c r="L92" s="12"/>
      <c r="M92" s="12"/>
      <c r="N92" s="16"/>
      <c r="O92" s="16"/>
      <c r="P92" s="12"/>
      <c r="Q92" s="12"/>
      <c r="R92" s="12"/>
      <c r="S92" s="12"/>
      <c r="T92" s="16"/>
      <c r="U92" s="41"/>
      <c r="V92" s="41"/>
      <c r="W92" s="41"/>
      <c r="X92" s="41"/>
      <c r="Y92" s="41"/>
      <c r="Z92" s="41"/>
    </row>
    <row r="93" spans="1:26" ht="15.75" customHeight="1" x14ac:dyDescent="0.2">
      <c r="A93" s="16"/>
      <c r="B93" s="43"/>
      <c r="C93" s="43"/>
      <c r="D93" s="16"/>
      <c r="E93" s="16"/>
      <c r="F93" s="16"/>
      <c r="G93" s="12"/>
      <c r="H93" s="12"/>
      <c r="I93" s="12"/>
      <c r="J93" s="12"/>
      <c r="K93" s="12"/>
      <c r="L93" s="12"/>
      <c r="M93" s="12"/>
      <c r="N93" s="16"/>
      <c r="O93" s="16"/>
      <c r="P93" s="12"/>
      <c r="Q93" s="12"/>
      <c r="R93" s="12"/>
      <c r="S93" s="12"/>
      <c r="T93" s="16"/>
      <c r="U93" s="41"/>
      <c r="V93" s="41"/>
      <c r="W93" s="41"/>
      <c r="X93" s="41"/>
      <c r="Y93" s="41"/>
      <c r="Z93" s="41"/>
    </row>
    <row r="94" spans="1:26" ht="15.75" customHeight="1" x14ac:dyDescent="0.2">
      <c r="A94" s="16"/>
      <c r="B94" s="43"/>
      <c r="C94" s="43"/>
      <c r="D94" s="16"/>
      <c r="E94" s="16"/>
      <c r="F94" s="16"/>
      <c r="G94" s="12"/>
      <c r="H94" s="12"/>
      <c r="I94" s="12"/>
      <c r="J94" s="12"/>
      <c r="K94" s="12"/>
      <c r="L94" s="12"/>
      <c r="M94" s="12"/>
      <c r="N94" s="16"/>
      <c r="O94" s="16"/>
      <c r="P94" s="12"/>
      <c r="Q94" s="12"/>
      <c r="R94" s="12"/>
      <c r="S94" s="12"/>
      <c r="T94" s="16"/>
      <c r="U94" s="41"/>
      <c r="V94" s="41"/>
      <c r="W94" s="41"/>
      <c r="X94" s="41"/>
      <c r="Y94" s="41"/>
      <c r="Z94" s="41"/>
    </row>
    <row r="95" spans="1:26" ht="15.75" customHeight="1" x14ac:dyDescent="0.2">
      <c r="A95" s="16"/>
      <c r="B95" s="43"/>
      <c r="C95" s="43"/>
      <c r="D95" s="16"/>
      <c r="E95" s="16"/>
      <c r="F95" s="16"/>
      <c r="G95" s="12"/>
      <c r="H95" s="12"/>
      <c r="I95" s="12"/>
      <c r="J95" s="12"/>
      <c r="K95" s="12"/>
      <c r="L95" s="12"/>
      <c r="M95" s="12"/>
      <c r="N95" s="16"/>
      <c r="O95" s="16"/>
      <c r="P95" s="12"/>
      <c r="Q95" s="12"/>
      <c r="R95" s="12"/>
      <c r="S95" s="12"/>
      <c r="T95" s="16"/>
      <c r="U95" s="41"/>
      <c r="V95" s="41"/>
      <c r="W95" s="41"/>
      <c r="X95" s="41"/>
      <c r="Y95" s="41"/>
      <c r="Z95" s="41"/>
    </row>
    <row r="96" spans="1:26" ht="15.75" customHeight="1" x14ac:dyDescent="0.2">
      <c r="A96" s="16"/>
      <c r="B96" s="43"/>
      <c r="C96" s="43"/>
      <c r="D96" s="16"/>
      <c r="E96" s="16"/>
      <c r="F96" s="16"/>
      <c r="G96" s="12"/>
      <c r="H96" s="12"/>
      <c r="I96" s="12"/>
      <c r="J96" s="12"/>
      <c r="K96" s="12"/>
      <c r="L96" s="12"/>
      <c r="M96" s="12"/>
      <c r="N96" s="16"/>
      <c r="O96" s="16"/>
      <c r="P96" s="12"/>
      <c r="Q96" s="12"/>
      <c r="R96" s="12"/>
      <c r="S96" s="12"/>
      <c r="T96" s="16"/>
      <c r="U96" s="41"/>
      <c r="V96" s="41"/>
      <c r="W96" s="41"/>
      <c r="X96" s="41"/>
      <c r="Y96" s="41"/>
      <c r="Z96" s="41"/>
    </row>
    <row r="97" spans="1:26" ht="15.75" customHeight="1" x14ac:dyDescent="0.2">
      <c r="A97" s="16"/>
      <c r="B97" s="43"/>
      <c r="C97" s="43"/>
      <c r="D97" s="16"/>
      <c r="E97" s="16"/>
      <c r="F97" s="16"/>
      <c r="G97" s="12"/>
      <c r="H97" s="12"/>
      <c r="I97" s="12"/>
      <c r="J97" s="12"/>
      <c r="K97" s="12"/>
      <c r="L97" s="12"/>
      <c r="M97" s="12"/>
      <c r="N97" s="16"/>
      <c r="O97" s="16"/>
      <c r="P97" s="12"/>
      <c r="Q97" s="12"/>
      <c r="R97" s="12"/>
      <c r="S97" s="12"/>
      <c r="T97" s="16"/>
      <c r="U97" s="41"/>
      <c r="V97" s="41"/>
      <c r="W97" s="41"/>
      <c r="X97" s="41"/>
      <c r="Y97" s="41"/>
      <c r="Z97" s="41"/>
    </row>
    <row r="98" spans="1:26" ht="15.75" customHeight="1" x14ac:dyDescent="0.2">
      <c r="A98" s="16"/>
      <c r="B98" s="43"/>
      <c r="C98" s="43"/>
      <c r="D98" s="16"/>
      <c r="E98" s="16"/>
      <c r="F98" s="16"/>
      <c r="G98" s="12"/>
      <c r="H98" s="12"/>
      <c r="I98" s="12"/>
      <c r="J98" s="12"/>
      <c r="K98" s="12"/>
      <c r="L98" s="12"/>
      <c r="M98" s="12"/>
      <c r="N98" s="16"/>
      <c r="O98" s="16"/>
      <c r="P98" s="12"/>
      <c r="Q98" s="12"/>
      <c r="R98" s="12"/>
      <c r="S98" s="12"/>
      <c r="T98" s="16"/>
      <c r="U98" s="41"/>
      <c r="V98" s="41"/>
      <c r="W98" s="41"/>
      <c r="X98" s="41"/>
      <c r="Y98" s="41"/>
      <c r="Z98" s="41"/>
    </row>
    <row r="99" spans="1:26" ht="15.75" customHeight="1" x14ac:dyDescent="0.2">
      <c r="A99" s="16"/>
      <c r="B99" s="43"/>
      <c r="C99" s="43"/>
      <c r="D99" s="16"/>
      <c r="E99" s="16"/>
      <c r="F99" s="16"/>
      <c r="G99" s="12"/>
      <c r="H99" s="12"/>
      <c r="I99" s="12"/>
      <c r="J99" s="12"/>
      <c r="K99" s="12"/>
      <c r="L99" s="12"/>
      <c r="M99" s="12"/>
      <c r="N99" s="16"/>
      <c r="O99" s="16"/>
      <c r="P99" s="12"/>
      <c r="Q99" s="12"/>
      <c r="R99" s="12"/>
      <c r="S99" s="12"/>
      <c r="T99" s="16"/>
      <c r="U99" s="41"/>
      <c r="V99" s="41"/>
      <c r="W99" s="41"/>
      <c r="X99" s="41"/>
      <c r="Y99" s="41"/>
      <c r="Z99" s="41"/>
    </row>
    <row r="100" spans="1:26" ht="15.75" customHeight="1" x14ac:dyDescent="0.2">
      <c r="A100" s="16"/>
      <c r="B100" s="43"/>
      <c r="C100" s="43"/>
      <c r="D100" s="16"/>
      <c r="E100" s="16"/>
      <c r="F100" s="16"/>
      <c r="G100" s="12"/>
      <c r="H100" s="12"/>
      <c r="I100" s="12"/>
      <c r="J100" s="12"/>
      <c r="K100" s="12"/>
      <c r="L100" s="12"/>
      <c r="M100" s="12"/>
      <c r="N100" s="16"/>
      <c r="O100" s="16"/>
      <c r="P100" s="12"/>
      <c r="Q100" s="12"/>
      <c r="R100" s="12"/>
      <c r="S100" s="12"/>
      <c r="T100" s="16"/>
      <c r="U100" s="41"/>
      <c r="V100" s="41"/>
      <c r="W100" s="41"/>
      <c r="X100" s="41"/>
      <c r="Y100" s="41"/>
      <c r="Z100" s="41"/>
    </row>
    <row r="101" spans="1:26" ht="15.75" customHeight="1" x14ac:dyDescent="0.2">
      <c r="A101" s="16"/>
      <c r="B101" s="43"/>
      <c r="C101" s="43"/>
      <c r="D101" s="16"/>
      <c r="E101" s="16"/>
      <c r="F101" s="16"/>
      <c r="G101" s="12"/>
      <c r="H101" s="12"/>
      <c r="I101" s="12"/>
      <c r="J101" s="12"/>
      <c r="K101" s="12"/>
      <c r="L101" s="12"/>
      <c r="M101" s="12"/>
      <c r="N101" s="16"/>
      <c r="O101" s="16"/>
      <c r="P101" s="12"/>
      <c r="Q101" s="12"/>
      <c r="R101" s="12"/>
      <c r="S101" s="12"/>
      <c r="T101" s="16"/>
      <c r="U101" s="41"/>
      <c r="V101" s="41"/>
      <c r="W101" s="41"/>
      <c r="X101" s="41"/>
      <c r="Y101" s="41"/>
      <c r="Z101" s="41"/>
    </row>
    <row r="102" spans="1:26" ht="15.75" customHeight="1" x14ac:dyDescent="0.2">
      <c r="A102" s="16"/>
      <c r="B102" s="43"/>
      <c r="C102" s="43"/>
      <c r="D102" s="16"/>
      <c r="E102" s="16"/>
      <c r="F102" s="16"/>
      <c r="G102" s="12"/>
      <c r="H102" s="12"/>
      <c r="I102" s="12"/>
      <c r="J102" s="12"/>
      <c r="K102" s="12"/>
      <c r="L102" s="12"/>
      <c r="M102" s="12"/>
      <c r="N102" s="16"/>
      <c r="O102" s="16"/>
      <c r="P102" s="12"/>
      <c r="Q102" s="12"/>
      <c r="R102" s="12"/>
      <c r="S102" s="12"/>
      <c r="T102" s="16"/>
      <c r="U102" s="41"/>
      <c r="V102" s="41"/>
      <c r="W102" s="41"/>
      <c r="X102" s="41"/>
      <c r="Y102" s="41"/>
      <c r="Z102" s="41"/>
    </row>
    <row r="103" spans="1:26" ht="15.75" customHeight="1" x14ac:dyDescent="0.2">
      <c r="A103" s="16"/>
      <c r="B103" s="43"/>
      <c r="C103" s="43"/>
      <c r="D103" s="16"/>
      <c r="E103" s="16"/>
      <c r="F103" s="16"/>
      <c r="G103" s="12"/>
      <c r="H103" s="12"/>
      <c r="I103" s="12"/>
      <c r="J103" s="12"/>
      <c r="K103" s="12"/>
      <c r="L103" s="12"/>
      <c r="M103" s="12"/>
      <c r="N103" s="16"/>
      <c r="O103" s="16"/>
      <c r="P103" s="12"/>
      <c r="Q103" s="12"/>
      <c r="R103" s="12"/>
      <c r="S103" s="12"/>
      <c r="T103" s="16"/>
      <c r="U103" s="41"/>
      <c r="V103" s="41"/>
      <c r="W103" s="41"/>
      <c r="X103" s="41"/>
      <c r="Y103" s="41"/>
      <c r="Z103" s="41"/>
    </row>
    <row r="104" spans="1:26" ht="15.75" customHeight="1" x14ac:dyDescent="0.2">
      <c r="A104" s="16"/>
      <c r="B104" s="43"/>
      <c r="C104" s="43"/>
      <c r="D104" s="16"/>
      <c r="E104" s="16"/>
      <c r="F104" s="16"/>
      <c r="G104" s="12"/>
      <c r="H104" s="12"/>
      <c r="I104" s="12"/>
      <c r="J104" s="12"/>
      <c r="K104" s="12"/>
      <c r="L104" s="12"/>
      <c r="M104" s="12"/>
      <c r="N104" s="16"/>
      <c r="O104" s="16"/>
      <c r="P104" s="12"/>
      <c r="Q104" s="12"/>
      <c r="R104" s="12"/>
      <c r="S104" s="12"/>
      <c r="T104" s="16"/>
      <c r="U104" s="41"/>
      <c r="V104" s="41"/>
      <c r="W104" s="41"/>
      <c r="X104" s="41"/>
      <c r="Y104" s="41"/>
      <c r="Z104" s="41"/>
    </row>
    <row r="105" spans="1:26" ht="15.75" customHeight="1" x14ac:dyDescent="0.2">
      <c r="A105" s="16"/>
      <c r="B105" s="43"/>
      <c r="C105" s="43"/>
      <c r="D105" s="16"/>
      <c r="E105" s="16"/>
      <c r="F105" s="16"/>
      <c r="G105" s="12"/>
      <c r="H105" s="12"/>
      <c r="I105" s="12"/>
      <c r="J105" s="12"/>
      <c r="K105" s="12"/>
      <c r="L105" s="12"/>
      <c r="M105" s="12"/>
      <c r="N105" s="16"/>
      <c r="O105" s="16"/>
      <c r="P105" s="12"/>
      <c r="Q105" s="12"/>
      <c r="R105" s="12"/>
      <c r="S105" s="12"/>
      <c r="T105" s="16"/>
      <c r="U105" s="41"/>
      <c r="V105" s="41"/>
      <c r="W105" s="41"/>
      <c r="X105" s="41"/>
      <c r="Y105" s="41"/>
      <c r="Z105" s="41"/>
    </row>
    <row r="106" spans="1:26" ht="15.75" customHeight="1" x14ac:dyDescent="0.2">
      <c r="A106" s="16"/>
      <c r="B106" s="43"/>
      <c r="C106" s="43"/>
      <c r="D106" s="16"/>
      <c r="E106" s="16"/>
      <c r="F106" s="16"/>
      <c r="G106" s="12"/>
      <c r="H106" s="12"/>
      <c r="I106" s="12"/>
      <c r="J106" s="12"/>
      <c r="K106" s="12"/>
      <c r="L106" s="12"/>
      <c r="M106" s="12"/>
      <c r="N106" s="16"/>
      <c r="O106" s="16"/>
      <c r="P106" s="12"/>
      <c r="Q106" s="12"/>
      <c r="R106" s="12"/>
      <c r="S106" s="12"/>
      <c r="T106" s="16"/>
      <c r="U106" s="41"/>
      <c r="V106" s="41"/>
      <c r="W106" s="41"/>
      <c r="X106" s="41"/>
      <c r="Y106" s="41"/>
      <c r="Z106" s="41"/>
    </row>
    <row r="107" spans="1:26" ht="15.75" customHeight="1" x14ac:dyDescent="0.2">
      <c r="A107" s="16"/>
      <c r="B107" s="43"/>
      <c r="C107" s="43"/>
      <c r="D107" s="16"/>
      <c r="E107" s="16"/>
      <c r="F107" s="16"/>
      <c r="G107" s="12"/>
      <c r="H107" s="12"/>
      <c r="I107" s="12"/>
      <c r="J107" s="12"/>
      <c r="K107" s="12"/>
      <c r="L107" s="12"/>
      <c r="M107" s="12"/>
      <c r="N107" s="16"/>
      <c r="O107" s="16"/>
      <c r="P107" s="12"/>
      <c r="Q107" s="12"/>
      <c r="R107" s="12"/>
      <c r="S107" s="12"/>
      <c r="T107" s="16"/>
      <c r="U107" s="41"/>
      <c r="V107" s="41"/>
      <c r="W107" s="41"/>
      <c r="X107" s="41"/>
      <c r="Y107" s="41"/>
      <c r="Z107" s="41"/>
    </row>
    <row r="108" spans="1:26" ht="15.75" customHeight="1" x14ac:dyDescent="0.2">
      <c r="A108" s="16"/>
      <c r="B108" s="43"/>
      <c r="C108" s="43"/>
      <c r="D108" s="16"/>
      <c r="E108" s="16"/>
      <c r="F108" s="16"/>
      <c r="G108" s="12"/>
      <c r="H108" s="12"/>
      <c r="I108" s="12"/>
      <c r="J108" s="12"/>
      <c r="K108" s="12"/>
      <c r="L108" s="12"/>
      <c r="M108" s="12"/>
      <c r="N108" s="16"/>
      <c r="O108" s="16"/>
      <c r="P108" s="12"/>
      <c r="Q108" s="12"/>
      <c r="R108" s="12"/>
      <c r="S108" s="12"/>
      <c r="T108" s="16"/>
      <c r="U108" s="41"/>
      <c r="V108" s="41"/>
      <c r="W108" s="41"/>
      <c r="X108" s="41"/>
      <c r="Y108" s="41"/>
      <c r="Z108" s="41"/>
    </row>
    <row r="109" spans="1:26" ht="15.75" customHeight="1" x14ac:dyDescent="0.2">
      <c r="A109" s="16"/>
      <c r="B109" s="43"/>
      <c r="C109" s="43"/>
      <c r="D109" s="16"/>
      <c r="E109" s="16"/>
      <c r="F109" s="16"/>
      <c r="G109" s="12"/>
      <c r="H109" s="12"/>
      <c r="I109" s="12"/>
      <c r="J109" s="12"/>
      <c r="K109" s="12"/>
      <c r="L109" s="12"/>
      <c r="M109" s="12"/>
      <c r="N109" s="16"/>
      <c r="O109" s="16"/>
      <c r="P109" s="12"/>
      <c r="Q109" s="12"/>
      <c r="R109" s="12"/>
      <c r="S109" s="12"/>
      <c r="T109" s="16"/>
      <c r="U109" s="41"/>
      <c r="V109" s="41"/>
      <c r="W109" s="41"/>
      <c r="X109" s="41"/>
      <c r="Y109" s="41"/>
      <c r="Z109" s="41"/>
    </row>
    <row r="110" spans="1:26" ht="15.75" customHeight="1" x14ac:dyDescent="0.2">
      <c r="A110" s="16"/>
      <c r="B110" s="43"/>
      <c r="C110" s="43"/>
      <c r="D110" s="16"/>
      <c r="E110" s="16"/>
      <c r="F110" s="16"/>
      <c r="G110" s="12"/>
      <c r="H110" s="12"/>
      <c r="I110" s="12"/>
      <c r="J110" s="12"/>
      <c r="K110" s="12"/>
      <c r="L110" s="12"/>
      <c r="M110" s="12"/>
      <c r="N110" s="16"/>
      <c r="O110" s="16"/>
      <c r="P110" s="12"/>
      <c r="Q110" s="12"/>
      <c r="R110" s="12"/>
      <c r="S110" s="12"/>
      <c r="T110" s="16"/>
      <c r="U110" s="41"/>
      <c r="V110" s="41"/>
      <c r="W110" s="41"/>
      <c r="X110" s="41"/>
      <c r="Y110" s="41"/>
      <c r="Z110" s="41"/>
    </row>
    <row r="111" spans="1:26" ht="15.75" customHeight="1" x14ac:dyDescent="0.2">
      <c r="A111" s="16"/>
      <c r="B111" s="43"/>
      <c r="C111" s="43"/>
      <c r="D111" s="16"/>
      <c r="E111" s="16"/>
      <c r="F111" s="16"/>
      <c r="G111" s="12"/>
      <c r="H111" s="12"/>
      <c r="I111" s="12"/>
      <c r="J111" s="12"/>
      <c r="K111" s="12"/>
      <c r="L111" s="12"/>
      <c r="M111" s="12"/>
      <c r="N111" s="16"/>
      <c r="O111" s="16"/>
      <c r="P111" s="12"/>
      <c r="Q111" s="12"/>
      <c r="R111" s="12"/>
      <c r="S111" s="12"/>
      <c r="T111" s="16"/>
      <c r="U111" s="41"/>
      <c r="V111" s="41"/>
      <c r="W111" s="41"/>
      <c r="X111" s="41"/>
      <c r="Y111" s="41"/>
      <c r="Z111" s="41"/>
    </row>
    <row r="112" spans="1:26" ht="15.75" customHeight="1" x14ac:dyDescent="0.2">
      <c r="A112" s="16"/>
      <c r="B112" s="43"/>
      <c r="C112" s="43"/>
      <c r="D112" s="16"/>
      <c r="E112" s="16"/>
      <c r="F112" s="16"/>
      <c r="G112" s="12"/>
      <c r="H112" s="12"/>
      <c r="I112" s="12"/>
      <c r="J112" s="12"/>
      <c r="K112" s="12"/>
      <c r="L112" s="12"/>
      <c r="M112" s="12"/>
      <c r="N112" s="16"/>
      <c r="O112" s="16"/>
      <c r="P112" s="12"/>
      <c r="Q112" s="12"/>
      <c r="R112" s="12"/>
      <c r="S112" s="12"/>
      <c r="T112" s="16"/>
      <c r="U112" s="41"/>
      <c r="V112" s="41"/>
      <c r="W112" s="41"/>
      <c r="X112" s="41"/>
      <c r="Y112" s="41"/>
      <c r="Z112" s="41"/>
    </row>
    <row r="113" spans="1:26" ht="15.75" customHeight="1" x14ac:dyDescent="0.2">
      <c r="A113" s="16"/>
      <c r="B113" s="43"/>
      <c r="C113" s="43"/>
      <c r="D113" s="16"/>
      <c r="E113" s="16"/>
      <c r="F113" s="16"/>
      <c r="G113" s="12"/>
      <c r="H113" s="12"/>
      <c r="I113" s="12"/>
      <c r="J113" s="12"/>
      <c r="K113" s="12"/>
      <c r="L113" s="12"/>
      <c r="M113" s="12"/>
      <c r="N113" s="16"/>
      <c r="O113" s="16"/>
      <c r="P113" s="12"/>
      <c r="Q113" s="12"/>
      <c r="R113" s="12"/>
      <c r="S113" s="12"/>
      <c r="T113" s="16"/>
      <c r="U113" s="41"/>
      <c r="V113" s="41"/>
      <c r="W113" s="41"/>
      <c r="X113" s="41"/>
      <c r="Y113" s="41"/>
      <c r="Z113" s="41"/>
    </row>
    <row r="114" spans="1:26" ht="15.75" customHeight="1" x14ac:dyDescent="0.2">
      <c r="A114" s="16"/>
      <c r="B114" s="43"/>
      <c r="C114" s="43"/>
      <c r="D114" s="16"/>
      <c r="E114" s="16"/>
      <c r="F114" s="16"/>
      <c r="G114" s="12"/>
      <c r="H114" s="12"/>
      <c r="I114" s="12"/>
      <c r="J114" s="12"/>
      <c r="K114" s="12"/>
      <c r="L114" s="12"/>
      <c r="M114" s="12"/>
      <c r="N114" s="16"/>
      <c r="O114" s="16"/>
      <c r="P114" s="12"/>
      <c r="Q114" s="12"/>
      <c r="R114" s="12"/>
      <c r="S114" s="12"/>
      <c r="T114" s="16"/>
      <c r="U114" s="41"/>
      <c r="V114" s="41"/>
      <c r="W114" s="41"/>
      <c r="X114" s="41"/>
      <c r="Y114" s="41"/>
      <c r="Z114" s="41"/>
    </row>
    <row r="115" spans="1:26" ht="15.75" customHeight="1" x14ac:dyDescent="0.2">
      <c r="A115" s="16"/>
      <c r="B115" s="43"/>
      <c r="C115" s="43"/>
      <c r="D115" s="16"/>
      <c r="E115" s="16"/>
      <c r="F115" s="16"/>
      <c r="G115" s="12"/>
      <c r="H115" s="12"/>
      <c r="I115" s="12"/>
      <c r="J115" s="12"/>
      <c r="K115" s="12"/>
      <c r="L115" s="12"/>
      <c r="M115" s="12"/>
      <c r="N115" s="16"/>
      <c r="O115" s="16"/>
      <c r="P115" s="12"/>
      <c r="Q115" s="12"/>
      <c r="R115" s="12"/>
      <c r="S115" s="12"/>
      <c r="T115" s="16"/>
      <c r="U115" s="41"/>
      <c r="V115" s="41"/>
      <c r="W115" s="41"/>
      <c r="X115" s="41"/>
      <c r="Y115" s="41"/>
      <c r="Z115" s="41"/>
    </row>
    <row r="116" spans="1:26" ht="15.75" customHeight="1" x14ac:dyDescent="0.2">
      <c r="A116" s="16"/>
      <c r="B116" s="43"/>
      <c r="C116" s="43"/>
      <c r="D116" s="16"/>
      <c r="E116" s="16"/>
      <c r="F116" s="16"/>
      <c r="G116" s="12"/>
      <c r="H116" s="12"/>
      <c r="I116" s="12"/>
      <c r="J116" s="12"/>
      <c r="K116" s="12"/>
      <c r="L116" s="12"/>
      <c r="M116" s="12"/>
      <c r="N116" s="16"/>
      <c r="O116" s="16"/>
      <c r="P116" s="12"/>
      <c r="Q116" s="12"/>
      <c r="R116" s="12"/>
      <c r="S116" s="12"/>
      <c r="T116" s="16"/>
      <c r="U116" s="41"/>
      <c r="V116" s="41"/>
      <c r="W116" s="41"/>
      <c r="X116" s="41"/>
      <c r="Y116" s="41"/>
      <c r="Z116" s="41"/>
    </row>
    <row r="117" spans="1:26" ht="15.75" customHeight="1" x14ac:dyDescent="0.2">
      <c r="A117" s="16"/>
      <c r="B117" s="43"/>
      <c r="C117" s="43"/>
      <c r="D117" s="16"/>
      <c r="E117" s="16"/>
      <c r="F117" s="16"/>
      <c r="G117" s="12"/>
      <c r="H117" s="12"/>
      <c r="I117" s="12"/>
      <c r="J117" s="12"/>
      <c r="K117" s="12"/>
      <c r="L117" s="12"/>
      <c r="M117" s="12"/>
      <c r="N117" s="16"/>
      <c r="O117" s="16"/>
      <c r="P117" s="12"/>
      <c r="Q117" s="12"/>
      <c r="R117" s="12"/>
      <c r="S117" s="12"/>
      <c r="T117" s="16"/>
      <c r="U117" s="41"/>
      <c r="V117" s="41"/>
      <c r="W117" s="41"/>
      <c r="X117" s="41"/>
      <c r="Y117" s="41"/>
      <c r="Z117" s="41"/>
    </row>
    <row r="118" spans="1:26" ht="15.75" customHeight="1" x14ac:dyDescent="0.2">
      <c r="A118" s="16"/>
      <c r="B118" s="43"/>
      <c r="C118" s="43"/>
      <c r="D118" s="16"/>
      <c r="E118" s="16"/>
      <c r="F118" s="16"/>
      <c r="G118" s="12"/>
      <c r="H118" s="12"/>
      <c r="I118" s="12"/>
      <c r="J118" s="12"/>
      <c r="K118" s="12"/>
      <c r="L118" s="12"/>
      <c r="M118" s="12"/>
      <c r="N118" s="16"/>
      <c r="O118" s="16"/>
      <c r="P118" s="12"/>
      <c r="Q118" s="12"/>
      <c r="R118" s="12"/>
      <c r="S118" s="12"/>
      <c r="T118" s="16"/>
      <c r="U118" s="41"/>
      <c r="V118" s="41"/>
      <c r="W118" s="41"/>
      <c r="X118" s="41"/>
      <c r="Y118" s="41"/>
      <c r="Z118" s="41"/>
    </row>
    <row r="119" spans="1:26" ht="15.75" customHeight="1" x14ac:dyDescent="0.2">
      <c r="A119" s="16"/>
      <c r="B119" s="43"/>
      <c r="C119" s="43"/>
      <c r="D119" s="16"/>
      <c r="E119" s="16"/>
      <c r="F119" s="16"/>
      <c r="G119" s="12"/>
      <c r="H119" s="12"/>
      <c r="I119" s="12"/>
      <c r="J119" s="12"/>
      <c r="K119" s="12"/>
      <c r="L119" s="12"/>
      <c r="M119" s="12"/>
      <c r="N119" s="16"/>
      <c r="O119" s="16"/>
      <c r="P119" s="12"/>
      <c r="Q119" s="12"/>
      <c r="R119" s="12"/>
      <c r="S119" s="12"/>
      <c r="T119" s="16"/>
      <c r="U119" s="41"/>
      <c r="V119" s="41"/>
      <c r="W119" s="41"/>
      <c r="X119" s="41"/>
      <c r="Y119" s="41"/>
      <c r="Z119" s="41"/>
    </row>
    <row r="120" spans="1:26" ht="15.75" customHeight="1" x14ac:dyDescent="0.2">
      <c r="A120" s="16"/>
      <c r="B120" s="43"/>
      <c r="C120" s="43"/>
      <c r="D120" s="16"/>
      <c r="E120" s="16"/>
      <c r="F120" s="16"/>
      <c r="G120" s="12"/>
      <c r="H120" s="12"/>
      <c r="I120" s="12"/>
      <c r="J120" s="12"/>
      <c r="K120" s="12"/>
      <c r="L120" s="12"/>
      <c r="M120" s="12"/>
      <c r="N120" s="16"/>
      <c r="O120" s="16"/>
      <c r="P120" s="12"/>
      <c r="Q120" s="12"/>
      <c r="R120" s="12"/>
      <c r="S120" s="12"/>
      <c r="T120" s="16"/>
      <c r="U120" s="41"/>
      <c r="V120" s="41"/>
      <c r="W120" s="41"/>
      <c r="X120" s="41"/>
      <c r="Y120" s="41"/>
      <c r="Z120" s="41"/>
    </row>
    <row r="121" spans="1:26" ht="15.75" customHeight="1" x14ac:dyDescent="0.2">
      <c r="A121" s="16"/>
      <c r="B121" s="43"/>
      <c r="C121" s="43"/>
      <c r="D121" s="16"/>
      <c r="E121" s="16"/>
      <c r="F121" s="16"/>
      <c r="G121" s="12"/>
      <c r="H121" s="12"/>
      <c r="I121" s="12"/>
      <c r="J121" s="12"/>
      <c r="K121" s="12"/>
      <c r="L121" s="12"/>
      <c r="M121" s="12"/>
      <c r="N121" s="16"/>
      <c r="O121" s="16"/>
      <c r="P121" s="12"/>
      <c r="Q121" s="12"/>
      <c r="R121" s="12"/>
      <c r="S121" s="12"/>
      <c r="T121" s="16"/>
      <c r="U121" s="41"/>
      <c r="V121" s="41"/>
      <c r="W121" s="41"/>
      <c r="X121" s="41"/>
      <c r="Y121" s="41"/>
      <c r="Z121" s="41"/>
    </row>
    <row r="122" spans="1:26" ht="15.75" customHeight="1" x14ac:dyDescent="0.2">
      <c r="A122" s="16"/>
      <c r="B122" s="43"/>
      <c r="C122" s="43"/>
      <c r="D122" s="16"/>
      <c r="E122" s="16"/>
      <c r="F122" s="16"/>
      <c r="G122" s="12"/>
      <c r="H122" s="12"/>
      <c r="I122" s="12"/>
      <c r="J122" s="12"/>
      <c r="K122" s="12"/>
      <c r="L122" s="12"/>
      <c r="M122" s="12"/>
      <c r="N122" s="16"/>
      <c r="O122" s="16"/>
      <c r="P122" s="12"/>
      <c r="Q122" s="12"/>
      <c r="R122" s="12"/>
      <c r="S122" s="12"/>
      <c r="T122" s="16"/>
      <c r="U122" s="41"/>
      <c r="V122" s="41"/>
      <c r="W122" s="41"/>
      <c r="X122" s="41"/>
      <c r="Y122" s="41"/>
      <c r="Z122" s="41"/>
    </row>
    <row r="123" spans="1:26" ht="15.75" customHeight="1" x14ac:dyDescent="0.2">
      <c r="A123" s="16"/>
      <c r="B123" s="43"/>
      <c r="C123" s="43"/>
      <c r="D123" s="16"/>
      <c r="E123" s="16"/>
      <c r="F123" s="16"/>
      <c r="G123" s="12"/>
      <c r="H123" s="12"/>
      <c r="I123" s="12"/>
      <c r="J123" s="12"/>
      <c r="K123" s="12"/>
      <c r="L123" s="12"/>
      <c r="M123" s="12"/>
      <c r="N123" s="16"/>
      <c r="O123" s="16"/>
      <c r="P123" s="12"/>
      <c r="Q123" s="12"/>
      <c r="R123" s="12"/>
      <c r="S123" s="12"/>
      <c r="T123" s="16"/>
      <c r="U123" s="41"/>
      <c r="V123" s="41"/>
      <c r="W123" s="41"/>
      <c r="X123" s="41"/>
      <c r="Y123" s="41"/>
      <c r="Z123" s="41"/>
    </row>
    <row r="124" spans="1:26" ht="15.75" customHeight="1" x14ac:dyDescent="0.2">
      <c r="A124" s="16"/>
      <c r="B124" s="43"/>
      <c r="C124" s="43"/>
      <c r="D124" s="16"/>
      <c r="E124" s="16"/>
      <c r="F124" s="16"/>
      <c r="G124" s="12"/>
      <c r="H124" s="12"/>
      <c r="I124" s="12"/>
      <c r="J124" s="12"/>
      <c r="K124" s="12"/>
      <c r="L124" s="12"/>
      <c r="M124" s="12"/>
      <c r="N124" s="16"/>
      <c r="O124" s="16"/>
      <c r="P124" s="12"/>
      <c r="Q124" s="12"/>
      <c r="R124" s="12"/>
      <c r="S124" s="12"/>
      <c r="T124" s="16"/>
      <c r="U124" s="41"/>
      <c r="V124" s="41"/>
      <c r="W124" s="41"/>
      <c r="X124" s="41"/>
      <c r="Y124" s="41"/>
      <c r="Z124" s="41"/>
    </row>
    <row r="125" spans="1:26" ht="15.75" customHeight="1" x14ac:dyDescent="0.2">
      <c r="A125" s="16"/>
      <c r="B125" s="43"/>
      <c r="C125" s="43"/>
      <c r="D125" s="16"/>
      <c r="E125" s="16"/>
      <c r="F125" s="16"/>
      <c r="G125" s="12"/>
      <c r="H125" s="12"/>
      <c r="I125" s="12"/>
      <c r="J125" s="12"/>
      <c r="K125" s="12"/>
      <c r="L125" s="12"/>
      <c r="M125" s="12"/>
      <c r="N125" s="16"/>
      <c r="O125" s="16"/>
      <c r="P125" s="12"/>
      <c r="Q125" s="12"/>
      <c r="R125" s="12"/>
      <c r="S125" s="12"/>
      <c r="T125" s="16"/>
      <c r="U125" s="41"/>
      <c r="V125" s="41"/>
      <c r="W125" s="41"/>
      <c r="X125" s="41"/>
      <c r="Y125" s="41"/>
      <c r="Z125" s="41"/>
    </row>
    <row r="126" spans="1:26" ht="15.75" customHeight="1" x14ac:dyDescent="0.2">
      <c r="A126" s="16"/>
      <c r="B126" s="43"/>
      <c r="C126" s="43"/>
      <c r="D126" s="16"/>
      <c r="E126" s="16"/>
      <c r="F126" s="16"/>
      <c r="G126" s="12"/>
      <c r="H126" s="12"/>
      <c r="I126" s="12"/>
      <c r="J126" s="12"/>
      <c r="K126" s="12"/>
      <c r="L126" s="12"/>
      <c r="M126" s="12"/>
      <c r="N126" s="16"/>
      <c r="O126" s="16"/>
      <c r="P126" s="12"/>
      <c r="Q126" s="12"/>
      <c r="R126" s="12"/>
      <c r="S126" s="12"/>
      <c r="T126" s="16"/>
      <c r="U126" s="41"/>
      <c r="V126" s="41"/>
      <c r="W126" s="41"/>
      <c r="X126" s="41"/>
      <c r="Y126" s="41"/>
      <c r="Z126" s="41"/>
    </row>
    <row r="127" spans="1:26" ht="15.75" customHeight="1" x14ac:dyDescent="0.2">
      <c r="A127" s="16"/>
      <c r="B127" s="43"/>
      <c r="C127" s="43"/>
      <c r="D127" s="16"/>
      <c r="E127" s="16"/>
      <c r="F127" s="16"/>
      <c r="G127" s="12"/>
      <c r="H127" s="12"/>
      <c r="I127" s="12"/>
      <c r="J127" s="12"/>
      <c r="K127" s="12"/>
      <c r="L127" s="12"/>
      <c r="M127" s="12"/>
      <c r="N127" s="16"/>
      <c r="O127" s="16"/>
      <c r="P127" s="12"/>
      <c r="Q127" s="12"/>
      <c r="R127" s="12"/>
      <c r="S127" s="12"/>
      <c r="T127" s="16"/>
      <c r="U127" s="41"/>
      <c r="V127" s="41"/>
      <c r="W127" s="41"/>
      <c r="X127" s="41"/>
      <c r="Y127" s="41"/>
      <c r="Z127" s="41"/>
    </row>
    <row r="128" spans="1:26" ht="15.75" customHeight="1" x14ac:dyDescent="0.2">
      <c r="A128" s="16"/>
      <c r="B128" s="43"/>
      <c r="C128" s="43"/>
      <c r="D128" s="16"/>
      <c r="E128" s="16"/>
      <c r="F128" s="16"/>
      <c r="G128" s="12"/>
      <c r="H128" s="12"/>
      <c r="I128" s="12"/>
      <c r="J128" s="12"/>
      <c r="K128" s="12"/>
      <c r="L128" s="12"/>
      <c r="M128" s="12"/>
      <c r="N128" s="16"/>
      <c r="O128" s="16"/>
      <c r="P128" s="12"/>
      <c r="Q128" s="12"/>
      <c r="R128" s="12"/>
      <c r="S128" s="12"/>
      <c r="T128" s="16"/>
      <c r="U128" s="41"/>
      <c r="V128" s="41"/>
      <c r="W128" s="41"/>
      <c r="X128" s="41"/>
      <c r="Y128" s="41"/>
      <c r="Z128" s="41"/>
    </row>
    <row r="129" spans="1:26" ht="15.75" customHeight="1" x14ac:dyDescent="0.2">
      <c r="A129" s="16"/>
      <c r="B129" s="43"/>
      <c r="C129" s="43"/>
      <c r="D129" s="16"/>
      <c r="E129" s="16"/>
      <c r="F129" s="16"/>
      <c r="G129" s="12"/>
      <c r="H129" s="12"/>
      <c r="I129" s="12"/>
      <c r="J129" s="12"/>
      <c r="K129" s="12"/>
      <c r="L129" s="12"/>
      <c r="M129" s="12"/>
      <c r="N129" s="16"/>
      <c r="O129" s="16"/>
      <c r="P129" s="12"/>
      <c r="Q129" s="12"/>
      <c r="R129" s="12"/>
      <c r="S129" s="12"/>
      <c r="T129" s="16"/>
      <c r="U129" s="41"/>
      <c r="V129" s="41"/>
      <c r="W129" s="41"/>
      <c r="X129" s="41"/>
      <c r="Y129" s="41"/>
      <c r="Z129" s="41"/>
    </row>
    <row r="130" spans="1:26" ht="15.75" customHeight="1" x14ac:dyDescent="0.2">
      <c r="A130" s="16"/>
      <c r="B130" s="43"/>
      <c r="C130" s="43"/>
      <c r="D130" s="16"/>
      <c r="E130" s="16"/>
      <c r="F130" s="16"/>
      <c r="G130" s="12"/>
      <c r="H130" s="12"/>
      <c r="I130" s="12"/>
      <c r="J130" s="12"/>
      <c r="K130" s="12"/>
      <c r="L130" s="12"/>
      <c r="M130" s="12"/>
      <c r="N130" s="16"/>
      <c r="O130" s="16"/>
      <c r="P130" s="12"/>
      <c r="Q130" s="12"/>
      <c r="R130" s="12"/>
      <c r="S130" s="12"/>
      <c r="T130" s="16"/>
      <c r="U130" s="41"/>
      <c r="V130" s="41"/>
      <c r="W130" s="41"/>
      <c r="X130" s="41"/>
      <c r="Y130" s="41"/>
      <c r="Z130" s="41"/>
    </row>
    <row r="131" spans="1:26" ht="15.75" customHeight="1" x14ac:dyDescent="0.2">
      <c r="A131" s="16"/>
      <c r="B131" s="43"/>
      <c r="C131" s="43"/>
      <c r="D131" s="16"/>
      <c r="E131" s="16"/>
      <c r="F131" s="16"/>
      <c r="G131" s="12"/>
      <c r="H131" s="12"/>
      <c r="I131" s="12"/>
      <c r="J131" s="12"/>
      <c r="K131" s="12"/>
      <c r="L131" s="12"/>
      <c r="M131" s="12"/>
      <c r="N131" s="16"/>
      <c r="O131" s="16"/>
      <c r="P131" s="12"/>
      <c r="Q131" s="12"/>
      <c r="R131" s="12"/>
      <c r="S131" s="12"/>
      <c r="T131" s="16"/>
      <c r="U131" s="41"/>
      <c r="V131" s="41"/>
      <c r="W131" s="41"/>
      <c r="X131" s="41"/>
      <c r="Y131" s="41"/>
      <c r="Z131" s="41"/>
    </row>
    <row r="132" spans="1:26" ht="15.75" customHeight="1" x14ac:dyDescent="0.2">
      <c r="A132" s="16"/>
      <c r="B132" s="43"/>
      <c r="C132" s="43"/>
      <c r="D132" s="16"/>
      <c r="E132" s="16"/>
      <c r="F132" s="16"/>
      <c r="G132" s="12"/>
      <c r="H132" s="12"/>
      <c r="I132" s="12"/>
      <c r="J132" s="12"/>
      <c r="K132" s="12"/>
      <c r="L132" s="12"/>
      <c r="M132" s="12"/>
      <c r="N132" s="16"/>
      <c r="O132" s="16"/>
      <c r="P132" s="12"/>
      <c r="Q132" s="12"/>
      <c r="R132" s="12"/>
      <c r="S132" s="12"/>
      <c r="T132" s="16"/>
      <c r="U132" s="41"/>
      <c r="V132" s="41"/>
      <c r="W132" s="41"/>
      <c r="X132" s="41"/>
      <c r="Y132" s="41"/>
      <c r="Z132" s="41"/>
    </row>
    <row r="133" spans="1:26" ht="15.75" customHeight="1" x14ac:dyDescent="0.2">
      <c r="A133" s="16"/>
      <c r="B133" s="43"/>
      <c r="C133" s="43"/>
      <c r="D133" s="16"/>
      <c r="E133" s="16"/>
      <c r="F133" s="16"/>
      <c r="G133" s="12"/>
      <c r="H133" s="12"/>
      <c r="I133" s="12"/>
      <c r="J133" s="12"/>
      <c r="K133" s="12"/>
      <c r="L133" s="12"/>
      <c r="M133" s="12"/>
      <c r="N133" s="16"/>
      <c r="O133" s="16"/>
      <c r="P133" s="12"/>
      <c r="Q133" s="12"/>
      <c r="R133" s="12"/>
      <c r="S133" s="12"/>
      <c r="T133" s="16"/>
      <c r="U133" s="41"/>
      <c r="V133" s="41"/>
      <c r="W133" s="41"/>
      <c r="X133" s="41"/>
      <c r="Y133" s="41"/>
      <c r="Z133" s="41"/>
    </row>
    <row r="134" spans="1:26" ht="15.75" customHeight="1" x14ac:dyDescent="0.2">
      <c r="A134" s="16"/>
      <c r="B134" s="43"/>
      <c r="C134" s="43"/>
      <c r="D134" s="16"/>
      <c r="E134" s="16"/>
      <c r="F134" s="16"/>
      <c r="G134" s="12"/>
      <c r="H134" s="12"/>
      <c r="I134" s="12"/>
      <c r="J134" s="12"/>
      <c r="K134" s="12"/>
      <c r="L134" s="12"/>
      <c r="M134" s="12"/>
      <c r="N134" s="16"/>
      <c r="O134" s="16"/>
      <c r="P134" s="12"/>
      <c r="Q134" s="12"/>
      <c r="R134" s="12"/>
      <c r="S134" s="12"/>
      <c r="T134" s="16"/>
      <c r="U134" s="41"/>
      <c r="V134" s="41"/>
      <c r="W134" s="41"/>
      <c r="X134" s="41"/>
      <c r="Y134" s="41"/>
      <c r="Z134" s="41"/>
    </row>
    <row r="135" spans="1:26" ht="15.75" customHeight="1" x14ac:dyDescent="0.2">
      <c r="A135" s="16"/>
      <c r="B135" s="43"/>
      <c r="C135" s="43"/>
      <c r="D135" s="16"/>
      <c r="E135" s="16"/>
      <c r="F135" s="16"/>
      <c r="G135" s="12"/>
      <c r="H135" s="12"/>
      <c r="I135" s="12"/>
      <c r="J135" s="12"/>
      <c r="K135" s="12"/>
      <c r="L135" s="12"/>
      <c r="M135" s="12"/>
      <c r="N135" s="16"/>
      <c r="O135" s="16"/>
      <c r="P135" s="12"/>
      <c r="Q135" s="12"/>
      <c r="R135" s="12"/>
      <c r="S135" s="12"/>
      <c r="T135" s="16"/>
      <c r="U135" s="41"/>
      <c r="V135" s="41"/>
      <c r="W135" s="41"/>
      <c r="X135" s="41"/>
      <c r="Y135" s="41"/>
      <c r="Z135" s="41"/>
    </row>
    <row r="136" spans="1:26" ht="15.75" customHeight="1" x14ac:dyDescent="0.2">
      <c r="A136" s="16"/>
      <c r="B136" s="43"/>
      <c r="C136" s="43"/>
      <c r="D136" s="16"/>
      <c r="E136" s="16"/>
      <c r="F136" s="16"/>
      <c r="G136" s="12"/>
      <c r="H136" s="12"/>
      <c r="I136" s="12"/>
      <c r="J136" s="12"/>
      <c r="K136" s="12"/>
      <c r="L136" s="12"/>
      <c r="M136" s="12"/>
      <c r="N136" s="16"/>
      <c r="O136" s="16"/>
      <c r="P136" s="12"/>
      <c r="Q136" s="12"/>
      <c r="R136" s="12"/>
      <c r="S136" s="12"/>
      <c r="T136" s="16"/>
      <c r="U136" s="41"/>
      <c r="V136" s="41"/>
      <c r="W136" s="41"/>
      <c r="X136" s="41"/>
      <c r="Y136" s="41"/>
      <c r="Z136" s="41"/>
    </row>
    <row r="137" spans="1:26" ht="15.75" customHeight="1" x14ac:dyDescent="0.2">
      <c r="A137" s="16"/>
      <c r="B137" s="43"/>
      <c r="C137" s="43"/>
      <c r="D137" s="16"/>
      <c r="E137" s="16"/>
      <c r="F137" s="16"/>
      <c r="G137" s="12"/>
      <c r="H137" s="12"/>
      <c r="I137" s="12"/>
      <c r="J137" s="12"/>
      <c r="K137" s="12"/>
      <c r="L137" s="12"/>
      <c r="M137" s="12"/>
      <c r="N137" s="16"/>
      <c r="O137" s="16"/>
      <c r="P137" s="12"/>
      <c r="Q137" s="12"/>
      <c r="R137" s="12"/>
      <c r="S137" s="12"/>
      <c r="T137" s="16"/>
      <c r="U137" s="41"/>
      <c r="V137" s="41"/>
      <c r="W137" s="41"/>
      <c r="X137" s="41"/>
      <c r="Y137" s="41"/>
      <c r="Z137" s="41"/>
    </row>
    <row r="138" spans="1:26" ht="15.75" customHeight="1" x14ac:dyDescent="0.2">
      <c r="A138" s="16"/>
      <c r="B138" s="43"/>
      <c r="C138" s="43"/>
      <c r="D138" s="16"/>
      <c r="E138" s="16"/>
      <c r="F138" s="16"/>
      <c r="G138" s="12"/>
      <c r="H138" s="12"/>
      <c r="I138" s="12"/>
      <c r="J138" s="12"/>
      <c r="K138" s="12"/>
      <c r="L138" s="12"/>
      <c r="M138" s="12"/>
      <c r="N138" s="16"/>
      <c r="O138" s="16"/>
      <c r="P138" s="12"/>
      <c r="Q138" s="12"/>
      <c r="R138" s="12"/>
      <c r="S138" s="12"/>
      <c r="T138" s="16"/>
      <c r="U138" s="41"/>
      <c r="V138" s="41"/>
      <c r="W138" s="41"/>
      <c r="X138" s="41"/>
      <c r="Y138" s="41"/>
      <c r="Z138" s="41"/>
    </row>
    <row r="139" spans="1:26" ht="15.75" customHeight="1" x14ac:dyDescent="0.2">
      <c r="A139" s="16"/>
      <c r="B139" s="43"/>
      <c r="C139" s="43"/>
      <c r="D139" s="16"/>
      <c r="E139" s="16"/>
      <c r="F139" s="16"/>
      <c r="G139" s="12"/>
      <c r="H139" s="12"/>
      <c r="I139" s="12"/>
      <c r="J139" s="12"/>
      <c r="K139" s="12"/>
      <c r="L139" s="12"/>
      <c r="M139" s="12"/>
      <c r="N139" s="16"/>
      <c r="O139" s="16"/>
      <c r="P139" s="12"/>
      <c r="Q139" s="12"/>
      <c r="R139" s="12"/>
      <c r="S139" s="12"/>
      <c r="T139" s="16"/>
      <c r="U139" s="41"/>
      <c r="V139" s="41"/>
      <c r="W139" s="41"/>
      <c r="X139" s="41"/>
      <c r="Y139" s="41"/>
      <c r="Z139" s="41"/>
    </row>
    <row r="140" spans="1:26" ht="15.75" customHeight="1" x14ac:dyDescent="0.2">
      <c r="A140" s="16"/>
      <c r="B140" s="43"/>
      <c r="C140" s="43"/>
      <c r="D140" s="16"/>
      <c r="E140" s="16"/>
      <c r="F140" s="16"/>
      <c r="G140" s="12"/>
      <c r="H140" s="12"/>
      <c r="I140" s="12"/>
      <c r="J140" s="12"/>
      <c r="K140" s="12"/>
      <c r="L140" s="12"/>
      <c r="M140" s="12"/>
      <c r="N140" s="16"/>
      <c r="O140" s="16"/>
      <c r="P140" s="12"/>
      <c r="Q140" s="12"/>
      <c r="R140" s="12"/>
      <c r="S140" s="12"/>
      <c r="T140" s="16"/>
      <c r="U140" s="41"/>
      <c r="V140" s="41"/>
      <c r="W140" s="41"/>
      <c r="X140" s="41"/>
      <c r="Y140" s="41"/>
      <c r="Z140" s="41"/>
    </row>
    <row r="141" spans="1:26" ht="15.75" customHeight="1" x14ac:dyDescent="0.2">
      <c r="A141" s="16"/>
      <c r="B141" s="43"/>
      <c r="C141" s="43"/>
      <c r="D141" s="16"/>
      <c r="E141" s="16"/>
      <c r="F141" s="16"/>
      <c r="G141" s="12"/>
      <c r="H141" s="12"/>
      <c r="I141" s="12"/>
      <c r="J141" s="12"/>
      <c r="K141" s="12"/>
      <c r="L141" s="12"/>
      <c r="M141" s="12"/>
      <c r="N141" s="16"/>
      <c r="O141" s="16"/>
      <c r="P141" s="12"/>
      <c r="Q141" s="12"/>
      <c r="R141" s="12"/>
      <c r="S141" s="12"/>
      <c r="T141" s="16"/>
      <c r="U141" s="41"/>
      <c r="V141" s="41"/>
      <c r="W141" s="41"/>
      <c r="X141" s="41"/>
      <c r="Y141" s="41"/>
      <c r="Z141" s="41"/>
    </row>
    <row r="142" spans="1:26" ht="15.75" customHeight="1" x14ac:dyDescent="0.2">
      <c r="A142" s="16"/>
      <c r="B142" s="43"/>
      <c r="C142" s="43"/>
      <c r="D142" s="16"/>
      <c r="E142" s="16"/>
      <c r="F142" s="16"/>
      <c r="G142" s="12"/>
      <c r="H142" s="12"/>
      <c r="I142" s="12"/>
      <c r="J142" s="12"/>
      <c r="K142" s="12"/>
      <c r="L142" s="12"/>
      <c r="M142" s="12"/>
      <c r="N142" s="16"/>
      <c r="O142" s="16"/>
      <c r="P142" s="12"/>
      <c r="Q142" s="12"/>
      <c r="R142" s="12"/>
      <c r="S142" s="12"/>
      <c r="T142" s="16"/>
      <c r="U142" s="41"/>
      <c r="V142" s="41"/>
      <c r="W142" s="41"/>
      <c r="X142" s="41"/>
      <c r="Y142" s="41"/>
      <c r="Z142" s="41"/>
    </row>
    <row r="143" spans="1:26" ht="15.75" customHeight="1" x14ac:dyDescent="0.2">
      <c r="A143" s="16"/>
      <c r="B143" s="43"/>
      <c r="C143" s="43"/>
      <c r="D143" s="16"/>
      <c r="E143" s="16"/>
      <c r="F143" s="16"/>
      <c r="G143" s="12"/>
      <c r="H143" s="12"/>
      <c r="I143" s="12"/>
      <c r="J143" s="12"/>
      <c r="K143" s="12"/>
      <c r="L143" s="12"/>
      <c r="M143" s="12"/>
      <c r="N143" s="16"/>
      <c r="O143" s="16"/>
      <c r="P143" s="12"/>
      <c r="Q143" s="12"/>
      <c r="R143" s="12"/>
      <c r="S143" s="12"/>
      <c r="T143" s="16"/>
      <c r="U143" s="41"/>
      <c r="V143" s="41"/>
      <c r="W143" s="41"/>
      <c r="X143" s="41"/>
      <c r="Y143" s="41"/>
      <c r="Z143" s="41"/>
    </row>
    <row r="144" spans="1:26" ht="15.75" customHeight="1" x14ac:dyDescent="0.2">
      <c r="A144" s="16"/>
      <c r="B144" s="43"/>
      <c r="C144" s="43"/>
      <c r="D144" s="16"/>
      <c r="E144" s="16"/>
      <c r="F144" s="16"/>
      <c r="G144" s="12"/>
      <c r="H144" s="12"/>
      <c r="I144" s="12"/>
      <c r="J144" s="12"/>
      <c r="K144" s="12"/>
      <c r="L144" s="12"/>
      <c r="M144" s="12"/>
      <c r="N144" s="16"/>
      <c r="O144" s="16"/>
      <c r="P144" s="12"/>
      <c r="Q144" s="12"/>
      <c r="R144" s="12"/>
      <c r="S144" s="12"/>
      <c r="T144" s="16"/>
      <c r="U144" s="41"/>
      <c r="V144" s="41"/>
      <c r="W144" s="41"/>
      <c r="X144" s="41"/>
      <c r="Y144" s="41"/>
      <c r="Z144" s="41"/>
    </row>
    <row r="145" spans="1:26" ht="15.75" customHeight="1" x14ac:dyDescent="0.2">
      <c r="A145" s="16"/>
      <c r="B145" s="43"/>
      <c r="C145" s="43"/>
      <c r="D145" s="16"/>
      <c r="E145" s="16"/>
      <c r="F145" s="16"/>
      <c r="G145" s="12"/>
      <c r="H145" s="12"/>
      <c r="I145" s="12"/>
      <c r="J145" s="12"/>
      <c r="K145" s="12"/>
      <c r="L145" s="12"/>
      <c r="M145" s="12"/>
      <c r="N145" s="16"/>
      <c r="O145" s="16"/>
      <c r="P145" s="12"/>
      <c r="Q145" s="12"/>
      <c r="R145" s="12"/>
      <c r="S145" s="12"/>
      <c r="T145" s="16"/>
      <c r="U145" s="41"/>
      <c r="V145" s="41"/>
      <c r="W145" s="41"/>
      <c r="X145" s="41"/>
      <c r="Y145" s="41"/>
      <c r="Z145" s="41"/>
    </row>
    <row r="146" spans="1:26" ht="15.75" customHeight="1" x14ac:dyDescent="0.2">
      <c r="A146" s="16"/>
      <c r="B146" s="43"/>
      <c r="C146" s="43"/>
      <c r="D146" s="16"/>
      <c r="E146" s="16"/>
      <c r="F146" s="16"/>
      <c r="G146" s="12"/>
      <c r="H146" s="12"/>
      <c r="I146" s="12"/>
      <c r="J146" s="12"/>
      <c r="K146" s="12"/>
      <c r="L146" s="12"/>
      <c r="M146" s="12"/>
      <c r="N146" s="16"/>
      <c r="O146" s="16"/>
      <c r="P146" s="12"/>
      <c r="Q146" s="12"/>
      <c r="R146" s="12"/>
      <c r="S146" s="12"/>
      <c r="T146" s="16"/>
      <c r="U146" s="41"/>
      <c r="V146" s="41"/>
      <c r="W146" s="41"/>
      <c r="X146" s="41"/>
      <c r="Y146" s="41"/>
      <c r="Z146" s="41"/>
    </row>
    <row r="147" spans="1:26" ht="15.75" customHeight="1" x14ac:dyDescent="0.2">
      <c r="A147" s="16"/>
      <c r="B147" s="43"/>
      <c r="C147" s="43"/>
      <c r="D147" s="16"/>
      <c r="E147" s="16"/>
      <c r="F147" s="16"/>
      <c r="G147" s="12"/>
      <c r="H147" s="12"/>
      <c r="I147" s="12"/>
      <c r="J147" s="12"/>
      <c r="K147" s="12"/>
      <c r="L147" s="12"/>
      <c r="M147" s="12"/>
      <c r="N147" s="16"/>
      <c r="O147" s="16"/>
      <c r="P147" s="12"/>
      <c r="Q147" s="12"/>
      <c r="R147" s="12"/>
      <c r="S147" s="12"/>
      <c r="T147" s="16"/>
      <c r="U147" s="41"/>
      <c r="V147" s="41"/>
      <c r="W147" s="41"/>
      <c r="X147" s="41"/>
      <c r="Y147" s="41"/>
      <c r="Z147" s="41"/>
    </row>
    <row r="148" spans="1:26" ht="15.75" customHeight="1" x14ac:dyDescent="0.2">
      <c r="A148" s="16"/>
      <c r="B148" s="43"/>
      <c r="C148" s="43"/>
      <c r="D148" s="16"/>
      <c r="E148" s="16"/>
      <c r="F148" s="16"/>
      <c r="G148" s="12"/>
      <c r="H148" s="12"/>
      <c r="I148" s="12"/>
      <c r="J148" s="12"/>
      <c r="K148" s="12"/>
      <c r="L148" s="12"/>
      <c r="M148" s="12"/>
      <c r="N148" s="16"/>
      <c r="O148" s="16"/>
      <c r="P148" s="12"/>
      <c r="Q148" s="12"/>
      <c r="R148" s="12"/>
      <c r="S148" s="12"/>
      <c r="T148" s="16"/>
      <c r="U148" s="41"/>
      <c r="V148" s="41"/>
      <c r="W148" s="41"/>
      <c r="X148" s="41"/>
      <c r="Y148" s="41"/>
      <c r="Z148" s="41"/>
    </row>
    <row r="149" spans="1:26" ht="15.75" customHeight="1" x14ac:dyDescent="0.2">
      <c r="A149" s="16"/>
      <c r="B149" s="43"/>
      <c r="C149" s="43"/>
      <c r="D149" s="16"/>
      <c r="E149" s="16"/>
      <c r="F149" s="16"/>
      <c r="G149" s="12"/>
      <c r="H149" s="12"/>
      <c r="I149" s="12"/>
      <c r="J149" s="12"/>
      <c r="K149" s="12"/>
      <c r="L149" s="12"/>
      <c r="M149" s="12"/>
      <c r="N149" s="16"/>
      <c r="O149" s="16"/>
      <c r="P149" s="12"/>
      <c r="Q149" s="12"/>
      <c r="R149" s="12"/>
      <c r="S149" s="12"/>
      <c r="T149" s="16"/>
      <c r="U149" s="41"/>
      <c r="V149" s="41"/>
      <c r="W149" s="41"/>
      <c r="X149" s="41"/>
      <c r="Y149" s="41"/>
      <c r="Z149" s="41"/>
    </row>
    <row r="150" spans="1:26" ht="15.75" customHeight="1" x14ac:dyDescent="0.2">
      <c r="A150" s="16"/>
      <c r="B150" s="43"/>
      <c r="C150" s="43"/>
      <c r="D150" s="16"/>
      <c r="E150" s="16"/>
      <c r="F150" s="16"/>
      <c r="G150" s="12"/>
      <c r="H150" s="12"/>
      <c r="I150" s="12"/>
      <c r="J150" s="12"/>
      <c r="K150" s="12"/>
      <c r="L150" s="12"/>
      <c r="M150" s="12"/>
      <c r="N150" s="16"/>
      <c r="O150" s="16"/>
      <c r="P150" s="12"/>
      <c r="Q150" s="12"/>
      <c r="R150" s="12"/>
      <c r="S150" s="12"/>
      <c r="T150" s="16"/>
      <c r="U150" s="41"/>
      <c r="V150" s="41"/>
      <c r="W150" s="41"/>
      <c r="X150" s="41"/>
      <c r="Y150" s="41"/>
      <c r="Z150" s="41"/>
    </row>
    <row r="151" spans="1:26" ht="15.75" customHeight="1" x14ac:dyDescent="0.2">
      <c r="A151" s="16"/>
      <c r="B151" s="43"/>
      <c r="C151" s="43"/>
      <c r="D151" s="16"/>
      <c r="E151" s="16"/>
      <c r="F151" s="16"/>
      <c r="G151" s="12"/>
      <c r="H151" s="12"/>
      <c r="I151" s="12"/>
      <c r="J151" s="12"/>
      <c r="K151" s="12"/>
      <c r="L151" s="12"/>
      <c r="M151" s="12"/>
      <c r="N151" s="16"/>
      <c r="O151" s="16"/>
      <c r="P151" s="12"/>
      <c r="Q151" s="12"/>
      <c r="R151" s="12"/>
      <c r="S151" s="12"/>
      <c r="T151" s="16"/>
      <c r="U151" s="41"/>
      <c r="V151" s="41"/>
      <c r="W151" s="41"/>
      <c r="X151" s="41"/>
      <c r="Y151" s="41"/>
      <c r="Z151" s="41"/>
    </row>
    <row r="152" spans="1:26" ht="15.75" customHeight="1" x14ac:dyDescent="0.2">
      <c r="A152" s="16"/>
      <c r="B152" s="43"/>
      <c r="C152" s="43"/>
      <c r="D152" s="16"/>
      <c r="E152" s="16"/>
      <c r="F152" s="16"/>
      <c r="G152" s="12"/>
      <c r="H152" s="12"/>
      <c r="I152" s="12"/>
      <c r="J152" s="12"/>
      <c r="K152" s="12"/>
      <c r="L152" s="12"/>
      <c r="M152" s="12"/>
      <c r="N152" s="16"/>
      <c r="O152" s="16"/>
      <c r="P152" s="12"/>
      <c r="Q152" s="12"/>
      <c r="R152" s="12"/>
      <c r="S152" s="12"/>
      <c r="T152" s="16"/>
      <c r="U152" s="41"/>
      <c r="V152" s="41"/>
      <c r="W152" s="41"/>
      <c r="X152" s="41"/>
      <c r="Y152" s="41"/>
      <c r="Z152" s="41"/>
    </row>
    <row r="153" spans="1:26" ht="15.75" customHeight="1" x14ac:dyDescent="0.2">
      <c r="A153" s="16"/>
      <c r="B153" s="43"/>
      <c r="C153" s="43"/>
      <c r="D153" s="16"/>
      <c r="E153" s="16"/>
      <c r="F153" s="16"/>
      <c r="G153" s="12"/>
      <c r="H153" s="12"/>
      <c r="I153" s="12"/>
      <c r="J153" s="12"/>
      <c r="K153" s="12"/>
      <c r="L153" s="12"/>
      <c r="M153" s="12"/>
      <c r="N153" s="16"/>
      <c r="O153" s="16"/>
      <c r="P153" s="12"/>
      <c r="Q153" s="12"/>
      <c r="R153" s="12"/>
      <c r="S153" s="12"/>
      <c r="T153" s="16"/>
      <c r="U153" s="41"/>
      <c r="V153" s="41"/>
      <c r="W153" s="41"/>
      <c r="X153" s="41"/>
      <c r="Y153" s="41"/>
      <c r="Z153" s="41"/>
    </row>
    <row r="154" spans="1:26" ht="15.75" customHeight="1" x14ac:dyDescent="0.2">
      <c r="A154" s="16"/>
      <c r="B154" s="43"/>
      <c r="C154" s="43"/>
      <c r="D154" s="16"/>
      <c r="E154" s="16"/>
      <c r="F154" s="16"/>
      <c r="G154" s="12"/>
      <c r="H154" s="12"/>
      <c r="I154" s="12"/>
      <c r="J154" s="12"/>
      <c r="K154" s="12"/>
      <c r="L154" s="12"/>
      <c r="M154" s="12"/>
      <c r="N154" s="16"/>
      <c r="O154" s="16"/>
      <c r="P154" s="12"/>
      <c r="Q154" s="12"/>
      <c r="R154" s="12"/>
      <c r="S154" s="12"/>
      <c r="T154" s="16"/>
      <c r="U154" s="41"/>
      <c r="V154" s="41"/>
      <c r="W154" s="41"/>
      <c r="X154" s="41"/>
      <c r="Y154" s="41"/>
      <c r="Z154" s="41"/>
    </row>
    <row r="155" spans="1:26" ht="15.75" customHeight="1" x14ac:dyDescent="0.2">
      <c r="A155" s="16"/>
      <c r="B155" s="43"/>
      <c r="C155" s="43"/>
      <c r="D155" s="16"/>
      <c r="E155" s="16"/>
      <c r="F155" s="16"/>
      <c r="G155" s="12"/>
      <c r="H155" s="12"/>
      <c r="I155" s="12"/>
      <c r="J155" s="12"/>
      <c r="K155" s="12"/>
      <c r="L155" s="12"/>
      <c r="M155" s="12"/>
      <c r="N155" s="16"/>
      <c r="O155" s="16"/>
      <c r="P155" s="12"/>
      <c r="Q155" s="12"/>
      <c r="R155" s="12"/>
      <c r="S155" s="12"/>
      <c r="T155" s="16"/>
      <c r="U155" s="41"/>
      <c r="V155" s="41"/>
      <c r="W155" s="41"/>
      <c r="X155" s="41"/>
      <c r="Y155" s="41"/>
      <c r="Z155" s="41"/>
    </row>
    <row r="156" spans="1:26" ht="15.75" customHeight="1" x14ac:dyDescent="0.2">
      <c r="A156" s="16"/>
      <c r="B156" s="43"/>
      <c r="C156" s="43"/>
      <c r="D156" s="16"/>
      <c r="E156" s="16"/>
      <c r="F156" s="16"/>
      <c r="G156" s="12"/>
      <c r="H156" s="12"/>
      <c r="I156" s="12"/>
      <c r="J156" s="12"/>
      <c r="K156" s="12"/>
      <c r="L156" s="12"/>
      <c r="M156" s="12"/>
      <c r="N156" s="16"/>
      <c r="O156" s="16"/>
      <c r="P156" s="12"/>
      <c r="Q156" s="12"/>
      <c r="R156" s="12"/>
      <c r="S156" s="12"/>
      <c r="T156" s="16"/>
      <c r="U156" s="41"/>
      <c r="V156" s="41"/>
      <c r="W156" s="41"/>
      <c r="X156" s="41"/>
      <c r="Y156" s="41"/>
      <c r="Z156" s="41"/>
    </row>
    <row r="157" spans="1:26" ht="15.75" customHeight="1" x14ac:dyDescent="0.2">
      <c r="A157" s="16"/>
      <c r="B157" s="43"/>
      <c r="C157" s="43"/>
      <c r="D157" s="16"/>
      <c r="E157" s="16"/>
      <c r="F157" s="16"/>
      <c r="G157" s="12"/>
      <c r="H157" s="12"/>
      <c r="I157" s="12"/>
      <c r="J157" s="12"/>
      <c r="K157" s="12"/>
      <c r="L157" s="12"/>
      <c r="M157" s="12"/>
      <c r="N157" s="16"/>
      <c r="O157" s="16"/>
      <c r="P157" s="12"/>
      <c r="Q157" s="12"/>
      <c r="R157" s="12"/>
      <c r="S157" s="12"/>
      <c r="T157" s="16"/>
      <c r="U157" s="41"/>
      <c r="V157" s="41"/>
      <c r="W157" s="41"/>
      <c r="X157" s="41"/>
      <c r="Y157" s="41"/>
      <c r="Z157" s="41"/>
    </row>
    <row r="158" spans="1:26" ht="15.75" customHeight="1" x14ac:dyDescent="0.2">
      <c r="A158" s="16"/>
      <c r="B158" s="43"/>
      <c r="C158" s="43"/>
      <c r="D158" s="16"/>
      <c r="E158" s="16"/>
      <c r="F158" s="16"/>
      <c r="G158" s="12"/>
      <c r="H158" s="12"/>
      <c r="I158" s="12"/>
      <c r="J158" s="12"/>
      <c r="K158" s="12"/>
      <c r="L158" s="12"/>
      <c r="M158" s="12"/>
      <c r="N158" s="16"/>
      <c r="O158" s="16"/>
      <c r="P158" s="12"/>
      <c r="Q158" s="12"/>
      <c r="R158" s="12"/>
      <c r="S158" s="12"/>
      <c r="T158" s="16"/>
      <c r="U158" s="41"/>
      <c r="V158" s="41"/>
      <c r="W158" s="41"/>
      <c r="X158" s="41"/>
      <c r="Y158" s="41"/>
      <c r="Z158" s="41"/>
    </row>
    <row r="159" spans="1:26" ht="15.75" customHeight="1" x14ac:dyDescent="0.2">
      <c r="A159" s="16"/>
      <c r="B159" s="43"/>
      <c r="C159" s="43"/>
      <c r="D159" s="16"/>
      <c r="E159" s="16"/>
      <c r="F159" s="16"/>
      <c r="G159" s="12"/>
      <c r="H159" s="12"/>
      <c r="I159" s="12"/>
      <c r="J159" s="12"/>
      <c r="K159" s="12"/>
      <c r="L159" s="12"/>
      <c r="M159" s="12"/>
      <c r="N159" s="16"/>
      <c r="O159" s="16"/>
      <c r="P159" s="12"/>
      <c r="Q159" s="12"/>
      <c r="R159" s="12"/>
      <c r="S159" s="12"/>
      <c r="T159" s="16"/>
      <c r="U159" s="41"/>
      <c r="V159" s="41"/>
      <c r="W159" s="41"/>
      <c r="X159" s="41"/>
      <c r="Y159" s="41"/>
      <c r="Z159" s="41"/>
    </row>
    <row r="160" spans="1:26" ht="15.75" customHeight="1" x14ac:dyDescent="0.2">
      <c r="A160" s="16"/>
      <c r="B160" s="43"/>
      <c r="C160" s="43"/>
      <c r="D160" s="16"/>
      <c r="E160" s="16"/>
      <c r="F160" s="16"/>
      <c r="G160" s="12"/>
      <c r="H160" s="12"/>
      <c r="I160" s="12"/>
      <c r="J160" s="12"/>
      <c r="K160" s="12"/>
      <c r="L160" s="12"/>
      <c r="M160" s="12"/>
      <c r="N160" s="16"/>
      <c r="O160" s="16"/>
      <c r="P160" s="12"/>
      <c r="Q160" s="12"/>
      <c r="R160" s="12"/>
      <c r="S160" s="12"/>
      <c r="T160" s="16"/>
      <c r="U160" s="41"/>
      <c r="V160" s="41"/>
      <c r="W160" s="41"/>
      <c r="X160" s="41"/>
      <c r="Y160" s="41"/>
      <c r="Z160" s="41"/>
    </row>
    <row r="161" spans="1:26" ht="15.75" customHeight="1" x14ac:dyDescent="0.2">
      <c r="A161" s="16"/>
      <c r="B161" s="43"/>
      <c r="C161" s="43"/>
      <c r="D161" s="16"/>
      <c r="E161" s="16"/>
      <c r="F161" s="16"/>
      <c r="G161" s="12"/>
      <c r="H161" s="12"/>
      <c r="I161" s="12"/>
      <c r="J161" s="12"/>
      <c r="K161" s="12"/>
      <c r="L161" s="12"/>
      <c r="M161" s="12"/>
      <c r="N161" s="16"/>
      <c r="O161" s="16"/>
      <c r="P161" s="12"/>
      <c r="Q161" s="12"/>
      <c r="R161" s="12"/>
      <c r="S161" s="12"/>
      <c r="T161" s="16"/>
      <c r="U161" s="41"/>
      <c r="V161" s="41"/>
      <c r="W161" s="41"/>
      <c r="X161" s="41"/>
      <c r="Y161" s="41"/>
      <c r="Z161" s="41"/>
    </row>
    <row r="162" spans="1:26" ht="15.75" customHeight="1" x14ac:dyDescent="0.2">
      <c r="A162" s="16"/>
      <c r="B162" s="43"/>
      <c r="C162" s="43"/>
      <c r="D162" s="16"/>
      <c r="E162" s="16"/>
      <c r="F162" s="16"/>
      <c r="G162" s="12"/>
      <c r="H162" s="12"/>
      <c r="I162" s="12"/>
      <c r="J162" s="12"/>
      <c r="K162" s="12"/>
      <c r="L162" s="12"/>
      <c r="M162" s="12"/>
      <c r="N162" s="16"/>
      <c r="O162" s="16"/>
      <c r="P162" s="12"/>
      <c r="Q162" s="12"/>
      <c r="R162" s="12"/>
      <c r="S162" s="12"/>
      <c r="T162" s="16"/>
      <c r="U162" s="41"/>
      <c r="V162" s="41"/>
      <c r="W162" s="41"/>
      <c r="X162" s="41"/>
      <c r="Y162" s="41"/>
      <c r="Z162" s="41"/>
    </row>
    <row r="163" spans="1:26" ht="15.75" customHeight="1" x14ac:dyDescent="0.2">
      <c r="A163" s="16"/>
      <c r="B163" s="43"/>
      <c r="C163" s="43"/>
      <c r="D163" s="16"/>
      <c r="E163" s="16"/>
      <c r="F163" s="16"/>
      <c r="G163" s="12"/>
      <c r="H163" s="12"/>
      <c r="I163" s="12"/>
      <c r="J163" s="12"/>
      <c r="K163" s="12"/>
      <c r="L163" s="12"/>
      <c r="M163" s="12"/>
      <c r="N163" s="16"/>
      <c r="O163" s="16"/>
      <c r="P163" s="12"/>
      <c r="Q163" s="12"/>
      <c r="R163" s="12"/>
      <c r="S163" s="12"/>
      <c r="T163" s="16"/>
      <c r="U163" s="41"/>
      <c r="V163" s="41"/>
      <c r="W163" s="41"/>
      <c r="X163" s="41"/>
      <c r="Y163" s="41"/>
      <c r="Z163" s="41"/>
    </row>
    <row r="164" spans="1:26" ht="15.75" customHeight="1" x14ac:dyDescent="0.2">
      <c r="A164" s="16"/>
      <c r="B164" s="43"/>
      <c r="C164" s="43"/>
      <c r="D164" s="16"/>
      <c r="E164" s="16"/>
      <c r="F164" s="16"/>
      <c r="G164" s="12"/>
      <c r="H164" s="12"/>
      <c r="I164" s="12"/>
      <c r="J164" s="12"/>
      <c r="K164" s="12"/>
      <c r="L164" s="12"/>
      <c r="M164" s="12"/>
      <c r="N164" s="16"/>
      <c r="O164" s="16"/>
      <c r="P164" s="12"/>
      <c r="Q164" s="12"/>
      <c r="R164" s="12"/>
      <c r="S164" s="12"/>
      <c r="T164" s="16"/>
      <c r="U164" s="41"/>
      <c r="V164" s="41"/>
      <c r="W164" s="41"/>
      <c r="X164" s="41"/>
      <c r="Y164" s="41"/>
      <c r="Z164" s="41"/>
    </row>
    <row r="165" spans="1:26" ht="15.75" customHeight="1" x14ac:dyDescent="0.2">
      <c r="A165" s="16"/>
      <c r="B165" s="43"/>
      <c r="C165" s="43"/>
      <c r="D165" s="16"/>
      <c r="E165" s="16"/>
      <c r="F165" s="16"/>
      <c r="G165" s="12"/>
      <c r="H165" s="12"/>
      <c r="I165" s="12"/>
      <c r="J165" s="12"/>
      <c r="K165" s="12"/>
      <c r="L165" s="12"/>
      <c r="M165" s="12"/>
      <c r="N165" s="16"/>
      <c r="O165" s="16"/>
      <c r="P165" s="12"/>
      <c r="Q165" s="12"/>
      <c r="R165" s="12"/>
      <c r="S165" s="12"/>
      <c r="T165" s="16"/>
      <c r="U165" s="41"/>
      <c r="V165" s="41"/>
      <c r="W165" s="41"/>
      <c r="X165" s="41"/>
      <c r="Y165" s="41"/>
      <c r="Z165" s="41"/>
    </row>
    <row r="166" spans="1:26" ht="15.75" customHeight="1" x14ac:dyDescent="0.2">
      <c r="A166" s="16"/>
      <c r="B166" s="43"/>
      <c r="C166" s="43"/>
      <c r="D166" s="16"/>
      <c r="E166" s="16"/>
      <c r="F166" s="16"/>
      <c r="G166" s="12"/>
      <c r="H166" s="12"/>
      <c r="I166" s="12"/>
      <c r="J166" s="12"/>
      <c r="K166" s="12"/>
      <c r="L166" s="12"/>
      <c r="M166" s="12"/>
      <c r="N166" s="16"/>
      <c r="O166" s="16"/>
      <c r="P166" s="12"/>
      <c r="Q166" s="12"/>
      <c r="R166" s="12"/>
      <c r="S166" s="12"/>
      <c r="T166" s="16"/>
      <c r="U166" s="41"/>
      <c r="V166" s="41"/>
      <c r="W166" s="41"/>
      <c r="X166" s="41"/>
      <c r="Y166" s="41"/>
      <c r="Z166" s="41"/>
    </row>
    <row r="167" spans="1:26" ht="15.75" customHeight="1" x14ac:dyDescent="0.2">
      <c r="A167" s="16"/>
      <c r="B167" s="43"/>
      <c r="C167" s="43"/>
      <c r="D167" s="16"/>
      <c r="E167" s="16"/>
      <c r="F167" s="16"/>
      <c r="G167" s="12"/>
      <c r="H167" s="12"/>
      <c r="I167" s="12"/>
      <c r="J167" s="12"/>
      <c r="K167" s="12"/>
      <c r="L167" s="12"/>
      <c r="M167" s="12"/>
      <c r="N167" s="16"/>
      <c r="O167" s="16"/>
      <c r="P167" s="12"/>
      <c r="Q167" s="12"/>
      <c r="R167" s="12"/>
      <c r="S167" s="12"/>
      <c r="T167" s="16"/>
      <c r="U167" s="41"/>
      <c r="V167" s="41"/>
      <c r="W167" s="41"/>
      <c r="X167" s="41"/>
      <c r="Y167" s="41"/>
      <c r="Z167" s="41"/>
    </row>
    <row r="168" spans="1:26" ht="15.75" customHeight="1" x14ac:dyDescent="0.2">
      <c r="A168" s="16"/>
      <c r="B168" s="43"/>
      <c r="C168" s="43"/>
      <c r="D168" s="16"/>
      <c r="E168" s="16"/>
      <c r="F168" s="16"/>
      <c r="G168" s="12"/>
      <c r="H168" s="12"/>
      <c r="I168" s="12"/>
      <c r="J168" s="12"/>
      <c r="K168" s="12"/>
      <c r="L168" s="12"/>
      <c r="M168" s="12"/>
      <c r="N168" s="16"/>
      <c r="O168" s="16"/>
      <c r="P168" s="12"/>
      <c r="Q168" s="12"/>
      <c r="R168" s="12"/>
      <c r="S168" s="12"/>
      <c r="T168" s="16"/>
      <c r="U168" s="41"/>
      <c r="V168" s="41"/>
      <c r="W168" s="41"/>
      <c r="X168" s="41"/>
      <c r="Y168" s="41"/>
      <c r="Z168" s="41"/>
    </row>
    <row r="169" spans="1:26" ht="15.75" customHeight="1" x14ac:dyDescent="0.2">
      <c r="A169" s="16"/>
      <c r="B169" s="43"/>
      <c r="C169" s="43"/>
      <c r="D169" s="16"/>
      <c r="E169" s="16"/>
      <c r="F169" s="16"/>
      <c r="G169" s="12"/>
      <c r="H169" s="12"/>
      <c r="I169" s="12"/>
      <c r="J169" s="12"/>
      <c r="K169" s="12"/>
      <c r="L169" s="12"/>
      <c r="M169" s="12"/>
      <c r="N169" s="16"/>
      <c r="O169" s="16"/>
      <c r="P169" s="12"/>
      <c r="Q169" s="12"/>
      <c r="R169" s="12"/>
      <c r="S169" s="12"/>
      <c r="T169" s="16"/>
      <c r="U169" s="41"/>
      <c r="V169" s="41"/>
      <c r="W169" s="41"/>
      <c r="X169" s="41"/>
      <c r="Y169" s="41"/>
      <c r="Z169" s="41"/>
    </row>
    <row r="170" spans="1:26" ht="15.75" customHeight="1" x14ac:dyDescent="0.2">
      <c r="A170" s="16"/>
      <c r="B170" s="43"/>
      <c r="C170" s="43"/>
      <c r="D170" s="16"/>
      <c r="E170" s="16"/>
      <c r="F170" s="16"/>
      <c r="G170" s="12"/>
      <c r="H170" s="12"/>
      <c r="I170" s="12"/>
      <c r="J170" s="12"/>
      <c r="K170" s="12"/>
      <c r="L170" s="12"/>
      <c r="M170" s="12"/>
      <c r="N170" s="16"/>
      <c r="O170" s="16"/>
      <c r="P170" s="12"/>
      <c r="Q170" s="12"/>
      <c r="R170" s="12"/>
      <c r="S170" s="12"/>
      <c r="T170" s="16"/>
      <c r="U170" s="41"/>
      <c r="V170" s="41"/>
      <c r="W170" s="41"/>
      <c r="X170" s="41"/>
      <c r="Y170" s="41"/>
      <c r="Z170" s="41"/>
    </row>
    <row r="171" spans="1:26" ht="15.75" customHeight="1" x14ac:dyDescent="0.2">
      <c r="A171" s="16"/>
      <c r="B171" s="43"/>
      <c r="C171" s="43"/>
      <c r="D171" s="16"/>
      <c r="E171" s="16"/>
      <c r="F171" s="16"/>
      <c r="G171" s="12"/>
      <c r="H171" s="12"/>
      <c r="I171" s="12"/>
      <c r="J171" s="12"/>
      <c r="K171" s="12"/>
      <c r="L171" s="12"/>
      <c r="M171" s="12"/>
      <c r="N171" s="16"/>
      <c r="O171" s="16"/>
      <c r="P171" s="12"/>
      <c r="Q171" s="12"/>
      <c r="R171" s="12"/>
      <c r="S171" s="12"/>
      <c r="T171" s="16"/>
      <c r="U171" s="41"/>
      <c r="V171" s="41"/>
      <c r="W171" s="41"/>
      <c r="X171" s="41"/>
      <c r="Y171" s="41"/>
      <c r="Z171" s="41"/>
    </row>
    <row r="172" spans="1:26" ht="15.75" customHeight="1" x14ac:dyDescent="0.2">
      <c r="A172" s="16"/>
      <c r="B172" s="43"/>
      <c r="C172" s="43"/>
      <c r="D172" s="16"/>
      <c r="E172" s="16"/>
      <c r="F172" s="16"/>
      <c r="G172" s="12"/>
      <c r="H172" s="12"/>
      <c r="I172" s="12"/>
      <c r="J172" s="12"/>
      <c r="K172" s="12"/>
      <c r="L172" s="12"/>
      <c r="M172" s="12"/>
      <c r="N172" s="16"/>
      <c r="O172" s="16"/>
      <c r="P172" s="12"/>
      <c r="Q172" s="12"/>
      <c r="R172" s="12"/>
      <c r="S172" s="12"/>
      <c r="T172" s="16"/>
      <c r="U172" s="41"/>
      <c r="V172" s="41"/>
      <c r="W172" s="41"/>
      <c r="X172" s="41"/>
      <c r="Y172" s="41"/>
      <c r="Z172" s="41"/>
    </row>
    <row r="173" spans="1:26" ht="15.75" customHeight="1" x14ac:dyDescent="0.2">
      <c r="A173" s="16"/>
      <c r="B173" s="43"/>
      <c r="C173" s="43"/>
      <c r="D173" s="16"/>
      <c r="E173" s="16"/>
      <c r="F173" s="16"/>
      <c r="G173" s="12"/>
      <c r="H173" s="12"/>
      <c r="I173" s="12"/>
      <c r="J173" s="12"/>
      <c r="K173" s="12"/>
      <c r="L173" s="12"/>
      <c r="M173" s="12"/>
      <c r="N173" s="16"/>
      <c r="O173" s="16"/>
      <c r="P173" s="12"/>
      <c r="Q173" s="12"/>
      <c r="R173" s="12"/>
      <c r="S173" s="12"/>
      <c r="T173" s="16"/>
      <c r="U173" s="41"/>
      <c r="V173" s="41"/>
      <c r="W173" s="41"/>
      <c r="X173" s="41"/>
      <c r="Y173" s="41"/>
      <c r="Z173" s="41"/>
    </row>
    <row r="174" spans="1:26" ht="15.75" customHeight="1" x14ac:dyDescent="0.2">
      <c r="A174" s="16"/>
      <c r="B174" s="43"/>
      <c r="C174" s="43"/>
      <c r="D174" s="16"/>
      <c r="E174" s="16"/>
      <c r="F174" s="16"/>
      <c r="G174" s="12"/>
      <c r="H174" s="12"/>
      <c r="I174" s="12"/>
      <c r="J174" s="12"/>
      <c r="K174" s="12"/>
      <c r="L174" s="12"/>
      <c r="M174" s="12"/>
      <c r="N174" s="16"/>
      <c r="O174" s="16"/>
      <c r="P174" s="12"/>
      <c r="Q174" s="12"/>
      <c r="R174" s="12"/>
      <c r="S174" s="12"/>
      <c r="T174" s="16"/>
      <c r="U174" s="41"/>
      <c r="V174" s="41"/>
      <c r="W174" s="41"/>
      <c r="X174" s="41"/>
      <c r="Y174" s="41"/>
      <c r="Z174" s="41"/>
    </row>
    <row r="175" spans="1:26" ht="15.75" customHeight="1" x14ac:dyDescent="0.2">
      <c r="A175" s="16"/>
      <c r="B175" s="43"/>
      <c r="C175" s="43"/>
      <c r="D175" s="16"/>
      <c r="E175" s="16"/>
      <c r="F175" s="16"/>
      <c r="G175" s="12"/>
      <c r="H175" s="12"/>
      <c r="I175" s="12"/>
      <c r="J175" s="12"/>
      <c r="K175" s="12"/>
      <c r="L175" s="12"/>
      <c r="M175" s="12"/>
      <c r="N175" s="16"/>
      <c r="O175" s="16"/>
      <c r="P175" s="12"/>
      <c r="Q175" s="12"/>
      <c r="R175" s="12"/>
      <c r="S175" s="12"/>
      <c r="T175" s="16"/>
      <c r="U175" s="41"/>
      <c r="V175" s="41"/>
      <c r="W175" s="41"/>
      <c r="X175" s="41"/>
      <c r="Y175" s="41"/>
      <c r="Z175" s="41"/>
    </row>
    <row r="176" spans="1:26" ht="15.75" customHeight="1" x14ac:dyDescent="0.2">
      <c r="A176" s="16"/>
      <c r="B176" s="43"/>
      <c r="C176" s="43"/>
      <c r="D176" s="16"/>
      <c r="E176" s="16"/>
      <c r="F176" s="16"/>
      <c r="G176" s="12"/>
      <c r="H176" s="12"/>
      <c r="I176" s="12"/>
      <c r="J176" s="12"/>
      <c r="K176" s="12"/>
      <c r="L176" s="12"/>
      <c r="M176" s="12"/>
      <c r="N176" s="16"/>
      <c r="O176" s="16"/>
      <c r="P176" s="12"/>
      <c r="Q176" s="12"/>
      <c r="R176" s="12"/>
      <c r="S176" s="12"/>
      <c r="T176" s="16"/>
      <c r="U176" s="41"/>
      <c r="V176" s="41"/>
      <c r="W176" s="41"/>
      <c r="X176" s="41"/>
      <c r="Y176" s="41"/>
      <c r="Z176" s="41"/>
    </row>
    <row r="177" spans="1:26" ht="15.75" customHeight="1" x14ac:dyDescent="0.2">
      <c r="A177" s="16"/>
      <c r="B177" s="43"/>
      <c r="C177" s="43"/>
      <c r="D177" s="16"/>
      <c r="E177" s="16"/>
      <c r="F177" s="16"/>
      <c r="G177" s="12"/>
      <c r="H177" s="12"/>
      <c r="I177" s="12"/>
      <c r="J177" s="12"/>
      <c r="K177" s="12"/>
      <c r="L177" s="12"/>
      <c r="M177" s="12"/>
      <c r="N177" s="16"/>
      <c r="O177" s="16"/>
      <c r="P177" s="12"/>
      <c r="Q177" s="12"/>
      <c r="R177" s="12"/>
      <c r="S177" s="12"/>
      <c r="T177" s="16"/>
      <c r="U177" s="41"/>
      <c r="V177" s="41"/>
      <c r="W177" s="41"/>
      <c r="X177" s="41"/>
      <c r="Y177" s="41"/>
      <c r="Z177" s="41"/>
    </row>
    <row r="178" spans="1:26" ht="15.75" customHeight="1" x14ac:dyDescent="0.2">
      <c r="A178" s="16"/>
      <c r="B178" s="43"/>
      <c r="C178" s="43"/>
      <c r="D178" s="16"/>
      <c r="E178" s="16"/>
      <c r="F178" s="16"/>
      <c r="G178" s="12"/>
      <c r="H178" s="12"/>
      <c r="I178" s="12"/>
      <c r="J178" s="12"/>
      <c r="K178" s="12"/>
      <c r="L178" s="12"/>
      <c r="M178" s="12"/>
      <c r="N178" s="16"/>
      <c r="O178" s="16"/>
      <c r="P178" s="12"/>
      <c r="Q178" s="12"/>
      <c r="R178" s="12"/>
      <c r="S178" s="12"/>
      <c r="T178" s="16"/>
      <c r="U178" s="41"/>
      <c r="V178" s="41"/>
      <c r="W178" s="41"/>
      <c r="X178" s="41"/>
      <c r="Y178" s="41"/>
      <c r="Z178" s="41"/>
    </row>
    <row r="179" spans="1:26" ht="15.75" customHeight="1" x14ac:dyDescent="0.2">
      <c r="A179" s="16"/>
      <c r="B179" s="43"/>
      <c r="C179" s="43"/>
      <c r="D179" s="16"/>
      <c r="E179" s="16"/>
      <c r="F179" s="16"/>
      <c r="G179" s="12"/>
      <c r="H179" s="12"/>
      <c r="I179" s="12"/>
      <c r="J179" s="12"/>
      <c r="K179" s="12"/>
      <c r="L179" s="12"/>
      <c r="M179" s="12"/>
      <c r="N179" s="16"/>
      <c r="O179" s="16"/>
      <c r="P179" s="12"/>
      <c r="Q179" s="12"/>
      <c r="R179" s="12"/>
      <c r="S179" s="12"/>
      <c r="T179" s="16"/>
      <c r="U179" s="41"/>
      <c r="V179" s="41"/>
      <c r="W179" s="41"/>
      <c r="X179" s="41"/>
      <c r="Y179" s="41"/>
      <c r="Z179" s="41"/>
    </row>
    <row r="180" spans="1:26" ht="15.75" customHeight="1" x14ac:dyDescent="0.2">
      <c r="A180" s="16"/>
      <c r="B180" s="43"/>
      <c r="C180" s="43"/>
      <c r="D180" s="16"/>
      <c r="E180" s="16"/>
      <c r="F180" s="16"/>
      <c r="G180" s="12"/>
      <c r="H180" s="12"/>
      <c r="I180" s="12"/>
      <c r="J180" s="12"/>
      <c r="K180" s="12"/>
      <c r="L180" s="12"/>
      <c r="M180" s="12"/>
      <c r="N180" s="16"/>
      <c r="O180" s="16"/>
      <c r="P180" s="12"/>
      <c r="Q180" s="12"/>
      <c r="R180" s="12"/>
      <c r="S180" s="12"/>
      <c r="T180" s="16"/>
      <c r="U180" s="41"/>
      <c r="V180" s="41"/>
      <c r="W180" s="41"/>
      <c r="X180" s="41"/>
      <c r="Y180" s="41"/>
      <c r="Z180" s="41"/>
    </row>
    <row r="181" spans="1:26" ht="15.75" customHeight="1" x14ac:dyDescent="0.2">
      <c r="A181" s="16"/>
      <c r="B181" s="43"/>
      <c r="C181" s="43"/>
      <c r="D181" s="16"/>
      <c r="E181" s="16"/>
      <c r="F181" s="16"/>
      <c r="G181" s="12"/>
      <c r="H181" s="12"/>
      <c r="I181" s="12"/>
      <c r="J181" s="12"/>
      <c r="K181" s="12"/>
      <c r="L181" s="12"/>
      <c r="M181" s="12"/>
      <c r="N181" s="16"/>
      <c r="O181" s="16"/>
      <c r="P181" s="12"/>
      <c r="Q181" s="12"/>
      <c r="R181" s="12"/>
      <c r="S181" s="12"/>
      <c r="T181" s="16"/>
      <c r="U181" s="41"/>
      <c r="V181" s="41"/>
      <c r="W181" s="41"/>
      <c r="X181" s="41"/>
      <c r="Y181" s="41"/>
      <c r="Z181" s="41"/>
    </row>
    <row r="182" spans="1:26" ht="15.75" customHeight="1" x14ac:dyDescent="0.2">
      <c r="A182" s="16"/>
      <c r="B182" s="43"/>
      <c r="C182" s="43"/>
      <c r="D182" s="16"/>
      <c r="E182" s="16"/>
      <c r="F182" s="16"/>
      <c r="G182" s="12"/>
      <c r="H182" s="12"/>
      <c r="I182" s="12"/>
      <c r="J182" s="12"/>
      <c r="K182" s="12"/>
      <c r="L182" s="12"/>
      <c r="M182" s="12"/>
      <c r="N182" s="16"/>
      <c r="O182" s="16"/>
      <c r="P182" s="12"/>
      <c r="Q182" s="12"/>
      <c r="R182" s="12"/>
      <c r="S182" s="12"/>
      <c r="T182" s="16"/>
      <c r="U182" s="41"/>
      <c r="V182" s="41"/>
      <c r="W182" s="41"/>
      <c r="X182" s="41"/>
      <c r="Y182" s="41"/>
      <c r="Z182" s="41"/>
    </row>
    <row r="183" spans="1:26" ht="15.75" customHeight="1" x14ac:dyDescent="0.2">
      <c r="A183" s="16"/>
      <c r="B183" s="43"/>
      <c r="C183" s="43"/>
      <c r="D183" s="16"/>
      <c r="E183" s="16"/>
      <c r="F183" s="16"/>
      <c r="G183" s="12"/>
      <c r="H183" s="12"/>
      <c r="I183" s="12"/>
      <c r="J183" s="12"/>
      <c r="K183" s="12"/>
      <c r="L183" s="12"/>
      <c r="M183" s="12"/>
      <c r="N183" s="16"/>
      <c r="O183" s="16"/>
      <c r="P183" s="12"/>
      <c r="Q183" s="12"/>
      <c r="R183" s="12"/>
      <c r="S183" s="12"/>
      <c r="T183" s="16"/>
      <c r="U183" s="41"/>
      <c r="V183" s="41"/>
      <c r="W183" s="41"/>
      <c r="X183" s="41"/>
      <c r="Y183" s="41"/>
      <c r="Z183" s="41"/>
    </row>
    <row r="184" spans="1:26" ht="15.75" customHeight="1" x14ac:dyDescent="0.2">
      <c r="A184" s="16"/>
      <c r="B184" s="43"/>
      <c r="C184" s="43"/>
      <c r="D184" s="16"/>
      <c r="E184" s="16"/>
      <c r="F184" s="16"/>
      <c r="G184" s="12"/>
      <c r="H184" s="12"/>
      <c r="I184" s="12"/>
      <c r="J184" s="12"/>
      <c r="K184" s="12"/>
      <c r="L184" s="12"/>
      <c r="M184" s="12"/>
      <c r="N184" s="16"/>
      <c r="O184" s="16"/>
      <c r="P184" s="12"/>
      <c r="Q184" s="12"/>
      <c r="R184" s="12"/>
      <c r="S184" s="12"/>
      <c r="T184" s="16"/>
      <c r="U184" s="41"/>
      <c r="V184" s="41"/>
      <c r="W184" s="41"/>
      <c r="X184" s="41"/>
      <c r="Y184" s="41"/>
      <c r="Z184" s="41"/>
    </row>
    <row r="185" spans="1:26" ht="15.75" customHeight="1" x14ac:dyDescent="0.2">
      <c r="A185" s="16"/>
      <c r="B185" s="43"/>
      <c r="C185" s="43"/>
      <c r="D185" s="16"/>
      <c r="E185" s="16"/>
      <c r="F185" s="16"/>
      <c r="G185" s="12"/>
      <c r="H185" s="12"/>
      <c r="I185" s="12"/>
      <c r="J185" s="12"/>
      <c r="K185" s="12"/>
      <c r="L185" s="12"/>
      <c r="M185" s="12"/>
      <c r="N185" s="16"/>
      <c r="O185" s="16"/>
      <c r="P185" s="12"/>
      <c r="Q185" s="12"/>
      <c r="R185" s="12"/>
      <c r="S185" s="12"/>
      <c r="T185" s="16"/>
      <c r="U185" s="41"/>
      <c r="V185" s="41"/>
      <c r="W185" s="41"/>
      <c r="X185" s="41"/>
      <c r="Y185" s="41"/>
      <c r="Z185" s="41"/>
    </row>
    <row r="186" spans="1:26" ht="15.75" customHeight="1" x14ac:dyDescent="0.2">
      <c r="A186" s="16"/>
      <c r="B186" s="43"/>
      <c r="C186" s="43"/>
      <c r="D186" s="16"/>
      <c r="E186" s="16"/>
      <c r="F186" s="16"/>
      <c r="G186" s="12"/>
      <c r="H186" s="12"/>
      <c r="I186" s="12"/>
      <c r="J186" s="12"/>
      <c r="K186" s="12"/>
      <c r="L186" s="12"/>
      <c r="M186" s="12"/>
      <c r="N186" s="16"/>
      <c r="O186" s="16"/>
      <c r="P186" s="12"/>
      <c r="Q186" s="12"/>
      <c r="R186" s="12"/>
      <c r="S186" s="12"/>
      <c r="T186" s="16"/>
      <c r="U186" s="41"/>
      <c r="V186" s="41"/>
      <c r="W186" s="41"/>
      <c r="X186" s="41"/>
      <c r="Y186" s="41"/>
      <c r="Z186" s="41"/>
    </row>
    <row r="187" spans="1:26" ht="15.75" customHeight="1" x14ac:dyDescent="0.2">
      <c r="A187" s="16"/>
      <c r="B187" s="43"/>
      <c r="C187" s="43"/>
      <c r="D187" s="16"/>
      <c r="E187" s="16"/>
      <c r="F187" s="16"/>
      <c r="G187" s="12"/>
      <c r="H187" s="12"/>
      <c r="I187" s="12"/>
      <c r="J187" s="12"/>
      <c r="K187" s="12"/>
      <c r="L187" s="12"/>
      <c r="M187" s="12"/>
      <c r="N187" s="16"/>
      <c r="O187" s="16"/>
      <c r="P187" s="12"/>
      <c r="Q187" s="12"/>
      <c r="R187" s="12"/>
      <c r="S187" s="12"/>
      <c r="T187" s="16"/>
      <c r="U187" s="41"/>
      <c r="V187" s="41"/>
      <c r="W187" s="41"/>
      <c r="X187" s="41"/>
      <c r="Y187" s="41"/>
      <c r="Z187" s="41"/>
    </row>
    <row r="188" spans="1:26" ht="15.75" customHeight="1" x14ac:dyDescent="0.2">
      <c r="A188" s="16"/>
      <c r="B188" s="43"/>
      <c r="C188" s="43"/>
      <c r="D188" s="16"/>
      <c r="E188" s="16"/>
      <c r="F188" s="16"/>
      <c r="G188" s="12"/>
      <c r="H188" s="12"/>
      <c r="I188" s="12"/>
      <c r="J188" s="12"/>
      <c r="K188" s="12"/>
      <c r="L188" s="12"/>
      <c r="M188" s="12"/>
      <c r="N188" s="16"/>
      <c r="O188" s="16"/>
      <c r="P188" s="12"/>
      <c r="Q188" s="12"/>
      <c r="R188" s="12"/>
      <c r="S188" s="12"/>
      <c r="T188" s="16"/>
      <c r="U188" s="41"/>
      <c r="V188" s="41"/>
      <c r="W188" s="41"/>
      <c r="X188" s="41"/>
      <c r="Y188" s="41"/>
      <c r="Z188" s="41"/>
    </row>
    <row r="189" spans="1:26" ht="15.75" customHeight="1" x14ac:dyDescent="0.2">
      <c r="A189" s="16"/>
      <c r="B189" s="43"/>
      <c r="C189" s="43"/>
      <c r="D189" s="16"/>
      <c r="E189" s="16"/>
      <c r="F189" s="16"/>
      <c r="G189" s="12"/>
      <c r="H189" s="12"/>
      <c r="I189" s="12"/>
      <c r="J189" s="12"/>
      <c r="K189" s="12"/>
      <c r="L189" s="12"/>
      <c r="M189" s="12"/>
      <c r="N189" s="16"/>
      <c r="O189" s="16"/>
      <c r="P189" s="12"/>
      <c r="Q189" s="12"/>
      <c r="R189" s="12"/>
      <c r="S189" s="12"/>
      <c r="T189" s="16"/>
      <c r="U189" s="41"/>
      <c r="V189" s="41"/>
      <c r="W189" s="41"/>
      <c r="X189" s="41"/>
      <c r="Y189" s="41"/>
      <c r="Z189" s="41"/>
    </row>
    <row r="190" spans="1:26" ht="15.75" customHeight="1" x14ac:dyDescent="0.2">
      <c r="A190" s="16"/>
      <c r="B190" s="43"/>
      <c r="C190" s="43"/>
      <c r="D190" s="16"/>
      <c r="E190" s="16"/>
      <c r="F190" s="16"/>
      <c r="G190" s="12"/>
      <c r="H190" s="12"/>
      <c r="I190" s="12"/>
      <c r="J190" s="12"/>
      <c r="K190" s="12"/>
      <c r="L190" s="12"/>
      <c r="M190" s="12"/>
      <c r="N190" s="16"/>
      <c r="O190" s="16"/>
      <c r="P190" s="12"/>
      <c r="Q190" s="12"/>
      <c r="R190" s="12"/>
      <c r="S190" s="12"/>
      <c r="T190" s="16"/>
      <c r="U190" s="41"/>
      <c r="V190" s="41"/>
      <c r="W190" s="41"/>
      <c r="X190" s="41"/>
      <c r="Y190" s="41"/>
      <c r="Z190" s="41"/>
    </row>
    <row r="191" spans="1:26" ht="15.75" customHeight="1" x14ac:dyDescent="0.2">
      <c r="A191" s="16"/>
      <c r="B191" s="43"/>
      <c r="C191" s="43"/>
      <c r="D191" s="16"/>
      <c r="E191" s="16"/>
      <c r="F191" s="16"/>
      <c r="G191" s="12"/>
      <c r="H191" s="12"/>
      <c r="I191" s="12"/>
      <c r="J191" s="12"/>
      <c r="K191" s="12"/>
      <c r="L191" s="12"/>
      <c r="M191" s="12"/>
      <c r="N191" s="16"/>
      <c r="O191" s="16"/>
      <c r="P191" s="12"/>
      <c r="Q191" s="12"/>
      <c r="R191" s="12"/>
      <c r="S191" s="12"/>
      <c r="T191" s="16"/>
      <c r="U191" s="41"/>
      <c r="V191" s="41"/>
      <c r="W191" s="41"/>
      <c r="X191" s="41"/>
      <c r="Y191" s="41"/>
      <c r="Z191" s="41"/>
    </row>
    <row r="192" spans="1:26" ht="15.75" customHeight="1" x14ac:dyDescent="0.2">
      <c r="A192" s="16"/>
      <c r="B192" s="43"/>
      <c r="C192" s="43"/>
      <c r="D192" s="16"/>
      <c r="E192" s="16"/>
      <c r="F192" s="16"/>
      <c r="G192" s="12"/>
      <c r="H192" s="12"/>
      <c r="I192" s="12"/>
      <c r="J192" s="12"/>
      <c r="K192" s="12"/>
      <c r="L192" s="12"/>
      <c r="M192" s="12"/>
      <c r="N192" s="16"/>
      <c r="O192" s="16"/>
      <c r="P192" s="12"/>
      <c r="Q192" s="12"/>
      <c r="R192" s="12"/>
      <c r="S192" s="12"/>
      <c r="T192" s="16"/>
      <c r="U192" s="41"/>
      <c r="V192" s="41"/>
      <c r="W192" s="41"/>
      <c r="X192" s="41"/>
      <c r="Y192" s="41"/>
      <c r="Z192" s="41"/>
    </row>
    <row r="193" spans="1:26" ht="15.75" customHeight="1" x14ac:dyDescent="0.2">
      <c r="A193" s="16"/>
      <c r="B193" s="43"/>
      <c r="C193" s="43"/>
      <c r="D193" s="16"/>
      <c r="E193" s="16"/>
      <c r="F193" s="16"/>
      <c r="G193" s="12"/>
      <c r="H193" s="12"/>
      <c r="I193" s="12"/>
      <c r="J193" s="12"/>
      <c r="K193" s="12"/>
      <c r="L193" s="12"/>
      <c r="M193" s="12"/>
      <c r="N193" s="16"/>
      <c r="O193" s="16"/>
      <c r="P193" s="12"/>
      <c r="Q193" s="12"/>
      <c r="R193" s="12"/>
      <c r="S193" s="12"/>
      <c r="T193" s="16"/>
      <c r="U193" s="41"/>
      <c r="V193" s="41"/>
      <c r="W193" s="41"/>
      <c r="X193" s="41"/>
      <c r="Y193" s="41"/>
      <c r="Z193" s="41"/>
    </row>
    <row r="194" spans="1:26" ht="15.75" customHeight="1" x14ac:dyDescent="0.2">
      <c r="A194" s="16"/>
      <c r="B194" s="43"/>
      <c r="C194" s="43"/>
      <c r="D194" s="16"/>
      <c r="E194" s="16"/>
      <c r="F194" s="16"/>
      <c r="G194" s="12"/>
      <c r="H194" s="12"/>
      <c r="I194" s="12"/>
      <c r="J194" s="12"/>
      <c r="K194" s="12"/>
      <c r="L194" s="12"/>
      <c r="M194" s="12"/>
      <c r="N194" s="16"/>
      <c r="O194" s="16"/>
      <c r="P194" s="12"/>
      <c r="Q194" s="12"/>
      <c r="R194" s="12"/>
      <c r="S194" s="12"/>
      <c r="T194" s="16"/>
      <c r="U194" s="41"/>
      <c r="V194" s="41"/>
      <c r="W194" s="41"/>
      <c r="X194" s="41"/>
      <c r="Y194" s="41"/>
      <c r="Z194" s="41"/>
    </row>
    <row r="195" spans="1:26" ht="15.75" customHeight="1" x14ac:dyDescent="0.2">
      <c r="A195" s="16"/>
      <c r="B195" s="43"/>
      <c r="C195" s="43"/>
      <c r="D195" s="16"/>
      <c r="E195" s="16"/>
      <c r="F195" s="16"/>
      <c r="G195" s="12"/>
      <c r="H195" s="12"/>
      <c r="I195" s="12"/>
      <c r="J195" s="12"/>
      <c r="K195" s="12"/>
      <c r="L195" s="12"/>
      <c r="M195" s="12"/>
      <c r="N195" s="16"/>
      <c r="O195" s="16"/>
      <c r="P195" s="12"/>
      <c r="Q195" s="12"/>
      <c r="R195" s="12"/>
      <c r="S195" s="12"/>
      <c r="T195" s="16"/>
      <c r="U195" s="41"/>
      <c r="V195" s="41"/>
      <c r="W195" s="41"/>
      <c r="X195" s="41"/>
      <c r="Y195" s="41"/>
      <c r="Z195" s="41"/>
    </row>
    <row r="196" spans="1:26" ht="15.75" customHeight="1" x14ac:dyDescent="0.2">
      <c r="A196" s="16"/>
      <c r="B196" s="43"/>
      <c r="C196" s="43"/>
      <c r="D196" s="16"/>
      <c r="E196" s="16"/>
      <c r="F196" s="16"/>
      <c r="G196" s="12"/>
      <c r="H196" s="12"/>
      <c r="I196" s="12"/>
      <c r="J196" s="12"/>
      <c r="K196" s="12"/>
      <c r="L196" s="12"/>
      <c r="M196" s="12"/>
      <c r="N196" s="16"/>
      <c r="O196" s="16"/>
      <c r="P196" s="12"/>
      <c r="Q196" s="12"/>
      <c r="R196" s="12"/>
      <c r="S196" s="12"/>
      <c r="T196" s="16"/>
      <c r="U196" s="41"/>
      <c r="V196" s="41"/>
      <c r="W196" s="41"/>
      <c r="X196" s="41"/>
      <c r="Y196" s="41"/>
      <c r="Z196" s="41"/>
    </row>
    <row r="197" spans="1:26" ht="15.75" customHeight="1" x14ac:dyDescent="0.2">
      <c r="A197" s="16"/>
      <c r="B197" s="43"/>
      <c r="C197" s="43"/>
      <c r="D197" s="16"/>
      <c r="E197" s="16"/>
      <c r="F197" s="16"/>
      <c r="G197" s="12"/>
      <c r="H197" s="12"/>
      <c r="I197" s="12"/>
      <c r="J197" s="12"/>
      <c r="K197" s="12"/>
      <c r="L197" s="12"/>
      <c r="M197" s="12"/>
      <c r="N197" s="16"/>
      <c r="O197" s="16"/>
      <c r="P197" s="12"/>
      <c r="Q197" s="12"/>
      <c r="R197" s="12"/>
      <c r="S197" s="12"/>
      <c r="T197" s="16"/>
      <c r="U197" s="41"/>
      <c r="V197" s="41"/>
      <c r="W197" s="41"/>
      <c r="X197" s="41"/>
      <c r="Y197" s="41"/>
      <c r="Z197" s="41"/>
    </row>
    <row r="198" spans="1:26" ht="15.75" customHeight="1" x14ac:dyDescent="0.2">
      <c r="A198" s="16"/>
      <c r="B198" s="43"/>
      <c r="C198" s="43"/>
      <c r="D198" s="16"/>
      <c r="E198" s="16"/>
      <c r="F198" s="16"/>
      <c r="G198" s="12"/>
      <c r="H198" s="12"/>
      <c r="I198" s="12"/>
      <c r="J198" s="12"/>
      <c r="K198" s="12"/>
      <c r="L198" s="12"/>
      <c r="M198" s="12"/>
      <c r="N198" s="16"/>
      <c r="O198" s="16"/>
      <c r="P198" s="12"/>
      <c r="Q198" s="12"/>
      <c r="R198" s="12"/>
      <c r="S198" s="12"/>
      <c r="T198" s="16"/>
      <c r="U198" s="41"/>
      <c r="V198" s="41"/>
      <c r="W198" s="41"/>
      <c r="X198" s="41"/>
      <c r="Y198" s="41"/>
      <c r="Z198" s="41"/>
    </row>
    <row r="199" spans="1:26" ht="15.75" customHeight="1" x14ac:dyDescent="0.2">
      <c r="A199" s="16"/>
      <c r="B199" s="43"/>
      <c r="C199" s="43"/>
      <c r="D199" s="16"/>
      <c r="E199" s="16"/>
      <c r="F199" s="16"/>
      <c r="G199" s="12"/>
      <c r="H199" s="12"/>
      <c r="I199" s="12"/>
      <c r="J199" s="12"/>
      <c r="K199" s="12"/>
      <c r="L199" s="12"/>
      <c r="M199" s="12"/>
      <c r="N199" s="16"/>
      <c r="O199" s="16"/>
      <c r="P199" s="12"/>
      <c r="Q199" s="12"/>
      <c r="R199" s="12"/>
      <c r="S199" s="12"/>
      <c r="T199" s="16"/>
      <c r="U199" s="41"/>
      <c r="V199" s="41"/>
      <c r="W199" s="41"/>
      <c r="X199" s="41"/>
      <c r="Y199" s="41"/>
      <c r="Z199" s="41"/>
    </row>
    <row r="200" spans="1:26" ht="15.75" customHeight="1" x14ac:dyDescent="0.2">
      <c r="A200" s="16"/>
      <c r="B200" s="43"/>
      <c r="C200" s="43"/>
      <c r="D200" s="16"/>
      <c r="E200" s="16"/>
      <c r="F200" s="16"/>
      <c r="G200" s="12"/>
      <c r="H200" s="12"/>
      <c r="I200" s="12"/>
      <c r="J200" s="12"/>
      <c r="K200" s="12"/>
      <c r="L200" s="12"/>
      <c r="M200" s="12"/>
      <c r="N200" s="16"/>
      <c r="O200" s="16"/>
      <c r="P200" s="12"/>
      <c r="Q200" s="12"/>
      <c r="R200" s="12"/>
      <c r="S200" s="12"/>
      <c r="T200" s="16"/>
      <c r="U200" s="41"/>
      <c r="V200" s="41"/>
      <c r="W200" s="41"/>
      <c r="X200" s="41"/>
      <c r="Y200" s="41"/>
      <c r="Z200" s="41"/>
    </row>
    <row r="201" spans="1:26" ht="15.75" customHeight="1" x14ac:dyDescent="0.2">
      <c r="A201" s="16"/>
      <c r="B201" s="43"/>
      <c r="C201" s="43"/>
      <c r="D201" s="16"/>
      <c r="E201" s="16"/>
      <c r="F201" s="16"/>
      <c r="G201" s="12"/>
      <c r="H201" s="12"/>
      <c r="I201" s="12"/>
      <c r="J201" s="12"/>
      <c r="K201" s="12"/>
      <c r="L201" s="12"/>
      <c r="M201" s="12"/>
      <c r="N201" s="16"/>
      <c r="O201" s="16"/>
      <c r="P201" s="12"/>
      <c r="Q201" s="12"/>
      <c r="R201" s="12"/>
      <c r="S201" s="12"/>
      <c r="T201" s="16"/>
      <c r="U201" s="41"/>
      <c r="V201" s="41"/>
      <c r="W201" s="41"/>
      <c r="X201" s="41"/>
      <c r="Y201" s="41"/>
      <c r="Z201" s="41"/>
    </row>
    <row r="202" spans="1:26" ht="15.75" customHeight="1" x14ac:dyDescent="0.2">
      <c r="A202" s="16"/>
      <c r="B202" s="43"/>
      <c r="C202" s="43"/>
      <c r="D202" s="16"/>
      <c r="E202" s="16"/>
      <c r="F202" s="16"/>
      <c r="G202" s="12"/>
      <c r="H202" s="12"/>
      <c r="I202" s="12"/>
      <c r="J202" s="12"/>
      <c r="K202" s="12"/>
      <c r="L202" s="12"/>
      <c r="M202" s="12"/>
      <c r="N202" s="16"/>
      <c r="O202" s="16"/>
      <c r="P202" s="12"/>
      <c r="Q202" s="12"/>
      <c r="R202" s="12"/>
      <c r="S202" s="12"/>
      <c r="T202" s="16"/>
      <c r="U202" s="41"/>
      <c r="V202" s="41"/>
      <c r="W202" s="41"/>
      <c r="X202" s="41"/>
      <c r="Y202" s="41"/>
      <c r="Z202" s="41"/>
    </row>
    <row r="203" spans="1:26" ht="15.75" customHeight="1" x14ac:dyDescent="0.2">
      <c r="A203" s="16"/>
      <c r="B203" s="43"/>
      <c r="C203" s="43"/>
      <c r="D203" s="16"/>
      <c r="E203" s="16"/>
      <c r="F203" s="16"/>
      <c r="G203" s="12"/>
      <c r="H203" s="12"/>
      <c r="I203" s="12"/>
      <c r="J203" s="12"/>
      <c r="K203" s="12"/>
      <c r="L203" s="12"/>
      <c r="M203" s="12"/>
      <c r="N203" s="16"/>
      <c r="O203" s="16"/>
      <c r="P203" s="12"/>
      <c r="Q203" s="12"/>
      <c r="R203" s="12"/>
      <c r="S203" s="12"/>
      <c r="T203" s="16"/>
      <c r="U203" s="41"/>
      <c r="V203" s="41"/>
      <c r="W203" s="41"/>
      <c r="X203" s="41"/>
      <c r="Y203" s="41"/>
      <c r="Z203" s="41"/>
    </row>
    <row r="204" spans="1:26" ht="15.75" customHeight="1" x14ac:dyDescent="0.2">
      <c r="A204" s="16"/>
      <c r="B204" s="43"/>
      <c r="C204" s="43"/>
      <c r="D204" s="16"/>
      <c r="E204" s="16"/>
      <c r="F204" s="16"/>
      <c r="G204" s="12"/>
      <c r="H204" s="12"/>
      <c r="I204" s="12"/>
      <c r="J204" s="12"/>
      <c r="K204" s="12"/>
      <c r="L204" s="12"/>
      <c r="M204" s="12"/>
      <c r="N204" s="16"/>
      <c r="O204" s="16"/>
      <c r="P204" s="12"/>
      <c r="Q204" s="12"/>
      <c r="R204" s="12"/>
      <c r="S204" s="12"/>
      <c r="T204" s="16"/>
      <c r="U204" s="41"/>
      <c r="V204" s="41"/>
      <c r="W204" s="41"/>
      <c r="X204" s="41"/>
      <c r="Y204" s="41"/>
      <c r="Z204" s="41"/>
    </row>
    <row r="205" spans="1:26" ht="15.75" customHeight="1" x14ac:dyDescent="0.2">
      <c r="A205" s="16"/>
      <c r="B205" s="43"/>
      <c r="C205" s="43"/>
      <c r="D205" s="16"/>
      <c r="E205" s="16"/>
      <c r="F205" s="16"/>
      <c r="G205" s="12"/>
      <c r="H205" s="12"/>
      <c r="I205" s="12"/>
      <c r="J205" s="12"/>
      <c r="K205" s="12"/>
      <c r="L205" s="12"/>
      <c r="M205" s="12"/>
      <c r="N205" s="16"/>
      <c r="O205" s="16"/>
      <c r="P205" s="12"/>
      <c r="Q205" s="12"/>
      <c r="R205" s="12"/>
      <c r="S205" s="12"/>
      <c r="T205" s="16"/>
      <c r="U205" s="41"/>
      <c r="V205" s="41"/>
      <c r="W205" s="41"/>
      <c r="X205" s="41"/>
      <c r="Y205" s="41"/>
      <c r="Z205" s="41"/>
    </row>
    <row r="206" spans="1:26" ht="15.75" customHeight="1" x14ac:dyDescent="0.2">
      <c r="A206" s="16"/>
      <c r="B206" s="43"/>
      <c r="C206" s="43"/>
      <c r="D206" s="16"/>
      <c r="E206" s="16"/>
      <c r="F206" s="16"/>
      <c r="G206" s="12"/>
      <c r="H206" s="12"/>
      <c r="I206" s="12"/>
      <c r="J206" s="12"/>
      <c r="K206" s="12"/>
      <c r="L206" s="12"/>
      <c r="M206" s="12"/>
      <c r="N206" s="16"/>
      <c r="O206" s="16"/>
      <c r="P206" s="12"/>
      <c r="Q206" s="12"/>
      <c r="R206" s="12"/>
      <c r="S206" s="12"/>
      <c r="T206" s="16"/>
      <c r="U206" s="41"/>
      <c r="V206" s="41"/>
      <c r="W206" s="41"/>
      <c r="X206" s="41"/>
      <c r="Y206" s="41"/>
      <c r="Z206" s="41"/>
    </row>
    <row r="207" spans="1:26" ht="15.75" customHeight="1" x14ac:dyDescent="0.2">
      <c r="A207" s="16"/>
      <c r="B207" s="43"/>
      <c r="C207" s="43"/>
      <c r="D207" s="16"/>
      <c r="E207" s="16"/>
      <c r="F207" s="16"/>
      <c r="G207" s="12"/>
      <c r="H207" s="12"/>
      <c r="I207" s="12"/>
      <c r="J207" s="12"/>
      <c r="K207" s="12"/>
      <c r="L207" s="12"/>
      <c r="M207" s="12"/>
      <c r="N207" s="16"/>
      <c r="O207" s="16"/>
      <c r="P207" s="12"/>
      <c r="Q207" s="12"/>
      <c r="R207" s="12"/>
      <c r="S207" s="12"/>
      <c r="T207" s="16"/>
      <c r="U207" s="41"/>
      <c r="V207" s="41"/>
      <c r="W207" s="41"/>
      <c r="X207" s="41"/>
      <c r="Y207" s="41"/>
      <c r="Z207" s="41"/>
    </row>
    <row r="208" spans="1:26" ht="15.75" customHeight="1" x14ac:dyDescent="0.2">
      <c r="A208" s="16"/>
      <c r="B208" s="43"/>
      <c r="C208" s="43"/>
      <c r="D208" s="16"/>
      <c r="E208" s="16"/>
      <c r="F208" s="16"/>
      <c r="G208" s="12"/>
      <c r="H208" s="12"/>
      <c r="I208" s="12"/>
      <c r="J208" s="12"/>
      <c r="K208" s="12"/>
      <c r="L208" s="12"/>
      <c r="M208" s="12"/>
      <c r="N208" s="16"/>
      <c r="O208" s="16"/>
      <c r="P208" s="12"/>
      <c r="Q208" s="12"/>
      <c r="R208" s="12"/>
      <c r="S208" s="12"/>
      <c r="T208" s="16"/>
      <c r="U208" s="41"/>
      <c r="V208" s="41"/>
      <c r="W208" s="41"/>
      <c r="X208" s="41"/>
      <c r="Y208" s="41"/>
      <c r="Z208" s="41"/>
    </row>
    <row r="209" spans="1:26" ht="15.75" customHeight="1" x14ac:dyDescent="0.2">
      <c r="A209" s="16"/>
      <c r="B209" s="43"/>
      <c r="C209" s="43"/>
      <c r="D209" s="16"/>
      <c r="E209" s="16"/>
      <c r="F209" s="16"/>
      <c r="G209" s="12"/>
      <c r="H209" s="12"/>
      <c r="I209" s="12"/>
      <c r="J209" s="12"/>
      <c r="K209" s="12"/>
      <c r="L209" s="12"/>
      <c r="M209" s="12"/>
      <c r="N209" s="16"/>
      <c r="O209" s="16"/>
      <c r="P209" s="12"/>
      <c r="Q209" s="12"/>
      <c r="R209" s="12"/>
      <c r="S209" s="12"/>
      <c r="T209" s="16"/>
      <c r="U209" s="41"/>
      <c r="V209" s="41"/>
      <c r="W209" s="41"/>
      <c r="X209" s="41"/>
      <c r="Y209" s="41"/>
      <c r="Z209" s="41"/>
    </row>
    <row r="210" spans="1:26" ht="15.75" customHeight="1" x14ac:dyDescent="0.2">
      <c r="A210" s="16"/>
      <c r="B210" s="43"/>
      <c r="C210" s="43"/>
      <c r="D210" s="16"/>
      <c r="E210" s="16"/>
      <c r="F210" s="16"/>
      <c r="G210" s="12"/>
      <c r="H210" s="12"/>
      <c r="I210" s="12"/>
      <c r="J210" s="12"/>
      <c r="K210" s="12"/>
      <c r="L210" s="12"/>
      <c r="M210" s="12"/>
      <c r="N210" s="16"/>
      <c r="O210" s="16"/>
      <c r="P210" s="12"/>
      <c r="Q210" s="12"/>
      <c r="R210" s="12"/>
      <c r="S210" s="12"/>
      <c r="T210" s="16"/>
      <c r="U210" s="41"/>
      <c r="V210" s="41"/>
      <c r="W210" s="41"/>
      <c r="X210" s="41"/>
      <c r="Y210" s="41"/>
      <c r="Z210" s="41"/>
    </row>
    <row r="211" spans="1:26" ht="15.75" customHeight="1" x14ac:dyDescent="0.2">
      <c r="A211" s="16"/>
      <c r="B211" s="43"/>
      <c r="C211" s="43"/>
      <c r="D211" s="16"/>
      <c r="E211" s="16"/>
      <c r="F211" s="16"/>
      <c r="G211" s="12"/>
      <c r="H211" s="12"/>
      <c r="I211" s="12"/>
      <c r="J211" s="12"/>
      <c r="K211" s="12"/>
      <c r="L211" s="12"/>
      <c r="M211" s="12"/>
      <c r="N211" s="16"/>
      <c r="O211" s="16"/>
      <c r="P211" s="12"/>
      <c r="Q211" s="12"/>
      <c r="R211" s="12"/>
      <c r="S211" s="12"/>
      <c r="T211" s="16"/>
      <c r="U211" s="41"/>
      <c r="V211" s="41"/>
      <c r="W211" s="41"/>
      <c r="X211" s="41"/>
      <c r="Y211" s="41"/>
      <c r="Z211" s="41"/>
    </row>
    <row r="212" spans="1:26" ht="15.75" customHeight="1" x14ac:dyDescent="0.2">
      <c r="A212" s="16"/>
      <c r="B212" s="43"/>
      <c r="C212" s="43"/>
      <c r="D212" s="16"/>
      <c r="E212" s="16"/>
      <c r="F212" s="16"/>
      <c r="G212" s="12"/>
      <c r="H212" s="12"/>
      <c r="I212" s="12"/>
      <c r="J212" s="12"/>
      <c r="K212" s="12"/>
      <c r="L212" s="12"/>
      <c r="M212" s="12"/>
      <c r="N212" s="16"/>
      <c r="O212" s="16"/>
      <c r="P212" s="12"/>
      <c r="Q212" s="12"/>
      <c r="R212" s="12"/>
      <c r="S212" s="12"/>
      <c r="T212" s="16"/>
      <c r="U212" s="41"/>
      <c r="V212" s="41"/>
      <c r="W212" s="41"/>
      <c r="X212" s="41"/>
      <c r="Y212" s="41"/>
      <c r="Z212" s="41"/>
    </row>
    <row r="213" spans="1:26" ht="15.75" customHeight="1" x14ac:dyDescent="0.2">
      <c r="A213" s="16"/>
      <c r="B213" s="43"/>
      <c r="C213" s="43"/>
      <c r="D213" s="16"/>
      <c r="E213" s="16"/>
      <c r="F213" s="16"/>
      <c r="G213" s="12"/>
      <c r="H213" s="12"/>
      <c r="I213" s="12"/>
      <c r="J213" s="12"/>
      <c r="K213" s="12"/>
      <c r="L213" s="12"/>
      <c r="M213" s="12"/>
      <c r="N213" s="16"/>
      <c r="O213" s="16"/>
      <c r="P213" s="12"/>
      <c r="Q213" s="12"/>
      <c r="R213" s="12"/>
      <c r="S213" s="12"/>
      <c r="T213" s="16"/>
      <c r="U213" s="41"/>
      <c r="V213" s="41"/>
      <c r="W213" s="41"/>
      <c r="X213" s="41"/>
      <c r="Y213" s="41"/>
      <c r="Z213" s="41"/>
    </row>
    <row r="214" spans="1:26" ht="15.75" customHeight="1" x14ac:dyDescent="0.2">
      <c r="A214" s="16"/>
      <c r="B214" s="43"/>
      <c r="C214" s="43"/>
      <c r="D214" s="16"/>
      <c r="E214" s="16"/>
      <c r="F214" s="16"/>
      <c r="G214" s="12"/>
      <c r="H214" s="12"/>
      <c r="I214" s="12"/>
      <c r="J214" s="12"/>
      <c r="K214" s="12"/>
      <c r="L214" s="12"/>
      <c r="M214" s="12"/>
      <c r="N214" s="16"/>
      <c r="O214" s="16"/>
      <c r="P214" s="12"/>
      <c r="Q214" s="12"/>
      <c r="R214" s="12"/>
      <c r="S214" s="12"/>
      <c r="T214" s="16"/>
      <c r="U214" s="41"/>
      <c r="V214" s="41"/>
      <c r="W214" s="41"/>
      <c r="X214" s="41"/>
      <c r="Y214" s="41"/>
      <c r="Z214" s="41"/>
    </row>
    <row r="215" spans="1:26" ht="15.75" customHeight="1" x14ac:dyDescent="0.2">
      <c r="A215" s="16"/>
      <c r="B215" s="43"/>
      <c r="C215" s="43"/>
      <c r="D215" s="16"/>
      <c r="E215" s="16"/>
      <c r="F215" s="16"/>
      <c r="G215" s="12"/>
      <c r="H215" s="12"/>
      <c r="I215" s="12"/>
      <c r="J215" s="12"/>
      <c r="K215" s="12"/>
      <c r="L215" s="12"/>
      <c r="M215" s="12"/>
      <c r="N215" s="16"/>
      <c r="O215" s="16"/>
      <c r="P215" s="12"/>
      <c r="Q215" s="12"/>
      <c r="R215" s="12"/>
      <c r="S215" s="12"/>
      <c r="T215" s="16"/>
      <c r="U215" s="41"/>
      <c r="V215" s="41"/>
      <c r="W215" s="41"/>
      <c r="X215" s="41"/>
      <c r="Y215" s="41"/>
      <c r="Z215" s="41"/>
    </row>
    <row r="216" spans="1:26" ht="15.75" customHeight="1" x14ac:dyDescent="0.2">
      <c r="A216" s="16"/>
      <c r="B216" s="43"/>
      <c r="C216" s="43"/>
      <c r="D216" s="16"/>
      <c r="E216" s="16"/>
      <c r="F216" s="16"/>
      <c r="G216" s="12"/>
      <c r="H216" s="12"/>
      <c r="I216" s="12"/>
      <c r="J216" s="12"/>
      <c r="K216" s="12"/>
      <c r="L216" s="12"/>
      <c r="M216" s="12"/>
      <c r="N216" s="16"/>
      <c r="O216" s="16"/>
      <c r="P216" s="12"/>
      <c r="Q216" s="12"/>
      <c r="R216" s="12"/>
      <c r="S216" s="12"/>
      <c r="T216" s="16"/>
      <c r="U216" s="41"/>
      <c r="V216" s="41"/>
      <c r="W216" s="41"/>
      <c r="X216" s="41"/>
      <c r="Y216" s="41"/>
      <c r="Z216" s="41"/>
    </row>
    <row r="217" spans="1:26" ht="15.75" customHeight="1" x14ac:dyDescent="0.2">
      <c r="A217" s="16"/>
      <c r="B217" s="43"/>
      <c r="C217" s="43"/>
      <c r="D217" s="16"/>
      <c r="E217" s="16"/>
      <c r="F217" s="16"/>
      <c r="G217" s="12"/>
      <c r="H217" s="12"/>
      <c r="I217" s="12"/>
      <c r="J217" s="12"/>
      <c r="K217" s="12"/>
      <c r="L217" s="12"/>
      <c r="M217" s="12"/>
      <c r="N217" s="16"/>
      <c r="O217" s="16"/>
      <c r="P217" s="12"/>
      <c r="Q217" s="12"/>
      <c r="R217" s="12"/>
      <c r="S217" s="12"/>
      <c r="T217" s="16"/>
      <c r="U217" s="41"/>
      <c r="V217" s="41"/>
      <c r="W217" s="41"/>
      <c r="X217" s="41"/>
      <c r="Y217" s="41"/>
      <c r="Z217" s="41"/>
    </row>
    <row r="218" spans="1:26" ht="15.75" customHeight="1" x14ac:dyDescent="0.2">
      <c r="A218" s="16"/>
      <c r="B218" s="43"/>
      <c r="C218" s="43"/>
      <c r="D218" s="16"/>
      <c r="E218" s="16"/>
      <c r="F218" s="16"/>
      <c r="G218" s="12"/>
      <c r="H218" s="12"/>
      <c r="I218" s="12"/>
      <c r="J218" s="12"/>
      <c r="K218" s="12"/>
      <c r="L218" s="12"/>
      <c r="M218" s="12"/>
      <c r="N218" s="16"/>
      <c r="O218" s="16"/>
      <c r="P218" s="12"/>
      <c r="Q218" s="12"/>
      <c r="R218" s="12"/>
      <c r="S218" s="12"/>
      <c r="T218" s="16"/>
      <c r="U218" s="41"/>
      <c r="V218" s="41"/>
      <c r="W218" s="41"/>
      <c r="X218" s="41"/>
      <c r="Y218" s="41"/>
      <c r="Z218" s="41"/>
    </row>
    <row r="219" spans="1:26" ht="15.75" customHeight="1" x14ac:dyDescent="0.2">
      <c r="A219" s="16"/>
      <c r="B219" s="43"/>
      <c r="C219" s="43"/>
      <c r="D219" s="16"/>
      <c r="E219" s="16"/>
      <c r="F219" s="16"/>
      <c r="G219" s="12"/>
      <c r="H219" s="12"/>
      <c r="I219" s="12"/>
      <c r="J219" s="12"/>
      <c r="K219" s="12"/>
      <c r="L219" s="12"/>
      <c r="M219" s="12"/>
      <c r="N219" s="16"/>
      <c r="O219" s="16"/>
      <c r="P219" s="12"/>
      <c r="Q219" s="12"/>
      <c r="R219" s="12"/>
      <c r="S219" s="12"/>
      <c r="T219" s="16"/>
      <c r="U219" s="41"/>
      <c r="V219" s="41"/>
      <c r="W219" s="41"/>
      <c r="X219" s="41"/>
      <c r="Y219" s="41"/>
      <c r="Z219" s="41"/>
    </row>
    <row r="220" spans="1:26" ht="15.75" customHeight="1" x14ac:dyDescent="0.2">
      <c r="A220" s="16"/>
      <c r="B220" s="43"/>
      <c r="C220" s="43"/>
      <c r="D220" s="16"/>
      <c r="E220" s="16"/>
      <c r="F220" s="16"/>
      <c r="G220" s="12"/>
      <c r="H220" s="12"/>
      <c r="I220" s="12"/>
      <c r="J220" s="12"/>
      <c r="K220" s="12"/>
      <c r="L220" s="12"/>
      <c r="M220" s="12"/>
      <c r="N220" s="16"/>
      <c r="O220" s="16"/>
      <c r="P220" s="12"/>
      <c r="Q220" s="12"/>
      <c r="R220" s="12"/>
      <c r="S220" s="12"/>
      <c r="T220" s="16"/>
      <c r="U220" s="41"/>
      <c r="V220" s="41"/>
      <c r="W220" s="41"/>
      <c r="X220" s="41"/>
      <c r="Y220" s="41"/>
      <c r="Z220" s="41"/>
    </row>
    <row r="221" spans="1:26" ht="15.75" customHeight="1" x14ac:dyDescent="0.2">
      <c r="A221" s="16"/>
      <c r="B221" s="43"/>
      <c r="C221" s="43"/>
      <c r="D221" s="16"/>
      <c r="E221" s="16"/>
      <c r="F221" s="16"/>
      <c r="G221" s="12"/>
      <c r="H221" s="12"/>
      <c r="I221" s="12"/>
      <c r="J221" s="12"/>
      <c r="K221" s="12"/>
      <c r="L221" s="12"/>
      <c r="M221" s="12"/>
      <c r="N221" s="16"/>
      <c r="O221" s="16"/>
      <c r="P221" s="12"/>
      <c r="Q221" s="12"/>
      <c r="R221" s="12"/>
      <c r="S221" s="12"/>
      <c r="T221" s="16"/>
      <c r="U221" s="41"/>
      <c r="V221" s="41"/>
      <c r="W221" s="41"/>
      <c r="X221" s="41"/>
      <c r="Y221" s="41"/>
      <c r="Z221" s="41"/>
    </row>
    <row r="222" spans="1:26" ht="15.75" customHeight="1" x14ac:dyDescent="0.2">
      <c r="A222" s="16"/>
      <c r="B222" s="43"/>
      <c r="C222" s="43"/>
      <c r="D222" s="16"/>
      <c r="E222" s="16"/>
      <c r="F222" s="16"/>
      <c r="G222" s="12"/>
      <c r="H222" s="12"/>
      <c r="I222" s="12"/>
      <c r="J222" s="12"/>
      <c r="K222" s="12"/>
      <c r="L222" s="12"/>
      <c r="M222" s="12"/>
      <c r="N222" s="16"/>
      <c r="O222" s="16"/>
      <c r="P222" s="12"/>
      <c r="Q222" s="12"/>
      <c r="R222" s="12"/>
      <c r="S222" s="12"/>
      <c r="T222" s="16"/>
      <c r="U222" s="41"/>
      <c r="V222" s="41"/>
      <c r="W222" s="41"/>
      <c r="X222" s="41"/>
      <c r="Y222" s="41"/>
      <c r="Z222" s="41"/>
    </row>
    <row r="223" spans="1:26" ht="15.75" customHeight="1" x14ac:dyDescent="0.2">
      <c r="A223" s="16"/>
      <c r="B223" s="43"/>
      <c r="C223" s="43"/>
      <c r="D223" s="16"/>
      <c r="E223" s="16"/>
      <c r="F223" s="16"/>
      <c r="G223" s="12"/>
      <c r="H223" s="12"/>
      <c r="I223" s="12"/>
      <c r="J223" s="12"/>
      <c r="K223" s="12"/>
      <c r="L223" s="12"/>
      <c r="M223" s="12"/>
      <c r="N223" s="16"/>
      <c r="O223" s="16"/>
      <c r="P223" s="12"/>
      <c r="Q223" s="12"/>
      <c r="R223" s="12"/>
      <c r="S223" s="12"/>
      <c r="T223" s="16"/>
      <c r="U223" s="41"/>
      <c r="V223" s="41"/>
      <c r="W223" s="41"/>
      <c r="X223" s="41"/>
      <c r="Y223" s="41"/>
      <c r="Z223" s="41"/>
    </row>
    <row r="224" spans="1:26" ht="15.75" customHeight="1" x14ac:dyDescent="0.2">
      <c r="A224" s="16"/>
      <c r="B224" s="43"/>
      <c r="C224" s="43"/>
      <c r="D224" s="16"/>
      <c r="E224" s="16"/>
      <c r="F224" s="16"/>
      <c r="G224" s="12"/>
      <c r="H224" s="12"/>
      <c r="I224" s="12"/>
      <c r="J224" s="12"/>
      <c r="K224" s="12"/>
      <c r="L224" s="12"/>
      <c r="M224" s="12"/>
      <c r="N224" s="16"/>
      <c r="O224" s="16"/>
      <c r="P224" s="12"/>
      <c r="Q224" s="12"/>
      <c r="R224" s="12"/>
      <c r="S224" s="12"/>
      <c r="T224" s="16"/>
      <c r="U224" s="41"/>
      <c r="V224" s="41"/>
      <c r="W224" s="41"/>
      <c r="X224" s="41"/>
      <c r="Y224" s="41"/>
      <c r="Z224" s="41"/>
    </row>
    <row r="225" spans="1:26" ht="15.75" customHeight="1" x14ac:dyDescent="0.2">
      <c r="A225" s="16"/>
      <c r="B225" s="43"/>
      <c r="C225" s="43"/>
      <c r="D225" s="16"/>
      <c r="E225" s="16"/>
      <c r="F225" s="16"/>
      <c r="G225" s="12"/>
      <c r="H225" s="12"/>
      <c r="I225" s="12"/>
      <c r="J225" s="12"/>
      <c r="K225" s="12"/>
      <c r="L225" s="12"/>
      <c r="M225" s="12"/>
      <c r="N225" s="16"/>
      <c r="O225" s="16"/>
      <c r="P225" s="12"/>
      <c r="Q225" s="12"/>
      <c r="R225" s="12"/>
      <c r="S225" s="12"/>
      <c r="T225" s="16"/>
      <c r="U225" s="41"/>
      <c r="V225" s="41"/>
      <c r="W225" s="41"/>
      <c r="X225" s="41"/>
      <c r="Y225" s="41"/>
      <c r="Z225" s="41"/>
    </row>
    <row r="226" spans="1:26" ht="15.75" customHeight="1" x14ac:dyDescent="0.2">
      <c r="A226" s="16"/>
      <c r="B226" s="43"/>
      <c r="C226" s="43"/>
      <c r="D226" s="16"/>
      <c r="E226" s="16"/>
      <c r="F226" s="16"/>
      <c r="G226" s="12"/>
      <c r="H226" s="12"/>
      <c r="I226" s="12"/>
      <c r="J226" s="12"/>
      <c r="K226" s="12"/>
      <c r="L226" s="12"/>
      <c r="M226" s="12"/>
      <c r="N226" s="16"/>
      <c r="O226" s="16"/>
      <c r="P226" s="12"/>
      <c r="Q226" s="12"/>
      <c r="R226" s="12"/>
      <c r="S226" s="12"/>
      <c r="T226" s="16"/>
      <c r="U226" s="41"/>
      <c r="V226" s="41"/>
      <c r="W226" s="41"/>
      <c r="X226" s="41"/>
      <c r="Y226" s="41"/>
      <c r="Z226" s="41"/>
    </row>
    <row r="227" spans="1:26" ht="15.75" customHeight="1" x14ac:dyDescent="0.2">
      <c r="A227" s="16"/>
      <c r="B227" s="43"/>
      <c r="C227" s="43"/>
      <c r="D227" s="16"/>
      <c r="E227" s="16"/>
      <c r="F227" s="16"/>
      <c r="G227" s="12"/>
      <c r="H227" s="12"/>
      <c r="I227" s="12"/>
      <c r="J227" s="12"/>
      <c r="K227" s="12"/>
      <c r="L227" s="12"/>
      <c r="M227" s="12"/>
      <c r="N227" s="16"/>
      <c r="O227" s="16"/>
      <c r="P227" s="12"/>
      <c r="Q227" s="12"/>
      <c r="R227" s="12"/>
      <c r="S227" s="12"/>
      <c r="T227" s="16"/>
      <c r="U227" s="41"/>
      <c r="V227" s="41"/>
      <c r="W227" s="41"/>
      <c r="X227" s="41"/>
      <c r="Y227" s="41"/>
      <c r="Z227" s="41"/>
    </row>
    <row r="228" spans="1:26" ht="15.75" customHeight="1" x14ac:dyDescent="0.2">
      <c r="A228" s="16"/>
      <c r="B228" s="43"/>
      <c r="C228" s="43"/>
      <c r="D228" s="16"/>
      <c r="E228" s="16"/>
      <c r="F228" s="16"/>
      <c r="G228" s="12"/>
      <c r="H228" s="12"/>
      <c r="I228" s="12"/>
      <c r="J228" s="12"/>
      <c r="K228" s="12"/>
      <c r="L228" s="12"/>
      <c r="M228" s="12"/>
      <c r="N228" s="16"/>
      <c r="O228" s="16"/>
      <c r="P228" s="12"/>
      <c r="Q228" s="12"/>
      <c r="R228" s="12"/>
      <c r="S228" s="12"/>
      <c r="T228" s="16"/>
      <c r="U228" s="41"/>
      <c r="V228" s="41"/>
      <c r="W228" s="41"/>
      <c r="X228" s="41"/>
      <c r="Y228" s="41"/>
      <c r="Z228" s="41"/>
    </row>
    <row r="229" spans="1:26" ht="15.75" customHeight="1" x14ac:dyDescent="0.2">
      <c r="A229" s="16"/>
      <c r="B229" s="43"/>
      <c r="C229" s="43"/>
      <c r="D229" s="16"/>
      <c r="E229" s="16"/>
      <c r="F229" s="16"/>
      <c r="G229" s="12"/>
      <c r="H229" s="12"/>
      <c r="I229" s="12"/>
      <c r="J229" s="12"/>
      <c r="K229" s="12"/>
      <c r="L229" s="12"/>
      <c r="M229" s="12"/>
      <c r="N229" s="16"/>
      <c r="O229" s="16"/>
      <c r="P229" s="12"/>
      <c r="Q229" s="12"/>
      <c r="R229" s="12"/>
      <c r="S229" s="12"/>
      <c r="T229" s="16"/>
      <c r="U229" s="41"/>
      <c r="V229" s="41"/>
      <c r="W229" s="41"/>
      <c r="X229" s="41"/>
      <c r="Y229" s="41"/>
      <c r="Z229" s="41"/>
    </row>
    <row r="230" spans="1:26" ht="15.75" customHeight="1" x14ac:dyDescent="0.2">
      <c r="A230" s="16"/>
      <c r="B230" s="43"/>
      <c r="C230" s="43"/>
      <c r="D230" s="16"/>
      <c r="E230" s="16"/>
      <c r="F230" s="16"/>
      <c r="G230" s="12"/>
      <c r="H230" s="12"/>
      <c r="I230" s="12"/>
      <c r="J230" s="12"/>
      <c r="K230" s="12"/>
      <c r="L230" s="12"/>
      <c r="M230" s="12"/>
      <c r="N230" s="16"/>
      <c r="O230" s="16"/>
      <c r="P230" s="12"/>
      <c r="Q230" s="12"/>
      <c r="R230" s="12"/>
      <c r="S230" s="12"/>
      <c r="T230" s="16"/>
      <c r="U230" s="41"/>
      <c r="V230" s="41"/>
      <c r="W230" s="41"/>
      <c r="X230" s="41"/>
      <c r="Y230" s="41"/>
      <c r="Z230" s="41"/>
    </row>
    <row r="231" spans="1:26" ht="15.75" customHeight="1" x14ac:dyDescent="0.2">
      <c r="A231" s="16"/>
      <c r="B231" s="43"/>
      <c r="C231" s="43"/>
      <c r="D231" s="16"/>
      <c r="E231" s="16"/>
      <c r="F231" s="16"/>
      <c r="G231" s="12"/>
      <c r="H231" s="12"/>
      <c r="I231" s="12"/>
      <c r="J231" s="12"/>
      <c r="K231" s="12"/>
      <c r="L231" s="12"/>
      <c r="M231" s="12"/>
      <c r="N231" s="16"/>
      <c r="O231" s="16"/>
      <c r="P231" s="12"/>
      <c r="Q231" s="12"/>
      <c r="R231" s="12"/>
      <c r="S231" s="12"/>
      <c r="T231" s="16"/>
      <c r="U231" s="41"/>
      <c r="V231" s="41"/>
      <c r="W231" s="41"/>
      <c r="X231" s="41"/>
      <c r="Y231" s="41"/>
      <c r="Z231" s="41"/>
    </row>
    <row r="232" spans="1:26" ht="15.75" customHeight="1" x14ac:dyDescent="0.2">
      <c r="A232" s="16"/>
      <c r="B232" s="43"/>
      <c r="C232" s="43"/>
      <c r="D232" s="16"/>
      <c r="E232" s="16"/>
      <c r="F232" s="16"/>
      <c r="G232" s="12"/>
      <c r="H232" s="12"/>
      <c r="I232" s="12"/>
      <c r="J232" s="12"/>
      <c r="K232" s="12"/>
      <c r="L232" s="12"/>
      <c r="M232" s="12"/>
      <c r="N232" s="16"/>
      <c r="O232" s="16"/>
      <c r="P232" s="12"/>
      <c r="Q232" s="12"/>
      <c r="R232" s="12"/>
      <c r="S232" s="12"/>
      <c r="T232" s="16"/>
      <c r="U232" s="41"/>
      <c r="V232" s="41"/>
      <c r="W232" s="41"/>
      <c r="X232" s="41"/>
      <c r="Y232" s="41"/>
      <c r="Z232" s="41"/>
    </row>
    <row r="233" spans="1:26" ht="15.75" customHeight="1" x14ac:dyDescent="0.2">
      <c r="A233" s="16"/>
      <c r="B233" s="43"/>
      <c r="C233" s="43"/>
      <c r="D233" s="16"/>
      <c r="E233" s="16"/>
      <c r="F233" s="16"/>
      <c r="G233" s="12"/>
      <c r="H233" s="12"/>
      <c r="I233" s="12"/>
      <c r="J233" s="12"/>
      <c r="K233" s="12"/>
      <c r="L233" s="12"/>
      <c r="M233" s="12"/>
      <c r="N233" s="16"/>
      <c r="O233" s="16"/>
      <c r="P233" s="12"/>
      <c r="Q233" s="12"/>
      <c r="R233" s="12"/>
      <c r="S233" s="12"/>
      <c r="T233" s="16"/>
      <c r="U233" s="41"/>
      <c r="V233" s="41"/>
      <c r="W233" s="41"/>
      <c r="X233" s="41"/>
      <c r="Y233" s="41"/>
      <c r="Z233" s="41"/>
    </row>
    <row r="234" spans="1:26" ht="15.75" customHeight="1" x14ac:dyDescent="0.2">
      <c r="A234" s="16"/>
      <c r="B234" s="43"/>
      <c r="C234" s="43"/>
      <c r="D234" s="16"/>
      <c r="E234" s="16"/>
      <c r="F234" s="16"/>
      <c r="G234" s="12"/>
      <c r="H234" s="12"/>
      <c r="I234" s="12"/>
      <c r="J234" s="12"/>
      <c r="K234" s="12"/>
      <c r="L234" s="12"/>
      <c r="M234" s="12"/>
      <c r="N234" s="16"/>
      <c r="O234" s="16"/>
      <c r="P234" s="12"/>
      <c r="Q234" s="12"/>
      <c r="R234" s="12"/>
      <c r="S234" s="12"/>
      <c r="T234" s="16"/>
      <c r="U234" s="41"/>
      <c r="V234" s="41"/>
      <c r="W234" s="41"/>
      <c r="X234" s="41"/>
      <c r="Y234" s="41"/>
      <c r="Z234" s="41"/>
    </row>
    <row r="235" spans="1:26" ht="15.75" customHeight="1" x14ac:dyDescent="0.2">
      <c r="A235" s="16"/>
      <c r="B235" s="43"/>
      <c r="C235" s="43"/>
      <c r="D235" s="16"/>
      <c r="E235" s="16"/>
      <c r="F235" s="16"/>
      <c r="G235" s="12"/>
      <c r="H235" s="12"/>
      <c r="I235" s="12"/>
      <c r="J235" s="12"/>
      <c r="K235" s="12"/>
      <c r="L235" s="12"/>
      <c r="M235" s="12"/>
      <c r="N235" s="16"/>
      <c r="O235" s="16"/>
      <c r="P235" s="12"/>
      <c r="Q235" s="12"/>
      <c r="R235" s="12"/>
      <c r="S235" s="12"/>
      <c r="T235" s="16"/>
      <c r="U235" s="41"/>
      <c r="V235" s="41"/>
      <c r="W235" s="41"/>
      <c r="X235" s="41"/>
      <c r="Y235" s="41"/>
      <c r="Z235" s="41"/>
    </row>
    <row r="236" spans="1:26" ht="15.75" customHeight="1" x14ac:dyDescent="0.2">
      <c r="A236" s="16"/>
      <c r="B236" s="43"/>
      <c r="C236" s="43"/>
      <c r="D236" s="16"/>
      <c r="E236" s="16"/>
      <c r="F236" s="16"/>
      <c r="G236" s="12"/>
      <c r="H236" s="12"/>
      <c r="I236" s="12"/>
      <c r="J236" s="12"/>
      <c r="K236" s="12"/>
      <c r="L236" s="12"/>
      <c r="M236" s="12"/>
      <c r="N236" s="16"/>
      <c r="O236" s="16"/>
      <c r="P236" s="12"/>
      <c r="Q236" s="12"/>
      <c r="R236" s="12"/>
      <c r="S236" s="12"/>
      <c r="T236" s="16"/>
      <c r="U236" s="41"/>
      <c r="V236" s="41"/>
      <c r="W236" s="41"/>
      <c r="X236" s="41"/>
      <c r="Y236" s="41"/>
      <c r="Z236" s="41"/>
    </row>
    <row r="237" spans="1:26" ht="15.75" customHeight="1" x14ac:dyDescent="0.2">
      <c r="A237" s="16"/>
      <c r="B237" s="43"/>
      <c r="C237" s="43"/>
      <c r="D237" s="16"/>
      <c r="E237" s="16"/>
      <c r="F237" s="16"/>
      <c r="G237" s="12"/>
      <c r="H237" s="12"/>
      <c r="I237" s="12"/>
      <c r="J237" s="12"/>
      <c r="K237" s="12"/>
      <c r="L237" s="12"/>
      <c r="M237" s="12"/>
      <c r="N237" s="16"/>
      <c r="O237" s="16"/>
      <c r="P237" s="12"/>
      <c r="Q237" s="12"/>
      <c r="R237" s="12"/>
      <c r="S237" s="12"/>
      <c r="T237" s="16"/>
      <c r="U237" s="41"/>
      <c r="V237" s="41"/>
      <c r="W237" s="41"/>
      <c r="X237" s="41"/>
      <c r="Y237" s="41"/>
      <c r="Z237" s="41"/>
    </row>
    <row r="238" spans="1:26" ht="15.75" customHeight="1" x14ac:dyDescent="0.2">
      <c r="A238" s="16"/>
      <c r="B238" s="43"/>
      <c r="C238" s="43"/>
      <c r="D238" s="16"/>
      <c r="E238" s="16"/>
      <c r="F238" s="16"/>
      <c r="G238" s="12"/>
      <c r="H238" s="12"/>
      <c r="I238" s="12"/>
      <c r="J238" s="12"/>
      <c r="K238" s="12"/>
      <c r="L238" s="12"/>
      <c r="M238" s="12"/>
      <c r="N238" s="16"/>
      <c r="O238" s="16"/>
      <c r="P238" s="12"/>
      <c r="Q238" s="12"/>
      <c r="R238" s="12"/>
      <c r="S238" s="12"/>
      <c r="T238" s="16"/>
      <c r="U238" s="41"/>
      <c r="V238" s="41"/>
      <c r="W238" s="41"/>
      <c r="X238" s="41"/>
      <c r="Y238" s="41"/>
      <c r="Z238" s="41"/>
    </row>
    <row r="239" spans="1:26" ht="15.75" customHeight="1" x14ac:dyDescent="0.2">
      <c r="A239" s="16"/>
      <c r="B239" s="43"/>
      <c r="C239" s="43"/>
      <c r="D239" s="16"/>
      <c r="E239" s="16"/>
      <c r="F239" s="16"/>
      <c r="G239" s="12"/>
      <c r="H239" s="12"/>
      <c r="I239" s="12"/>
      <c r="J239" s="12"/>
      <c r="K239" s="12"/>
      <c r="L239" s="12"/>
      <c r="M239" s="12"/>
      <c r="N239" s="16"/>
      <c r="O239" s="16"/>
      <c r="P239" s="12"/>
      <c r="Q239" s="12"/>
      <c r="R239" s="12"/>
      <c r="S239" s="12"/>
      <c r="T239" s="16"/>
      <c r="U239" s="41"/>
      <c r="V239" s="41"/>
      <c r="W239" s="41"/>
      <c r="X239" s="41"/>
      <c r="Y239" s="41"/>
      <c r="Z239" s="41"/>
    </row>
    <row r="240" spans="1:26" ht="15.75" customHeight="1" x14ac:dyDescent="0.2">
      <c r="A240" s="16"/>
      <c r="B240" s="43"/>
      <c r="C240" s="43"/>
      <c r="D240" s="16"/>
      <c r="E240" s="16"/>
      <c r="F240" s="16"/>
      <c r="G240" s="12"/>
      <c r="H240" s="12"/>
      <c r="I240" s="12"/>
      <c r="J240" s="12"/>
      <c r="K240" s="12"/>
      <c r="L240" s="12"/>
      <c r="M240" s="12"/>
      <c r="N240" s="16"/>
      <c r="O240" s="16"/>
      <c r="P240" s="12"/>
      <c r="Q240" s="12"/>
      <c r="R240" s="12"/>
      <c r="S240" s="12"/>
      <c r="T240" s="16"/>
      <c r="U240" s="41"/>
      <c r="V240" s="41"/>
      <c r="W240" s="41"/>
      <c r="X240" s="41"/>
      <c r="Y240" s="41"/>
      <c r="Z240" s="41"/>
    </row>
    <row r="241" spans="1:26" ht="15.75" customHeight="1" x14ac:dyDescent="0.2">
      <c r="A241" s="16"/>
      <c r="B241" s="43"/>
      <c r="C241" s="43"/>
      <c r="D241" s="16"/>
      <c r="E241" s="16"/>
      <c r="F241" s="16"/>
      <c r="G241" s="12"/>
      <c r="H241" s="12"/>
      <c r="I241" s="12"/>
      <c r="J241" s="12"/>
      <c r="K241" s="12"/>
      <c r="L241" s="12"/>
      <c r="M241" s="12"/>
      <c r="N241" s="16"/>
      <c r="O241" s="16"/>
      <c r="P241" s="12"/>
      <c r="Q241" s="12"/>
      <c r="R241" s="12"/>
      <c r="S241" s="12"/>
      <c r="T241" s="16"/>
      <c r="U241" s="41"/>
      <c r="V241" s="41"/>
      <c r="W241" s="41"/>
      <c r="X241" s="41"/>
      <c r="Y241" s="41"/>
      <c r="Z241" s="41"/>
    </row>
    <row r="242" spans="1:26" ht="15.75" customHeight="1" x14ac:dyDescent="0.2">
      <c r="A242" s="16"/>
      <c r="B242" s="43"/>
      <c r="C242" s="43"/>
      <c r="D242" s="16"/>
      <c r="E242" s="16"/>
      <c r="F242" s="16"/>
      <c r="G242" s="12"/>
      <c r="H242" s="12"/>
      <c r="I242" s="12"/>
      <c r="J242" s="12"/>
      <c r="K242" s="12"/>
      <c r="L242" s="12"/>
      <c r="M242" s="12"/>
      <c r="N242" s="16"/>
      <c r="O242" s="16"/>
      <c r="P242" s="12"/>
      <c r="Q242" s="12"/>
      <c r="R242" s="12"/>
      <c r="S242" s="12"/>
      <c r="T242" s="16"/>
      <c r="U242" s="41"/>
      <c r="V242" s="41"/>
      <c r="W242" s="41"/>
      <c r="X242" s="41"/>
      <c r="Y242" s="41"/>
      <c r="Z242" s="41"/>
    </row>
    <row r="243" spans="1:26" ht="15.75" customHeight="1" x14ac:dyDescent="0.2">
      <c r="A243" s="16"/>
      <c r="B243" s="43"/>
      <c r="C243" s="43"/>
      <c r="D243" s="16"/>
      <c r="E243" s="16"/>
      <c r="F243" s="16"/>
      <c r="G243" s="12"/>
      <c r="H243" s="12"/>
      <c r="I243" s="12"/>
      <c r="J243" s="12"/>
      <c r="K243" s="12"/>
      <c r="L243" s="12"/>
      <c r="M243" s="12"/>
      <c r="N243" s="16"/>
      <c r="O243" s="16"/>
      <c r="P243" s="12"/>
      <c r="Q243" s="12"/>
      <c r="R243" s="12"/>
      <c r="S243" s="12"/>
      <c r="T243" s="16"/>
      <c r="U243" s="41"/>
      <c r="V243" s="41"/>
      <c r="W243" s="41"/>
      <c r="X243" s="41"/>
      <c r="Y243" s="41"/>
      <c r="Z243" s="41"/>
    </row>
    <row r="244" spans="1:26" ht="15.75" customHeight="1" x14ac:dyDescent="0.2">
      <c r="A244" s="16"/>
      <c r="B244" s="43"/>
      <c r="C244" s="43"/>
      <c r="D244" s="16"/>
      <c r="E244" s="16"/>
      <c r="F244" s="16"/>
      <c r="G244" s="12"/>
      <c r="H244" s="12"/>
      <c r="I244" s="12"/>
      <c r="J244" s="12"/>
      <c r="K244" s="12"/>
      <c r="L244" s="12"/>
      <c r="M244" s="12"/>
      <c r="N244" s="16"/>
      <c r="O244" s="16"/>
      <c r="P244" s="12"/>
      <c r="Q244" s="12"/>
      <c r="R244" s="12"/>
      <c r="S244" s="12"/>
      <c r="T244" s="16"/>
      <c r="U244" s="41"/>
      <c r="V244" s="41"/>
      <c r="W244" s="41"/>
      <c r="X244" s="41"/>
      <c r="Y244" s="41"/>
      <c r="Z244" s="41"/>
    </row>
    <row r="245" spans="1:26" ht="15.75" customHeight="1" x14ac:dyDescent="0.2">
      <c r="A245" s="16"/>
      <c r="B245" s="43"/>
      <c r="C245" s="43"/>
      <c r="D245" s="16"/>
      <c r="E245" s="16"/>
      <c r="F245" s="16"/>
      <c r="G245" s="12"/>
      <c r="H245" s="12"/>
      <c r="I245" s="12"/>
      <c r="J245" s="12"/>
      <c r="K245" s="12"/>
      <c r="L245" s="12"/>
      <c r="M245" s="12"/>
      <c r="N245" s="16"/>
      <c r="O245" s="16"/>
      <c r="P245" s="12"/>
      <c r="Q245" s="12"/>
      <c r="R245" s="12"/>
      <c r="S245" s="12"/>
      <c r="T245" s="16"/>
      <c r="U245" s="41"/>
      <c r="V245" s="41"/>
      <c r="W245" s="41"/>
      <c r="X245" s="41"/>
      <c r="Y245" s="41"/>
      <c r="Z245" s="41"/>
    </row>
    <row r="246" spans="1:26" ht="15.75" customHeight="1" x14ac:dyDescent="0.2">
      <c r="A246" s="16"/>
      <c r="B246" s="43"/>
      <c r="C246" s="43"/>
      <c r="D246" s="16"/>
      <c r="E246" s="16"/>
      <c r="F246" s="16"/>
      <c r="G246" s="12"/>
      <c r="H246" s="12"/>
      <c r="I246" s="12"/>
      <c r="J246" s="12"/>
      <c r="K246" s="12"/>
      <c r="L246" s="12"/>
      <c r="M246" s="12"/>
      <c r="N246" s="16"/>
      <c r="O246" s="16"/>
      <c r="P246" s="12"/>
      <c r="Q246" s="12"/>
      <c r="R246" s="12"/>
      <c r="S246" s="12"/>
      <c r="T246" s="16"/>
      <c r="U246" s="41"/>
      <c r="V246" s="41"/>
      <c r="W246" s="41"/>
      <c r="X246" s="41"/>
      <c r="Y246" s="41"/>
      <c r="Z246" s="41"/>
    </row>
    <row r="247" spans="1:26" ht="15.75" customHeight="1" x14ac:dyDescent="0.2">
      <c r="A247" s="16"/>
      <c r="B247" s="43"/>
      <c r="C247" s="43"/>
      <c r="D247" s="16"/>
      <c r="E247" s="16"/>
      <c r="F247" s="16"/>
      <c r="G247" s="12"/>
      <c r="H247" s="12"/>
      <c r="I247" s="12"/>
      <c r="J247" s="12"/>
      <c r="K247" s="12"/>
      <c r="L247" s="12"/>
      <c r="M247" s="12"/>
      <c r="N247" s="16"/>
      <c r="O247" s="16"/>
      <c r="P247" s="12"/>
      <c r="Q247" s="12"/>
      <c r="R247" s="12"/>
      <c r="S247" s="12"/>
      <c r="T247" s="16"/>
      <c r="U247" s="41"/>
      <c r="V247" s="41"/>
      <c r="W247" s="41"/>
      <c r="X247" s="41"/>
      <c r="Y247" s="41"/>
      <c r="Z247" s="41"/>
    </row>
    <row r="248" spans="1:26" ht="15.75" customHeight="1" x14ac:dyDescent="0.2">
      <c r="A248" s="16"/>
      <c r="B248" s="43"/>
      <c r="C248" s="43"/>
      <c r="D248" s="16"/>
      <c r="E248" s="16"/>
      <c r="F248" s="16"/>
      <c r="G248" s="12"/>
      <c r="H248" s="12"/>
      <c r="I248" s="12"/>
      <c r="J248" s="12"/>
      <c r="K248" s="12"/>
      <c r="L248" s="12"/>
      <c r="M248" s="12"/>
      <c r="N248" s="16"/>
      <c r="O248" s="16"/>
      <c r="P248" s="12"/>
      <c r="Q248" s="12"/>
      <c r="R248" s="12"/>
      <c r="S248" s="12"/>
      <c r="T248" s="16"/>
      <c r="U248" s="41"/>
      <c r="V248" s="41"/>
      <c r="W248" s="41"/>
      <c r="X248" s="41"/>
      <c r="Y248" s="41"/>
      <c r="Z248" s="41"/>
    </row>
    <row r="249" spans="1:26" ht="15.75" customHeight="1" x14ac:dyDescent="0.2">
      <c r="A249" s="16"/>
      <c r="B249" s="43"/>
      <c r="C249" s="43"/>
      <c r="D249" s="16"/>
      <c r="E249" s="16"/>
      <c r="F249" s="16"/>
      <c r="G249" s="12"/>
      <c r="H249" s="12"/>
      <c r="I249" s="12"/>
      <c r="J249" s="12"/>
      <c r="K249" s="12"/>
      <c r="L249" s="12"/>
      <c r="M249" s="12"/>
      <c r="N249" s="16"/>
      <c r="O249" s="16"/>
      <c r="P249" s="12"/>
      <c r="Q249" s="12"/>
      <c r="R249" s="12"/>
      <c r="S249" s="12"/>
      <c r="T249" s="16"/>
      <c r="U249" s="41"/>
      <c r="V249" s="41"/>
      <c r="W249" s="41"/>
      <c r="X249" s="41"/>
      <c r="Y249" s="41"/>
      <c r="Z249" s="41"/>
    </row>
    <row r="250" spans="1:26" ht="15.75" customHeight="1" x14ac:dyDescent="0.2">
      <c r="A250" s="16"/>
      <c r="B250" s="43"/>
      <c r="C250" s="43"/>
      <c r="D250" s="16"/>
      <c r="E250" s="16"/>
      <c r="F250" s="16"/>
      <c r="G250" s="12"/>
      <c r="H250" s="12"/>
      <c r="I250" s="12"/>
      <c r="J250" s="12"/>
      <c r="K250" s="12"/>
      <c r="L250" s="12"/>
      <c r="M250" s="12"/>
      <c r="N250" s="16"/>
      <c r="O250" s="16"/>
      <c r="P250" s="12"/>
      <c r="Q250" s="12"/>
      <c r="R250" s="12"/>
      <c r="S250" s="12"/>
      <c r="T250" s="16"/>
      <c r="U250" s="41"/>
      <c r="V250" s="41"/>
      <c r="W250" s="41"/>
      <c r="X250" s="41"/>
      <c r="Y250" s="41"/>
      <c r="Z250" s="41"/>
    </row>
    <row r="251" spans="1:26" ht="15.75" customHeight="1" x14ac:dyDescent="0.2">
      <c r="A251" s="16"/>
      <c r="B251" s="43"/>
      <c r="C251" s="43"/>
      <c r="D251" s="16"/>
      <c r="E251" s="16"/>
      <c r="F251" s="16"/>
      <c r="G251" s="12"/>
      <c r="H251" s="12"/>
      <c r="I251" s="12"/>
      <c r="J251" s="12"/>
      <c r="K251" s="12"/>
      <c r="L251" s="12"/>
      <c r="M251" s="12"/>
      <c r="N251" s="16"/>
      <c r="O251" s="16"/>
      <c r="P251" s="12"/>
      <c r="Q251" s="12"/>
      <c r="R251" s="12"/>
      <c r="S251" s="12"/>
      <c r="T251" s="16"/>
      <c r="U251" s="41"/>
      <c r="V251" s="41"/>
      <c r="W251" s="41"/>
      <c r="X251" s="41"/>
      <c r="Y251" s="41"/>
      <c r="Z251" s="41"/>
    </row>
    <row r="252" spans="1:26" ht="15.75" customHeight="1" x14ac:dyDescent="0.2">
      <c r="A252" s="16"/>
      <c r="B252" s="43"/>
      <c r="C252" s="43"/>
      <c r="D252" s="16"/>
      <c r="E252" s="16"/>
      <c r="F252" s="16"/>
      <c r="G252" s="12"/>
      <c r="H252" s="12"/>
      <c r="I252" s="12"/>
      <c r="J252" s="12"/>
      <c r="K252" s="12"/>
      <c r="L252" s="12"/>
      <c r="M252" s="12"/>
      <c r="N252" s="16"/>
      <c r="O252" s="16"/>
      <c r="P252" s="12"/>
      <c r="Q252" s="12"/>
      <c r="R252" s="12"/>
      <c r="S252" s="12"/>
      <c r="T252" s="16"/>
      <c r="U252" s="41"/>
      <c r="V252" s="41"/>
      <c r="W252" s="41"/>
      <c r="X252" s="41"/>
      <c r="Y252" s="41"/>
      <c r="Z252" s="41"/>
    </row>
    <row r="253" spans="1:26" ht="15.75" customHeight="1" x14ac:dyDescent="0.2">
      <c r="A253" s="16"/>
      <c r="B253" s="43"/>
      <c r="C253" s="43"/>
      <c r="D253" s="16"/>
      <c r="E253" s="16"/>
      <c r="F253" s="16"/>
      <c r="G253" s="12"/>
      <c r="H253" s="12"/>
      <c r="I253" s="12"/>
      <c r="J253" s="12"/>
      <c r="K253" s="12"/>
      <c r="L253" s="12"/>
      <c r="M253" s="12"/>
      <c r="N253" s="16"/>
      <c r="O253" s="16"/>
      <c r="P253" s="12"/>
      <c r="Q253" s="12"/>
      <c r="R253" s="12"/>
      <c r="S253" s="12"/>
      <c r="T253" s="16"/>
      <c r="U253" s="41"/>
      <c r="V253" s="41"/>
      <c r="W253" s="41"/>
      <c r="X253" s="41"/>
      <c r="Y253" s="41"/>
      <c r="Z253" s="41"/>
    </row>
    <row r="254" spans="1:26" ht="15.75" customHeight="1" x14ac:dyDescent="0.2">
      <c r="A254" s="16"/>
      <c r="B254" s="43"/>
      <c r="C254" s="43"/>
      <c r="D254" s="16"/>
      <c r="E254" s="16"/>
      <c r="F254" s="16"/>
      <c r="G254" s="12"/>
      <c r="H254" s="12"/>
      <c r="I254" s="12"/>
      <c r="J254" s="12"/>
      <c r="K254" s="12"/>
      <c r="L254" s="12"/>
      <c r="M254" s="12"/>
      <c r="N254" s="16"/>
      <c r="O254" s="16"/>
      <c r="P254" s="12"/>
      <c r="Q254" s="12"/>
      <c r="R254" s="12"/>
      <c r="S254" s="12"/>
      <c r="T254" s="16"/>
      <c r="U254" s="41"/>
      <c r="V254" s="41"/>
      <c r="W254" s="41"/>
      <c r="X254" s="41"/>
      <c r="Y254" s="41"/>
      <c r="Z254" s="41"/>
    </row>
    <row r="255" spans="1:26" ht="15.75" customHeight="1" x14ac:dyDescent="0.2">
      <c r="A255" s="16"/>
      <c r="B255" s="43"/>
      <c r="C255" s="43"/>
      <c r="D255" s="16"/>
      <c r="E255" s="16"/>
      <c r="F255" s="16"/>
      <c r="G255" s="12"/>
      <c r="H255" s="12"/>
      <c r="I255" s="12"/>
      <c r="J255" s="12"/>
      <c r="K255" s="12"/>
      <c r="L255" s="12"/>
      <c r="M255" s="12"/>
      <c r="N255" s="16"/>
      <c r="O255" s="16"/>
      <c r="P255" s="12"/>
      <c r="Q255" s="12"/>
      <c r="R255" s="12"/>
      <c r="S255" s="12"/>
      <c r="T255" s="16"/>
      <c r="U255" s="41"/>
      <c r="V255" s="41"/>
      <c r="W255" s="41"/>
      <c r="X255" s="41"/>
      <c r="Y255" s="41"/>
      <c r="Z255" s="41"/>
    </row>
    <row r="256" spans="1:26" ht="15.75" customHeight="1" x14ac:dyDescent="0.2">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x14ac:dyDescent="0.2">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x14ac:dyDescent="0.2">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x14ac:dyDescent="0.2">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x14ac:dyDescent="0.2">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x14ac:dyDescent="0.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2">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2">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2">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2">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2">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2">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2">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2">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2">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2">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2">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2">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2">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2">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2">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2">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2">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2">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2">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2">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2">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2">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2">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2">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2">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1">
    <mergeCell ref="N2:R2"/>
  </mergeCells>
  <hyperlinks>
    <hyperlink ref="A2" r:id="rId1" xr:uid="{00000000-0004-0000-1200-000000000000}"/>
    <hyperlink ref="T3" r:id="rId2" xr:uid="{00000000-0004-0000-1200-000001000000}"/>
    <hyperlink ref="T4" r:id="rId3" xr:uid="{00000000-0004-0000-1200-000002000000}"/>
  </hyperlink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Z1000"/>
  <sheetViews>
    <sheetView workbookViewId="0"/>
  </sheetViews>
  <sheetFormatPr baseColWidth="10" defaultColWidth="14.5" defaultRowHeight="15" customHeight="1" x14ac:dyDescent="0.15"/>
  <cols>
    <col min="1" max="1" width="16.6640625" customWidth="1"/>
    <col min="2" max="3" width="16.1640625" customWidth="1"/>
    <col min="4" max="4" width="13.5" customWidth="1"/>
    <col min="5" max="6" width="14.5" customWidth="1"/>
    <col min="7" max="7" width="9.1640625" customWidth="1"/>
    <col min="8" max="8" width="35.5" customWidth="1"/>
    <col min="9" max="9" width="17.1640625" customWidth="1"/>
    <col min="10" max="10" width="4.83203125" customWidth="1"/>
    <col min="11" max="11" width="31.5" customWidth="1"/>
    <col min="12" max="12" width="19.5" customWidth="1"/>
    <col min="13" max="13" width="7" customWidth="1"/>
    <col min="14" max="14" width="18.33203125" customWidth="1"/>
    <col min="15" max="15" width="22.6640625" customWidth="1"/>
    <col min="16" max="16" width="7" customWidth="1"/>
    <col min="17" max="17" width="139.6640625" customWidth="1"/>
  </cols>
  <sheetData>
    <row r="1" spans="1:26" ht="15.75" customHeight="1" x14ac:dyDescent="0.2">
      <c r="A1" s="38" t="s">
        <v>927</v>
      </c>
      <c r="B1" s="39"/>
      <c r="C1" s="39"/>
      <c r="D1" s="3"/>
      <c r="E1" s="3"/>
      <c r="F1" s="3"/>
      <c r="G1" s="40"/>
      <c r="H1" s="38" t="s">
        <v>928</v>
      </c>
      <c r="I1" s="40"/>
      <c r="J1" s="40"/>
      <c r="K1" s="73"/>
      <c r="L1" s="40"/>
      <c r="M1" s="40"/>
      <c r="N1" s="2"/>
      <c r="O1" s="2"/>
      <c r="P1" s="40"/>
      <c r="Q1" s="40"/>
      <c r="R1" s="41"/>
      <c r="S1" s="41"/>
      <c r="T1" s="41"/>
      <c r="U1" s="41"/>
      <c r="V1" s="41"/>
      <c r="W1" s="41"/>
      <c r="X1" s="41"/>
      <c r="Y1" s="41"/>
      <c r="Z1" s="41"/>
    </row>
    <row r="2" spans="1:26" ht="31.5" customHeight="1" x14ac:dyDescent="0.2">
      <c r="A2" s="42" t="s">
        <v>929</v>
      </c>
      <c r="B2" s="43"/>
      <c r="C2" s="43"/>
      <c r="D2" s="16"/>
      <c r="E2" s="16"/>
      <c r="F2" s="16"/>
      <c r="G2" s="12"/>
      <c r="H2" s="44" t="s">
        <v>73</v>
      </c>
      <c r="I2" s="45"/>
      <c r="J2" s="12"/>
      <c r="K2" s="44" t="s">
        <v>413</v>
      </c>
      <c r="L2" s="45"/>
      <c r="M2" s="12"/>
      <c r="N2" s="46" t="s">
        <v>930</v>
      </c>
      <c r="O2" s="46"/>
      <c r="P2" s="12"/>
      <c r="Q2" s="44" t="s">
        <v>76</v>
      </c>
      <c r="R2" s="41"/>
      <c r="S2" s="41"/>
      <c r="T2" s="41"/>
      <c r="U2" s="41"/>
      <c r="V2" s="41"/>
      <c r="W2" s="41"/>
      <c r="X2" s="41"/>
      <c r="Y2" s="41"/>
      <c r="Z2" s="41"/>
    </row>
    <row r="3" spans="1:26" ht="31.5" customHeight="1" x14ac:dyDescent="0.2">
      <c r="A3" s="7" t="s">
        <v>18</v>
      </c>
      <c r="B3" s="7" t="s">
        <v>77</v>
      </c>
      <c r="C3" s="7" t="s">
        <v>78</v>
      </c>
      <c r="D3" s="47" t="s">
        <v>79</v>
      </c>
      <c r="E3" s="47" t="s">
        <v>80</v>
      </c>
      <c r="F3" s="48" t="s">
        <v>81</v>
      </c>
      <c r="G3" s="12"/>
      <c r="H3" s="49" t="s">
        <v>82</v>
      </c>
      <c r="I3" s="85" t="s">
        <v>366</v>
      </c>
      <c r="J3" s="36"/>
      <c r="K3" s="49" t="s">
        <v>351</v>
      </c>
      <c r="L3" s="85" t="s">
        <v>931</v>
      </c>
      <c r="M3" s="12"/>
      <c r="N3" s="16" t="s">
        <v>932</v>
      </c>
      <c r="O3" s="15">
        <v>34.99</v>
      </c>
      <c r="P3" s="12"/>
      <c r="Q3" s="163" t="s">
        <v>933</v>
      </c>
      <c r="R3" s="41"/>
      <c r="S3" s="41"/>
      <c r="T3" s="41"/>
      <c r="U3" s="41"/>
      <c r="V3" s="41"/>
      <c r="W3" s="41"/>
      <c r="X3" s="41"/>
      <c r="Y3" s="41"/>
      <c r="Z3" s="41"/>
    </row>
    <row r="4" spans="1:26" ht="31.5" customHeight="1" x14ac:dyDescent="0.2">
      <c r="A4" s="16">
        <v>1</v>
      </c>
      <c r="B4" s="43" t="s">
        <v>934</v>
      </c>
      <c r="C4" s="43" t="s">
        <v>935</v>
      </c>
      <c r="D4" s="147">
        <f>I11+L6+L11</f>
        <v>4.7523809523809524</v>
      </c>
      <c r="E4" s="147">
        <f>((500*I16)+I11)+L16</f>
        <v>9.7400047619047623</v>
      </c>
      <c r="F4" s="15">
        <f t="shared" ref="F4:F103" si="0">IFERROR(D4+E4,"error")</f>
        <v>14.492385714285714</v>
      </c>
      <c r="G4" s="12"/>
      <c r="H4" s="52" t="s">
        <v>91</v>
      </c>
      <c r="I4" s="77">
        <v>175</v>
      </c>
      <c r="J4" s="12"/>
      <c r="K4" s="52" t="s">
        <v>92</v>
      </c>
      <c r="L4" s="77">
        <v>1</v>
      </c>
      <c r="M4" s="12"/>
      <c r="N4" s="16" t="s">
        <v>936</v>
      </c>
      <c r="O4" s="15">
        <v>39.99</v>
      </c>
      <c r="P4" s="12"/>
      <c r="Q4" s="163" t="s">
        <v>937</v>
      </c>
      <c r="R4" s="41"/>
      <c r="S4" s="41"/>
      <c r="T4" s="41"/>
      <c r="U4" s="41"/>
      <c r="V4" s="41"/>
      <c r="W4" s="41"/>
      <c r="X4" s="41"/>
      <c r="Y4" s="41"/>
      <c r="Z4" s="41"/>
    </row>
    <row r="5" spans="1:26" ht="39.75" customHeight="1" x14ac:dyDescent="0.2">
      <c r="A5" s="16">
        <v>2</v>
      </c>
      <c r="B5" s="43" t="s">
        <v>938</v>
      </c>
      <c r="C5" s="43" t="s">
        <v>817</v>
      </c>
      <c r="D5" s="147">
        <f>L6</f>
        <v>1.1405714285714286</v>
      </c>
      <c r="E5" s="147">
        <f>100*I6</f>
        <v>2.8514285714285714</v>
      </c>
      <c r="F5" s="15">
        <f t="shared" si="0"/>
        <v>3.992</v>
      </c>
      <c r="G5" s="12"/>
      <c r="H5" s="52" t="s">
        <v>500</v>
      </c>
      <c r="I5" s="87">
        <v>4.99</v>
      </c>
      <c r="J5" s="12"/>
      <c r="K5" s="55" t="s">
        <v>98</v>
      </c>
      <c r="L5" s="79">
        <v>40</v>
      </c>
      <c r="M5" s="12"/>
      <c r="N5" s="16" t="s">
        <v>939</v>
      </c>
      <c r="O5" s="15">
        <v>24.99</v>
      </c>
      <c r="P5" s="12"/>
      <c r="Q5" s="51" t="s">
        <v>940</v>
      </c>
      <c r="R5" s="41"/>
      <c r="S5" s="41"/>
      <c r="T5" s="41"/>
      <c r="U5" s="41"/>
      <c r="V5" s="41"/>
      <c r="W5" s="41"/>
      <c r="X5" s="41"/>
      <c r="Y5" s="41"/>
      <c r="Z5" s="41"/>
    </row>
    <row r="6" spans="1:26" ht="31.5" customHeight="1" x14ac:dyDescent="0.2">
      <c r="A6" s="16">
        <v>3</v>
      </c>
      <c r="B6" s="43" t="s">
        <v>941</v>
      </c>
      <c r="C6" s="43" t="s">
        <v>942</v>
      </c>
      <c r="D6" s="147">
        <f>I31</f>
        <v>2.8514285714285714</v>
      </c>
      <c r="E6" s="147">
        <f>100000*I16</f>
        <v>1.4257142857142857</v>
      </c>
      <c r="F6" s="15">
        <f t="shared" si="0"/>
        <v>4.2771428571428576</v>
      </c>
      <c r="G6" s="12"/>
      <c r="H6" s="139" t="s">
        <v>104</v>
      </c>
      <c r="I6" s="60">
        <f>I5/I4</f>
        <v>2.8514285714285714E-2</v>
      </c>
      <c r="J6" s="12"/>
      <c r="K6" s="58" t="s">
        <v>104</v>
      </c>
      <c r="L6" s="60">
        <f>IF(L4="N/A","N/A",(L5/L4))*$I$6</f>
        <v>1.1405714285714286</v>
      </c>
      <c r="M6" s="12"/>
      <c r="N6" s="50" t="s">
        <v>174</v>
      </c>
      <c r="O6" s="100">
        <f>AVERAGE(O3:O5)</f>
        <v>33.323333333333331</v>
      </c>
      <c r="P6" s="12"/>
      <c r="Q6" s="75"/>
      <c r="R6" s="41"/>
      <c r="S6" s="41"/>
      <c r="T6" s="41"/>
      <c r="U6" s="41"/>
      <c r="V6" s="41"/>
      <c r="W6" s="41"/>
      <c r="X6" s="41"/>
      <c r="Y6" s="41"/>
      <c r="Z6" s="41"/>
    </row>
    <row r="7" spans="1:26" ht="31.5" customHeight="1" x14ac:dyDescent="0.2">
      <c r="A7" s="16">
        <v>4</v>
      </c>
      <c r="B7" s="43" t="s">
        <v>943</v>
      </c>
      <c r="C7" s="43" t="s">
        <v>944</v>
      </c>
      <c r="D7" s="147">
        <f>3*L26</f>
        <v>0.28514285714285714</v>
      </c>
      <c r="E7" s="147">
        <f>2*L6</f>
        <v>2.2811428571428571</v>
      </c>
      <c r="F7" s="15">
        <f t="shared" si="0"/>
        <v>2.5662857142857143</v>
      </c>
      <c r="G7" s="12"/>
      <c r="H7" s="164"/>
      <c r="I7" s="89"/>
      <c r="J7" s="12"/>
      <c r="K7" s="12"/>
      <c r="L7" s="79"/>
      <c r="M7" s="12"/>
      <c r="N7" s="16"/>
      <c r="O7" s="15"/>
      <c r="P7" s="12"/>
      <c r="Q7" s="51"/>
      <c r="R7" s="41"/>
      <c r="S7" s="41"/>
      <c r="T7" s="41"/>
      <c r="U7" s="41"/>
      <c r="V7" s="41"/>
      <c r="W7" s="41"/>
      <c r="X7" s="41"/>
      <c r="Y7" s="41"/>
      <c r="Z7" s="41"/>
    </row>
    <row r="8" spans="1:26" ht="31.5" customHeight="1" x14ac:dyDescent="0.2">
      <c r="A8" s="16">
        <v>5</v>
      </c>
      <c r="B8" s="43" t="s">
        <v>945</v>
      </c>
      <c r="C8" s="43" t="s">
        <v>946</v>
      </c>
      <c r="D8" s="147">
        <f>L31</f>
        <v>0.71285714285714286</v>
      </c>
      <c r="E8" s="147">
        <f>I11</f>
        <v>2.2811428571428571</v>
      </c>
      <c r="F8" s="15">
        <f t="shared" si="0"/>
        <v>2.9939999999999998</v>
      </c>
      <c r="G8" s="12"/>
      <c r="H8" s="49" t="s">
        <v>110</v>
      </c>
      <c r="I8" s="85" t="s">
        <v>947</v>
      </c>
      <c r="J8" s="36"/>
      <c r="K8" s="49" t="s">
        <v>367</v>
      </c>
      <c r="L8" s="85" t="s">
        <v>948</v>
      </c>
      <c r="M8" s="12"/>
      <c r="N8" s="214" t="s">
        <v>949</v>
      </c>
      <c r="O8" s="215"/>
      <c r="P8" s="12"/>
      <c r="Q8" s="51"/>
      <c r="R8" s="41"/>
      <c r="S8" s="41"/>
      <c r="T8" s="41"/>
      <c r="U8" s="41"/>
      <c r="V8" s="41"/>
      <c r="W8" s="41"/>
      <c r="X8" s="41"/>
      <c r="Y8" s="41"/>
      <c r="Z8" s="41"/>
    </row>
    <row r="9" spans="1:26" ht="31.5" customHeight="1" x14ac:dyDescent="0.2">
      <c r="A9" s="16">
        <v>6</v>
      </c>
      <c r="B9" s="43" t="s">
        <v>950</v>
      </c>
      <c r="C9" s="43" t="s">
        <v>951</v>
      </c>
      <c r="D9" s="147">
        <f>5*L36</f>
        <v>1.1405714285714286</v>
      </c>
      <c r="E9" s="147">
        <f>L46</f>
        <v>3.6213142857142859</v>
      </c>
      <c r="F9" s="15">
        <f t="shared" si="0"/>
        <v>4.7618857142857145</v>
      </c>
      <c r="G9" s="12"/>
      <c r="H9" s="52" t="s">
        <v>91</v>
      </c>
      <c r="I9" s="77">
        <v>1</v>
      </c>
      <c r="J9" s="12"/>
      <c r="K9" s="52" t="s">
        <v>92</v>
      </c>
      <c r="L9" s="77">
        <v>3</v>
      </c>
      <c r="M9" s="12"/>
      <c r="N9" s="16" t="s">
        <v>932</v>
      </c>
      <c r="O9" s="15">
        <v>24.99</v>
      </c>
      <c r="P9" s="12"/>
      <c r="Q9" s="51"/>
      <c r="R9" s="41"/>
      <c r="S9" s="41"/>
      <c r="T9" s="41"/>
      <c r="U9" s="41"/>
      <c r="V9" s="41"/>
      <c r="W9" s="41"/>
      <c r="X9" s="41"/>
      <c r="Y9" s="41"/>
      <c r="Z9" s="41"/>
    </row>
    <row r="10" spans="1:26" ht="31.5" customHeight="1" x14ac:dyDescent="0.2">
      <c r="A10" s="16">
        <v>7</v>
      </c>
      <c r="B10" s="43" t="s">
        <v>952</v>
      </c>
      <c r="C10" s="43" t="s">
        <v>953</v>
      </c>
      <c r="D10" s="147">
        <f>30*I6</f>
        <v>0.85542857142857143</v>
      </c>
      <c r="E10" s="147">
        <f>5*L26</f>
        <v>0.47523809523809524</v>
      </c>
      <c r="F10" s="15">
        <f t="shared" si="0"/>
        <v>1.3306666666666667</v>
      </c>
      <c r="G10" s="12"/>
      <c r="H10" s="55" t="s">
        <v>139</v>
      </c>
      <c r="I10" s="79">
        <v>80</v>
      </c>
      <c r="J10" s="12"/>
      <c r="K10" s="55" t="s">
        <v>98</v>
      </c>
      <c r="L10" s="79">
        <v>140</v>
      </c>
      <c r="M10" s="12"/>
      <c r="N10" s="16" t="s">
        <v>936</v>
      </c>
      <c r="O10" s="15">
        <v>19.989999999999998</v>
      </c>
      <c r="P10" s="12"/>
      <c r="Q10" s="51"/>
      <c r="R10" s="41"/>
      <c r="S10" s="41"/>
      <c r="T10" s="41"/>
      <c r="U10" s="41"/>
      <c r="V10" s="41"/>
      <c r="W10" s="41"/>
      <c r="X10" s="41"/>
      <c r="Y10" s="41"/>
      <c r="Z10" s="41"/>
    </row>
    <row r="11" spans="1:26" ht="31.5" customHeight="1" x14ac:dyDescent="0.2">
      <c r="A11" s="16">
        <v>8</v>
      </c>
      <c r="B11" s="43" t="s">
        <v>954</v>
      </c>
      <c r="C11" s="43" t="s">
        <v>944</v>
      </c>
      <c r="D11" s="147">
        <f>25000*I16</f>
        <v>0.35642857142857143</v>
      </c>
      <c r="E11" s="147">
        <f>2*L6</f>
        <v>2.2811428571428571</v>
      </c>
      <c r="F11" s="15">
        <f t="shared" si="0"/>
        <v>2.6375714285714285</v>
      </c>
      <c r="G11" s="12"/>
      <c r="H11" s="58" t="s">
        <v>104</v>
      </c>
      <c r="I11" s="60">
        <f>IF(I9="N/A","N/A",(I10/I9))*$I$6</f>
        <v>2.2811428571428571</v>
      </c>
      <c r="J11" s="12"/>
      <c r="K11" s="58" t="s">
        <v>104</v>
      </c>
      <c r="L11" s="60">
        <f>IF(L9="N/A","N/A",(L10/L9))*$I$6</f>
        <v>1.3306666666666667</v>
      </c>
      <c r="M11" s="12"/>
      <c r="N11" s="50" t="s">
        <v>174</v>
      </c>
      <c r="O11" s="100">
        <f>AVERAGE(O9:O10)</f>
        <v>22.49</v>
      </c>
      <c r="P11" s="12"/>
      <c r="Q11" s="165"/>
      <c r="R11" s="41"/>
      <c r="S11" s="41"/>
      <c r="T11" s="41"/>
      <c r="U11" s="41"/>
      <c r="V11" s="41"/>
      <c r="W11" s="41"/>
      <c r="X11" s="41"/>
      <c r="Y11" s="41"/>
      <c r="Z11" s="41"/>
    </row>
    <row r="12" spans="1:26" ht="31.5" customHeight="1" x14ac:dyDescent="0.2">
      <c r="A12" s="16">
        <v>9</v>
      </c>
      <c r="B12" s="65" t="s">
        <v>938</v>
      </c>
      <c r="C12" s="65" t="s">
        <v>955</v>
      </c>
      <c r="D12" s="147">
        <f>L6</f>
        <v>1.1405714285714286</v>
      </c>
      <c r="E12" s="147">
        <f>L11</f>
        <v>1.3306666666666667</v>
      </c>
      <c r="F12" s="15">
        <f t="shared" si="0"/>
        <v>2.4712380952380952</v>
      </c>
      <c r="G12" s="12"/>
      <c r="H12" s="12"/>
      <c r="I12" s="79"/>
      <c r="J12" s="12"/>
      <c r="K12" s="12"/>
      <c r="L12" s="90"/>
      <c r="M12" s="12"/>
      <c r="N12" s="223" t="s">
        <v>956</v>
      </c>
      <c r="O12" s="217"/>
      <c r="P12" s="12"/>
      <c r="Q12" s="143"/>
      <c r="R12" s="41"/>
      <c r="S12" s="41"/>
      <c r="T12" s="41"/>
      <c r="U12" s="41"/>
      <c r="V12" s="41"/>
      <c r="W12" s="41"/>
      <c r="X12" s="41"/>
      <c r="Y12" s="41"/>
      <c r="Z12" s="41"/>
    </row>
    <row r="13" spans="1:26" ht="31.5" customHeight="1" x14ac:dyDescent="0.2">
      <c r="A13" s="16">
        <v>10</v>
      </c>
      <c r="B13" s="65" t="s">
        <v>946</v>
      </c>
      <c r="C13" s="43" t="s">
        <v>957</v>
      </c>
      <c r="D13" s="147">
        <f>I11</f>
        <v>2.2811428571428571</v>
      </c>
      <c r="E13" s="147">
        <f>I41</f>
        <v>4.9950000000000001</v>
      </c>
      <c r="F13" s="15">
        <f t="shared" si="0"/>
        <v>7.2761428571428572</v>
      </c>
      <c r="G13" s="12"/>
      <c r="H13" s="49" t="s">
        <v>236</v>
      </c>
      <c r="I13" s="85" t="s">
        <v>958</v>
      </c>
      <c r="J13" s="36"/>
      <c r="K13" s="49" t="s">
        <v>376</v>
      </c>
      <c r="L13" s="67" t="s">
        <v>959</v>
      </c>
      <c r="M13" s="12"/>
      <c r="N13" s="16"/>
      <c r="O13" s="16"/>
      <c r="P13" s="12"/>
      <c r="Q13" s="143"/>
      <c r="R13" s="41"/>
      <c r="S13" s="41"/>
      <c r="T13" s="41"/>
      <c r="U13" s="41"/>
      <c r="V13" s="41"/>
      <c r="W13" s="41"/>
      <c r="X13" s="41"/>
      <c r="Y13" s="41"/>
      <c r="Z13" s="41"/>
    </row>
    <row r="14" spans="1:26" ht="31.5" customHeight="1" x14ac:dyDescent="0.2">
      <c r="A14" s="16">
        <v>11</v>
      </c>
      <c r="B14" s="43" t="s">
        <v>938</v>
      </c>
      <c r="C14" s="43" t="s">
        <v>817</v>
      </c>
      <c r="D14" s="147">
        <f>L6</f>
        <v>1.1405714285714286</v>
      </c>
      <c r="E14" s="147">
        <f>100*I6</f>
        <v>2.8514285714285714</v>
      </c>
      <c r="F14" s="15">
        <f t="shared" si="0"/>
        <v>3.992</v>
      </c>
      <c r="G14" s="12"/>
      <c r="H14" s="52" t="s">
        <v>91</v>
      </c>
      <c r="I14" s="77">
        <v>80000</v>
      </c>
      <c r="J14" s="12"/>
      <c r="K14" s="52" t="s">
        <v>92</v>
      </c>
      <c r="L14" s="53">
        <v>1</v>
      </c>
      <c r="M14" s="12"/>
      <c r="N14" s="16"/>
      <c r="O14" s="16"/>
      <c r="P14" s="12"/>
      <c r="Q14" s="143"/>
      <c r="R14" s="41"/>
      <c r="S14" s="41"/>
      <c r="T14" s="41"/>
      <c r="U14" s="41"/>
      <c r="V14" s="41"/>
      <c r="W14" s="41"/>
      <c r="X14" s="41"/>
      <c r="Y14" s="41"/>
      <c r="Z14" s="41"/>
    </row>
    <row r="15" spans="1:26" ht="31.5" customHeight="1" x14ac:dyDescent="0.2">
      <c r="A15" s="16">
        <v>12</v>
      </c>
      <c r="B15" s="43" t="s">
        <v>941</v>
      </c>
      <c r="C15" s="43" t="s">
        <v>942</v>
      </c>
      <c r="D15" s="147">
        <f>I31</f>
        <v>2.8514285714285714</v>
      </c>
      <c r="E15" s="147">
        <f>100000*I16</f>
        <v>1.4257142857142857</v>
      </c>
      <c r="F15" s="15">
        <f t="shared" si="0"/>
        <v>4.2771428571428576</v>
      </c>
      <c r="G15" s="12"/>
      <c r="H15" s="52" t="s">
        <v>139</v>
      </c>
      <c r="I15" s="79">
        <v>40</v>
      </c>
      <c r="J15" s="12"/>
      <c r="K15" s="55" t="s">
        <v>98</v>
      </c>
      <c r="L15" s="166">
        <f>((L10/3)*0.1)*56</f>
        <v>261.33333333333337</v>
      </c>
      <c r="M15" s="12"/>
      <c r="N15" s="16"/>
      <c r="O15" s="167"/>
      <c r="P15" s="12"/>
      <c r="Q15" s="143"/>
      <c r="R15" s="41"/>
      <c r="S15" s="41"/>
      <c r="T15" s="41"/>
      <c r="U15" s="41"/>
      <c r="V15" s="41"/>
      <c r="W15" s="41"/>
      <c r="X15" s="41"/>
      <c r="Y15" s="41"/>
      <c r="Z15" s="41"/>
    </row>
    <row r="16" spans="1:26" ht="31.5" customHeight="1" x14ac:dyDescent="0.2">
      <c r="A16" s="16">
        <v>13</v>
      </c>
      <c r="B16" s="43" t="s">
        <v>943</v>
      </c>
      <c r="C16" s="43" t="s">
        <v>944</v>
      </c>
      <c r="D16" s="147">
        <f>3*L26</f>
        <v>0.28514285714285714</v>
      </c>
      <c r="E16" s="147">
        <f>2*L6</f>
        <v>2.2811428571428571</v>
      </c>
      <c r="F16" s="15">
        <f t="shared" si="0"/>
        <v>2.5662857142857143</v>
      </c>
      <c r="G16" s="12"/>
      <c r="H16" s="139" t="s">
        <v>104</v>
      </c>
      <c r="I16" s="60">
        <f>IF(I14="N/A","N/A",(I15/I14))*$I$6</f>
        <v>1.4257142857142857E-5</v>
      </c>
      <c r="J16" s="12"/>
      <c r="K16" s="58" t="s">
        <v>104</v>
      </c>
      <c r="L16" s="60">
        <f>IF(L14="N/A","N/A",(L15/L14))*$I$6</f>
        <v>7.4517333333333342</v>
      </c>
      <c r="M16" s="12"/>
      <c r="N16" s="16"/>
      <c r="O16" s="16"/>
      <c r="P16" s="12"/>
      <c r="Q16" s="12"/>
      <c r="R16" s="41"/>
      <c r="S16" s="41"/>
      <c r="T16" s="41"/>
      <c r="U16" s="41"/>
      <c r="V16" s="41"/>
      <c r="W16" s="41"/>
      <c r="X16" s="41"/>
      <c r="Y16" s="41"/>
      <c r="Z16" s="41"/>
    </row>
    <row r="17" spans="1:26" ht="31.5" customHeight="1" x14ac:dyDescent="0.2">
      <c r="A17" s="16">
        <v>14</v>
      </c>
      <c r="B17" s="43" t="s">
        <v>960</v>
      </c>
      <c r="C17" s="43" t="s">
        <v>961</v>
      </c>
      <c r="D17" s="147">
        <f>O11</f>
        <v>22.49</v>
      </c>
      <c r="E17" s="147">
        <v>0</v>
      </c>
      <c r="F17" s="15">
        <f t="shared" si="0"/>
        <v>22.49</v>
      </c>
      <c r="G17" s="12"/>
      <c r="H17" s="12"/>
      <c r="I17" s="168"/>
      <c r="J17" s="12"/>
      <c r="K17" s="12"/>
      <c r="L17" s="12"/>
      <c r="M17" s="12"/>
      <c r="N17" s="16"/>
      <c r="O17" s="16"/>
      <c r="P17" s="12"/>
      <c r="Q17" s="12"/>
      <c r="R17" s="41"/>
      <c r="S17" s="41"/>
      <c r="T17" s="41"/>
      <c r="U17" s="41"/>
      <c r="V17" s="41"/>
      <c r="W17" s="41"/>
      <c r="X17" s="41"/>
      <c r="Y17" s="41"/>
      <c r="Z17" s="41"/>
    </row>
    <row r="18" spans="1:26" ht="31.5" customHeight="1" x14ac:dyDescent="0.2">
      <c r="A18" s="16">
        <v>15</v>
      </c>
      <c r="B18" s="43" t="s">
        <v>955</v>
      </c>
      <c r="C18" s="43" t="s">
        <v>962</v>
      </c>
      <c r="D18" s="147">
        <f>L11</f>
        <v>1.3306666666666667</v>
      </c>
      <c r="E18" s="147">
        <f>2*L46</f>
        <v>7.2426285714285719</v>
      </c>
      <c r="F18" s="15">
        <f t="shared" si="0"/>
        <v>8.5732952380952376</v>
      </c>
      <c r="G18" s="12"/>
      <c r="H18" s="49" t="s">
        <v>236</v>
      </c>
      <c r="I18" s="85" t="s">
        <v>963</v>
      </c>
      <c r="J18" s="36"/>
      <c r="K18" s="49" t="s">
        <v>386</v>
      </c>
      <c r="L18" s="67" t="s">
        <v>964</v>
      </c>
      <c r="M18" s="12"/>
      <c r="N18" s="16"/>
      <c r="O18" s="16"/>
      <c r="P18" s="12"/>
      <c r="Q18" s="68"/>
      <c r="R18" s="41"/>
      <c r="S18" s="41"/>
      <c r="T18" s="41"/>
      <c r="U18" s="41"/>
      <c r="V18" s="41"/>
      <c r="W18" s="41"/>
      <c r="X18" s="41"/>
      <c r="Y18" s="41"/>
      <c r="Z18" s="41"/>
    </row>
    <row r="19" spans="1:26" ht="31.5" customHeight="1" x14ac:dyDescent="0.2">
      <c r="A19" s="16">
        <v>16</v>
      </c>
      <c r="B19" s="43" t="s">
        <v>965</v>
      </c>
      <c r="C19" s="43" t="s">
        <v>966</v>
      </c>
      <c r="D19" s="147">
        <f>L36*5</f>
        <v>1.1405714285714286</v>
      </c>
      <c r="E19" s="147">
        <f>O11</f>
        <v>22.49</v>
      </c>
      <c r="F19" s="15">
        <f t="shared" si="0"/>
        <v>23.630571428571429</v>
      </c>
      <c r="G19" s="12"/>
      <c r="H19" s="52" t="s">
        <v>117</v>
      </c>
      <c r="I19" s="77">
        <v>1</v>
      </c>
      <c r="J19" s="12"/>
      <c r="K19" s="52" t="s">
        <v>92</v>
      </c>
      <c r="L19" s="53">
        <v>1</v>
      </c>
      <c r="M19" s="12"/>
      <c r="N19" s="16"/>
      <c r="O19" s="16"/>
      <c r="P19" s="12"/>
      <c r="Q19" s="68"/>
      <c r="R19" s="41"/>
      <c r="S19" s="41"/>
      <c r="T19" s="41"/>
      <c r="U19" s="41"/>
      <c r="V19" s="41"/>
      <c r="W19" s="41"/>
      <c r="X19" s="41"/>
      <c r="Y19" s="41"/>
      <c r="Z19" s="41"/>
    </row>
    <row r="20" spans="1:26" ht="31.5" customHeight="1" x14ac:dyDescent="0.2">
      <c r="A20" s="16">
        <v>17</v>
      </c>
      <c r="B20" s="43" t="s">
        <v>952</v>
      </c>
      <c r="C20" s="43" t="s">
        <v>953</v>
      </c>
      <c r="D20" s="147">
        <f>30*I6</f>
        <v>0.85542857142857143</v>
      </c>
      <c r="E20" s="147">
        <f>5*L26</f>
        <v>0.47523809523809524</v>
      </c>
      <c r="F20" s="15">
        <f t="shared" si="0"/>
        <v>1.3306666666666667</v>
      </c>
      <c r="G20" s="12"/>
      <c r="H20" s="55" t="s">
        <v>139</v>
      </c>
      <c r="I20" s="79">
        <v>178</v>
      </c>
      <c r="J20" s="12"/>
      <c r="K20" s="55" t="s">
        <v>98</v>
      </c>
      <c r="L20" s="166">
        <f>((L10/3)*0.2)*56</f>
        <v>522.66666666666674</v>
      </c>
      <c r="M20" s="12"/>
      <c r="N20" s="16"/>
      <c r="O20" s="16"/>
      <c r="P20" s="12"/>
      <c r="Q20" s="68"/>
      <c r="R20" s="41"/>
      <c r="S20" s="41"/>
      <c r="T20" s="41"/>
      <c r="U20" s="41"/>
      <c r="V20" s="41"/>
      <c r="W20" s="41"/>
      <c r="X20" s="41"/>
      <c r="Y20" s="41"/>
      <c r="Z20" s="41"/>
    </row>
    <row r="21" spans="1:26" ht="31.5" customHeight="1" x14ac:dyDescent="0.2">
      <c r="A21" s="16">
        <v>18</v>
      </c>
      <c r="B21" s="43" t="s">
        <v>954</v>
      </c>
      <c r="C21" s="43" t="s">
        <v>944</v>
      </c>
      <c r="D21" s="147">
        <f>25000*I16</f>
        <v>0.35642857142857143</v>
      </c>
      <c r="E21" s="147">
        <f>2*L6</f>
        <v>2.2811428571428571</v>
      </c>
      <c r="F21" s="15">
        <f t="shared" si="0"/>
        <v>2.6375714285714285</v>
      </c>
      <c r="G21" s="12"/>
      <c r="H21" s="58" t="s">
        <v>104</v>
      </c>
      <c r="I21" s="60">
        <f>IF(I19="N/A","N/A",(I20/I19))*$I$6</f>
        <v>5.0755428571428567</v>
      </c>
      <c r="J21" s="12"/>
      <c r="K21" s="58" t="s">
        <v>104</v>
      </c>
      <c r="L21" s="60">
        <f>IF(L19="N/A","N/A",(L20/L19))*$I$6</f>
        <v>14.903466666666668</v>
      </c>
      <c r="M21" s="68"/>
      <c r="N21" s="16"/>
      <c r="O21" s="16"/>
      <c r="P21" s="68"/>
      <c r="Q21" s="68"/>
      <c r="R21" s="41"/>
      <c r="S21" s="41"/>
      <c r="T21" s="41"/>
      <c r="U21" s="41"/>
      <c r="V21" s="41"/>
      <c r="W21" s="41"/>
      <c r="X21" s="41"/>
      <c r="Y21" s="41"/>
      <c r="Z21" s="41"/>
    </row>
    <row r="22" spans="1:26" ht="31.5" customHeight="1" x14ac:dyDescent="0.2">
      <c r="A22" s="16">
        <v>19</v>
      </c>
      <c r="B22" s="43" t="s">
        <v>938</v>
      </c>
      <c r="C22" s="43" t="s">
        <v>955</v>
      </c>
      <c r="D22" s="147">
        <f>L6</f>
        <v>1.1405714285714286</v>
      </c>
      <c r="E22" s="147">
        <f>L11</f>
        <v>1.3306666666666667</v>
      </c>
      <c r="F22" s="15">
        <f t="shared" si="0"/>
        <v>2.4712380952380952</v>
      </c>
      <c r="G22" s="12"/>
      <c r="H22" s="12"/>
      <c r="I22" s="12"/>
      <c r="J22" s="12"/>
      <c r="K22" s="49"/>
      <c r="L22" s="85"/>
      <c r="M22" s="68"/>
      <c r="N22" s="16"/>
      <c r="O22" s="16"/>
      <c r="P22" s="68"/>
      <c r="Q22" s="68"/>
      <c r="R22" s="41"/>
      <c r="S22" s="41"/>
      <c r="T22" s="41"/>
      <c r="U22" s="41"/>
      <c r="V22" s="41"/>
      <c r="W22" s="41"/>
      <c r="X22" s="41"/>
      <c r="Y22" s="41"/>
      <c r="Z22" s="41"/>
    </row>
    <row r="23" spans="1:26" ht="31.5" customHeight="1" x14ac:dyDescent="0.2">
      <c r="A23" s="16">
        <v>20</v>
      </c>
      <c r="B23" s="43" t="s">
        <v>951</v>
      </c>
      <c r="C23" s="43" t="s">
        <v>967</v>
      </c>
      <c r="D23" s="147">
        <f>L46</f>
        <v>3.6213142857142859</v>
      </c>
      <c r="E23" s="147">
        <f>L16*0.8</f>
        <v>5.9613866666666677</v>
      </c>
      <c r="F23" s="15">
        <f t="shared" si="0"/>
        <v>9.5827009523809537</v>
      </c>
      <c r="G23" s="12"/>
      <c r="H23" s="49" t="s">
        <v>236</v>
      </c>
      <c r="I23" s="50" t="s">
        <v>968</v>
      </c>
      <c r="J23" s="36"/>
      <c r="K23" s="49" t="s">
        <v>393</v>
      </c>
      <c r="L23" s="85" t="s">
        <v>969</v>
      </c>
      <c r="M23" s="68"/>
      <c r="N23" s="16"/>
      <c r="O23" s="15"/>
      <c r="P23" s="68"/>
      <c r="Q23" s="12"/>
      <c r="R23" s="41"/>
      <c r="S23" s="41"/>
      <c r="T23" s="41"/>
      <c r="U23" s="41"/>
      <c r="V23" s="41"/>
      <c r="W23" s="41"/>
      <c r="X23" s="41"/>
      <c r="Y23" s="41"/>
      <c r="Z23" s="41"/>
    </row>
    <row r="24" spans="1:26" ht="31.5" customHeight="1" x14ac:dyDescent="0.2">
      <c r="A24" s="16">
        <v>21</v>
      </c>
      <c r="B24" s="43" t="s">
        <v>938</v>
      </c>
      <c r="C24" s="43" t="s">
        <v>817</v>
      </c>
      <c r="D24" s="147">
        <f>L6</f>
        <v>1.1405714285714286</v>
      </c>
      <c r="E24" s="147">
        <f>100*I6</f>
        <v>2.8514285714285714</v>
      </c>
      <c r="F24" s="15">
        <f t="shared" si="0"/>
        <v>3.992</v>
      </c>
      <c r="G24" s="12"/>
      <c r="H24" s="52" t="s">
        <v>117</v>
      </c>
      <c r="I24" s="53">
        <v>1</v>
      </c>
      <c r="J24" s="12"/>
      <c r="K24" s="52" t="s">
        <v>92</v>
      </c>
      <c r="L24" s="77">
        <v>12</v>
      </c>
      <c r="M24" s="68"/>
      <c r="N24" s="16"/>
      <c r="O24" s="16"/>
      <c r="P24" s="68"/>
      <c r="Q24" s="12"/>
      <c r="R24" s="41"/>
      <c r="S24" s="41"/>
      <c r="T24" s="41"/>
      <c r="U24" s="41"/>
      <c r="V24" s="41"/>
      <c r="W24" s="41"/>
      <c r="X24" s="41"/>
      <c r="Y24" s="41"/>
      <c r="Z24" s="41"/>
    </row>
    <row r="25" spans="1:26" ht="31.5" customHeight="1" x14ac:dyDescent="0.2">
      <c r="A25" s="16">
        <v>22</v>
      </c>
      <c r="B25" s="43" t="s">
        <v>941</v>
      </c>
      <c r="C25" s="43" t="s">
        <v>942</v>
      </c>
      <c r="D25" s="147">
        <f>I31</f>
        <v>2.8514285714285714</v>
      </c>
      <c r="E25" s="147">
        <f>100000*I16</f>
        <v>1.4257142857142857</v>
      </c>
      <c r="F25" s="15">
        <f t="shared" si="0"/>
        <v>4.2771428571428576</v>
      </c>
      <c r="G25" s="12"/>
      <c r="H25" s="55" t="s">
        <v>970</v>
      </c>
      <c r="I25" s="54">
        <f>24.99-(100*I6)</f>
        <v>22.138571428571428</v>
      </c>
      <c r="J25" s="12"/>
      <c r="K25" s="55" t="s">
        <v>98</v>
      </c>
      <c r="L25" s="79">
        <v>40</v>
      </c>
      <c r="M25" s="68"/>
      <c r="N25" s="16"/>
      <c r="O25" s="16"/>
      <c r="P25" s="68"/>
      <c r="Q25" s="12"/>
      <c r="R25" s="41"/>
      <c r="S25" s="41"/>
      <c r="T25" s="41"/>
      <c r="U25" s="41"/>
      <c r="V25" s="41"/>
      <c r="W25" s="41"/>
      <c r="X25" s="41"/>
      <c r="Y25" s="41"/>
      <c r="Z25" s="41"/>
    </row>
    <row r="26" spans="1:26" ht="31.5" customHeight="1" x14ac:dyDescent="0.2">
      <c r="A26" s="16">
        <v>23</v>
      </c>
      <c r="B26" s="43" t="s">
        <v>943</v>
      </c>
      <c r="C26" s="43" t="s">
        <v>944</v>
      </c>
      <c r="D26" s="147">
        <f>3*L26</f>
        <v>0.28514285714285714</v>
      </c>
      <c r="E26" s="147">
        <f>2*L6</f>
        <v>2.2811428571428571</v>
      </c>
      <c r="F26" s="15">
        <f t="shared" si="0"/>
        <v>2.5662857142857143</v>
      </c>
      <c r="G26" s="12"/>
      <c r="H26" s="58" t="s">
        <v>104</v>
      </c>
      <c r="I26" s="60">
        <f>I25/I24</f>
        <v>22.138571428571428</v>
      </c>
      <c r="J26" s="12"/>
      <c r="K26" s="58" t="s">
        <v>104</v>
      </c>
      <c r="L26" s="60">
        <f>IF(L24="N/A","N/A",(L25/L24))*$I$6</f>
        <v>9.5047619047619047E-2</v>
      </c>
      <c r="M26" s="12"/>
      <c r="N26" s="16"/>
      <c r="O26" s="16"/>
      <c r="P26" s="12"/>
      <c r="Q26" s="12"/>
      <c r="R26" s="41"/>
      <c r="S26" s="41"/>
      <c r="T26" s="41"/>
      <c r="U26" s="41"/>
      <c r="V26" s="41"/>
      <c r="W26" s="41"/>
      <c r="X26" s="41"/>
      <c r="Y26" s="41"/>
      <c r="Z26" s="41"/>
    </row>
    <row r="27" spans="1:26" ht="31.5" customHeight="1" x14ac:dyDescent="0.2">
      <c r="A27" s="16">
        <v>24</v>
      </c>
      <c r="B27" s="43" t="s">
        <v>960</v>
      </c>
      <c r="C27" s="43" t="s">
        <v>961</v>
      </c>
      <c r="D27" s="147">
        <f>O11</f>
        <v>22.49</v>
      </c>
      <c r="E27" s="147">
        <v>0</v>
      </c>
      <c r="F27" s="15">
        <f t="shared" si="0"/>
        <v>22.49</v>
      </c>
      <c r="G27" s="12"/>
      <c r="H27" s="12"/>
      <c r="I27" s="12"/>
      <c r="J27" s="12"/>
      <c r="K27" s="12"/>
      <c r="L27" s="54"/>
      <c r="M27" s="12"/>
      <c r="N27" s="16"/>
      <c r="O27" s="16"/>
      <c r="P27" s="12"/>
      <c r="Q27" s="12"/>
      <c r="R27" s="41"/>
      <c r="S27" s="41"/>
      <c r="T27" s="41"/>
      <c r="U27" s="41"/>
      <c r="V27" s="41"/>
      <c r="W27" s="41"/>
      <c r="X27" s="41"/>
      <c r="Y27" s="41"/>
      <c r="Z27" s="41"/>
    </row>
    <row r="28" spans="1:26" ht="31.5" customHeight="1" x14ac:dyDescent="0.2">
      <c r="A28" s="16">
        <v>25</v>
      </c>
      <c r="B28" s="43" t="s">
        <v>971</v>
      </c>
      <c r="C28" s="43" t="s">
        <v>972</v>
      </c>
      <c r="D28" s="147">
        <v>0</v>
      </c>
      <c r="E28" s="147">
        <f>I21</f>
        <v>5.0755428571428567</v>
      </c>
      <c r="F28" s="15">
        <f t="shared" si="0"/>
        <v>5.0755428571428567</v>
      </c>
      <c r="G28" s="12"/>
      <c r="H28" s="49" t="s">
        <v>236</v>
      </c>
      <c r="I28" s="85" t="s">
        <v>973</v>
      </c>
      <c r="J28" s="12"/>
      <c r="K28" s="49" t="s">
        <v>399</v>
      </c>
      <c r="L28" s="83" t="s">
        <v>974</v>
      </c>
      <c r="M28" s="12"/>
      <c r="N28" s="16"/>
      <c r="O28" s="16"/>
      <c r="P28" s="12"/>
      <c r="Q28" s="12"/>
      <c r="R28" s="41"/>
      <c r="S28" s="41"/>
      <c r="T28" s="41"/>
      <c r="U28" s="41"/>
      <c r="V28" s="41"/>
      <c r="W28" s="41"/>
      <c r="X28" s="41"/>
      <c r="Y28" s="41"/>
      <c r="Z28" s="41"/>
    </row>
    <row r="29" spans="1:26" ht="31.5" customHeight="1" x14ac:dyDescent="0.2">
      <c r="A29" s="16">
        <v>26</v>
      </c>
      <c r="B29" s="43" t="s">
        <v>975</v>
      </c>
      <c r="C29" s="43" t="s">
        <v>960</v>
      </c>
      <c r="D29" s="147">
        <f>5*L36</f>
        <v>1.1405714285714286</v>
      </c>
      <c r="E29" s="147">
        <f>O11</f>
        <v>22.49</v>
      </c>
      <c r="F29" s="15">
        <f t="shared" si="0"/>
        <v>23.630571428571429</v>
      </c>
      <c r="G29" s="12"/>
      <c r="H29" s="52" t="s">
        <v>117</v>
      </c>
      <c r="I29" s="77">
        <v>1</v>
      </c>
      <c r="J29" s="12"/>
      <c r="K29" s="52" t="s">
        <v>92</v>
      </c>
      <c r="L29" s="77">
        <v>1</v>
      </c>
      <c r="M29" s="12"/>
      <c r="N29" s="16"/>
      <c r="O29" s="16"/>
      <c r="P29" s="12"/>
      <c r="Q29" s="12"/>
      <c r="R29" s="41"/>
      <c r="S29" s="41"/>
      <c r="T29" s="41"/>
      <c r="U29" s="41"/>
      <c r="V29" s="41"/>
      <c r="W29" s="41"/>
      <c r="X29" s="41"/>
      <c r="Y29" s="41"/>
      <c r="Z29" s="41"/>
    </row>
    <row r="30" spans="1:26" ht="31.5" customHeight="1" x14ac:dyDescent="0.2">
      <c r="A30" s="16">
        <v>27</v>
      </c>
      <c r="B30" s="43" t="s">
        <v>952</v>
      </c>
      <c r="C30" s="43" t="s">
        <v>953</v>
      </c>
      <c r="D30" s="147">
        <f>30*I6</f>
        <v>0.85542857142857143</v>
      </c>
      <c r="E30" s="147">
        <f>5*L26</f>
        <v>0.47523809523809524</v>
      </c>
      <c r="F30" s="15">
        <f t="shared" si="0"/>
        <v>1.3306666666666667</v>
      </c>
      <c r="G30" s="12"/>
      <c r="H30" s="55" t="s">
        <v>139</v>
      </c>
      <c r="I30" s="79">
        <v>100</v>
      </c>
      <c r="J30" s="12"/>
      <c r="K30" s="55" t="s">
        <v>98</v>
      </c>
      <c r="L30" s="79">
        <v>25</v>
      </c>
      <c r="M30" s="12"/>
      <c r="N30" s="16"/>
      <c r="O30" s="16"/>
      <c r="P30" s="12"/>
      <c r="Q30" s="12"/>
      <c r="R30" s="41"/>
      <c r="S30" s="41"/>
      <c r="T30" s="41"/>
      <c r="U30" s="41"/>
      <c r="V30" s="41"/>
      <c r="W30" s="41"/>
      <c r="X30" s="41"/>
      <c r="Y30" s="41"/>
      <c r="Z30" s="41"/>
    </row>
    <row r="31" spans="1:26" ht="31.5" customHeight="1" x14ac:dyDescent="0.2">
      <c r="A31" s="16">
        <v>28</v>
      </c>
      <c r="B31" s="43" t="s">
        <v>954</v>
      </c>
      <c r="C31" s="43" t="s">
        <v>944</v>
      </c>
      <c r="D31" s="147">
        <f>25000*I16</f>
        <v>0.35642857142857143</v>
      </c>
      <c r="E31" s="147">
        <f>2*L6</f>
        <v>2.2811428571428571</v>
      </c>
      <c r="F31" s="15">
        <f t="shared" si="0"/>
        <v>2.6375714285714285</v>
      </c>
      <c r="G31" s="12"/>
      <c r="H31" s="58" t="s">
        <v>104</v>
      </c>
      <c r="I31" s="60">
        <f>IF(I29="N/A","N/A",(I30/I29))*$I$6</f>
        <v>2.8514285714285714</v>
      </c>
      <c r="J31" s="12"/>
      <c r="K31" s="58" t="s">
        <v>104</v>
      </c>
      <c r="L31" s="60">
        <f>IF(L29="N/A","N/A",(L30/L29))*$I$6</f>
        <v>0.71285714285714286</v>
      </c>
      <c r="M31" s="12"/>
      <c r="N31" s="16"/>
      <c r="O31" s="16"/>
      <c r="P31" s="12"/>
      <c r="Q31" s="12"/>
      <c r="R31" s="41"/>
      <c r="S31" s="41"/>
      <c r="T31" s="41"/>
      <c r="U31" s="41"/>
      <c r="V31" s="41"/>
      <c r="W31" s="41"/>
      <c r="X31" s="41"/>
      <c r="Y31" s="41"/>
      <c r="Z31" s="41"/>
    </row>
    <row r="32" spans="1:26" ht="31.5" customHeight="1" x14ac:dyDescent="0.2">
      <c r="A32" s="16">
        <v>29</v>
      </c>
      <c r="B32" s="43" t="s">
        <v>938</v>
      </c>
      <c r="C32" s="43" t="s">
        <v>955</v>
      </c>
      <c r="D32" s="147">
        <f>L6</f>
        <v>1.1405714285714286</v>
      </c>
      <c r="E32" s="147">
        <f>L11</f>
        <v>1.3306666666666667</v>
      </c>
      <c r="F32" s="15">
        <f t="shared" si="0"/>
        <v>2.4712380952380952</v>
      </c>
      <c r="G32" s="12"/>
      <c r="H32" s="52"/>
      <c r="I32" s="53"/>
      <c r="J32" s="12"/>
      <c r="K32" s="64"/>
      <c r="L32" s="69"/>
      <c r="M32" s="12"/>
      <c r="N32" s="16"/>
      <c r="O32" s="16"/>
      <c r="P32" s="12"/>
      <c r="Q32" s="12"/>
      <c r="R32" s="41"/>
      <c r="S32" s="41"/>
      <c r="T32" s="41"/>
      <c r="U32" s="41"/>
      <c r="V32" s="41"/>
      <c r="W32" s="41"/>
      <c r="X32" s="41"/>
      <c r="Y32" s="41"/>
      <c r="Z32" s="41"/>
    </row>
    <row r="33" spans="1:26" ht="31.5" customHeight="1" x14ac:dyDescent="0.2">
      <c r="A33" s="16">
        <v>30</v>
      </c>
      <c r="B33" s="43" t="s">
        <v>946</v>
      </c>
      <c r="C33" s="43" t="s">
        <v>976</v>
      </c>
      <c r="D33" s="147">
        <f>I11</f>
        <v>2.2811428571428571</v>
      </c>
      <c r="E33" s="147">
        <f>L56</f>
        <v>2.5662857142857143</v>
      </c>
      <c r="F33" s="15">
        <f t="shared" si="0"/>
        <v>4.847428571428571</v>
      </c>
      <c r="G33" s="12"/>
      <c r="H33" s="49" t="s">
        <v>407</v>
      </c>
      <c r="I33" s="50" t="s">
        <v>977</v>
      </c>
      <c r="J33" s="12"/>
      <c r="K33" s="49" t="s">
        <v>403</v>
      </c>
      <c r="L33" s="85" t="s">
        <v>978</v>
      </c>
      <c r="M33" s="12"/>
      <c r="N33" s="16"/>
      <c r="O33" s="16"/>
      <c r="P33" s="12"/>
      <c r="Q33" s="12"/>
      <c r="R33" s="41"/>
      <c r="S33" s="41"/>
      <c r="T33" s="41"/>
      <c r="U33" s="41"/>
      <c r="V33" s="41"/>
      <c r="W33" s="41"/>
      <c r="X33" s="41"/>
      <c r="Y33" s="41"/>
      <c r="Z33" s="41"/>
    </row>
    <row r="34" spans="1:26" ht="31.5" customHeight="1" x14ac:dyDescent="0.2">
      <c r="A34" s="16">
        <v>31</v>
      </c>
      <c r="B34" s="43" t="s">
        <v>938</v>
      </c>
      <c r="C34" s="43" t="s">
        <v>817</v>
      </c>
      <c r="D34" s="147">
        <f>L6</f>
        <v>1.1405714285714286</v>
      </c>
      <c r="E34" s="147">
        <f>100*I6</f>
        <v>2.8514285714285714</v>
      </c>
      <c r="F34" s="15">
        <f t="shared" si="0"/>
        <v>3.992</v>
      </c>
      <c r="G34" s="12"/>
      <c r="H34" s="52" t="s">
        <v>92</v>
      </c>
      <c r="I34" s="53">
        <v>1</v>
      </c>
      <c r="J34" s="12"/>
      <c r="K34" s="52" t="s">
        <v>92</v>
      </c>
      <c r="L34" s="77">
        <v>1</v>
      </c>
      <c r="M34" s="12"/>
      <c r="N34" s="16"/>
      <c r="O34" s="16"/>
      <c r="P34" s="12"/>
      <c r="Q34" s="12"/>
      <c r="R34" s="41"/>
      <c r="S34" s="41"/>
      <c r="T34" s="41"/>
      <c r="U34" s="41"/>
      <c r="V34" s="41"/>
      <c r="W34" s="41"/>
      <c r="X34" s="41"/>
      <c r="Y34" s="41"/>
      <c r="Z34" s="41"/>
    </row>
    <row r="35" spans="1:26" ht="31.5" customHeight="1" x14ac:dyDescent="0.2">
      <c r="A35" s="16">
        <v>32</v>
      </c>
      <c r="B35" s="43" t="s">
        <v>941</v>
      </c>
      <c r="C35" s="43" t="s">
        <v>942</v>
      </c>
      <c r="D35" s="147">
        <f>I31</f>
        <v>2.8514285714285714</v>
      </c>
      <c r="E35" s="15">
        <f>(1000008*I16)</f>
        <v>14.257256914285714</v>
      </c>
      <c r="F35" s="15">
        <f t="shared" si="0"/>
        <v>17.108685485714286</v>
      </c>
      <c r="G35" s="12"/>
      <c r="H35" s="55" t="s">
        <v>979</v>
      </c>
      <c r="I35" s="54">
        <v>24.99</v>
      </c>
      <c r="J35" s="12"/>
      <c r="K35" s="55" t="s">
        <v>98</v>
      </c>
      <c r="L35" s="79">
        <v>8</v>
      </c>
      <c r="M35" s="12"/>
      <c r="N35" s="16"/>
      <c r="O35" s="16"/>
      <c r="P35" s="12"/>
      <c r="Q35" s="12"/>
      <c r="R35" s="41"/>
      <c r="S35" s="41"/>
      <c r="T35" s="41"/>
      <c r="U35" s="41"/>
      <c r="V35" s="41"/>
      <c r="W35" s="41"/>
      <c r="X35" s="41"/>
      <c r="Y35" s="41"/>
      <c r="Z35" s="41"/>
    </row>
    <row r="36" spans="1:26" ht="31.5" customHeight="1" x14ac:dyDescent="0.2">
      <c r="A36" s="16">
        <v>33</v>
      </c>
      <c r="B36" s="43" t="s">
        <v>943</v>
      </c>
      <c r="C36" s="43" t="s">
        <v>944</v>
      </c>
      <c r="D36" s="147">
        <f>3*L26</f>
        <v>0.28514285714285714</v>
      </c>
      <c r="E36" s="147">
        <f>2*L6</f>
        <v>2.2811428571428571</v>
      </c>
      <c r="F36" s="15">
        <f t="shared" si="0"/>
        <v>2.5662857142857143</v>
      </c>
      <c r="G36" s="12"/>
      <c r="H36" s="58" t="s">
        <v>104</v>
      </c>
      <c r="I36" s="60">
        <f>I35/I34</f>
        <v>24.99</v>
      </c>
      <c r="J36" s="12"/>
      <c r="K36" s="58" t="s">
        <v>104</v>
      </c>
      <c r="L36" s="60">
        <f>IF(L34="N/A","N/A",(L35/L34))*$I$6</f>
        <v>0.22811428571428571</v>
      </c>
      <c r="M36" s="12"/>
      <c r="N36" s="16"/>
      <c r="O36" s="16"/>
      <c r="P36" s="12"/>
      <c r="Q36" s="12"/>
      <c r="R36" s="41"/>
      <c r="S36" s="41"/>
      <c r="T36" s="41"/>
      <c r="U36" s="41"/>
      <c r="V36" s="41"/>
      <c r="W36" s="41"/>
      <c r="X36" s="41"/>
      <c r="Y36" s="41"/>
      <c r="Z36" s="41"/>
    </row>
    <row r="37" spans="1:26" ht="31.5" customHeight="1" x14ac:dyDescent="0.2">
      <c r="A37" s="16">
        <v>34</v>
      </c>
      <c r="B37" s="43" t="s">
        <v>960</v>
      </c>
      <c r="C37" s="43" t="s">
        <v>961</v>
      </c>
      <c r="D37" s="147">
        <f>O11</f>
        <v>22.49</v>
      </c>
      <c r="E37" s="147">
        <v>0</v>
      </c>
      <c r="F37" s="15">
        <f t="shared" si="0"/>
        <v>22.49</v>
      </c>
      <c r="G37" s="12"/>
      <c r="H37" s="82"/>
      <c r="I37" s="82"/>
      <c r="J37" s="12"/>
      <c r="K37" s="12"/>
      <c r="L37" s="12"/>
      <c r="M37" s="12"/>
      <c r="N37" s="16"/>
      <c r="O37" s="16"/>
      <c r="P37" s="12"/>
      <c r="Q37" s="12"/>
      <c r="R37" s="41"/>
      <c r="S37" s="41"/>
      <c r="T37" s="41"/>
      <c r="U37" s="41"/>
      <c r="V37" s="41"/>
      <c r="W37" s="41"/>
      <c r="X37" s="41"/>
      <c r="Y37" s="41"/>
      <c r="Z37" s="41"/>
    </row>
    <row r="38" spans="1:26" ht="31.5" customHeight="1" x14ac:dyDescent="0.2">
      <c r="A38" s="16">
        <v>35</v>
      </c>
      <c r="B38" s="43" t="s">
        <v>951</v>
      </c>
      <c r="C38" s="43" t="s">
        <v>980</v>
      </c>
      <c r="D38" s="147">
        <f>L46</f>
        <v>3.6213142857142859</v>
      </c>
      <c r="E38" s="147">
        <v>0</v>
      </c>
      <c r="F38" s="15">
        <f t="shared" si="0"/>
        <v>3.6213142857142859</v>
      </c>
      <c r="G38" s="12"/>
      <c r="H38" s="49" t="s">
        <v>490</v>
      </c>
      <c r="I38" s="50" t="s">
        <v>981</v>
      </c>
      <c r="J38" s="12"/>
      <c r="K38" s="49" t="s">
        <v>405</v>
      </c>
      <c r="L38" s="85" t="s">
        <v>982</v>
      </c>
      <c r="M38" s="12"/>
      <c r="N38" s="16"/>
      <c r="O38" s="16"/>
      <c r="P38" s="12"/>
      <c r="Q38" s="12"/>
      <c r="R38" s="41"/>
      <c r="S38" s="41"/>
      <c r="T38" s="41"/>
      <c r="U38" s="41"/>
      <c r="V38" s="41"/>
      <c r="W38" s="41"/>
      <c r="X38" s="41"/>
      <c r="Y38" s="41"/>
      <c r="Z38" s="41"/>
    </row>
    <row r="39" spans="1:26" ht="31.5" customHeight="1" x14ac:dyDescent="0.2">
      <c r="A39" s="16">
        <v>36</v>
      </c>
      <c r="B39" s="43" t="s">
        <v>983</v>
      </c>
      <c r="C39" s="43" t="s">
        <v>966</v>
      </c>
      <c r="D39" s="147">
        <f>5*L36</f>
        <v>1.1405714285714286</v>
      </c>
      <c r="E39" s="147">
        <f>O11</f>
        <v>22.49</v>
      </c>
      <c r="F39" s="15">
        <f t="shared" si="0"/>
        <v>23.630571428571429</v>
      </c>
      <c r="G39" s="12"/>
      <c r="H39" s="52" t="s">
        <v>92</v>
      </c>
      <c r="I39" s="53">
        <v>2</v>
      </c>
      <c r="J39" s="12"/>
      <c r="K39" s="52" t="s">
        <v>92</v>
      </c>
      <c r="L39" s="77">
        <v>1</v>
      </c>
      <c r="M39" s="12"/>
      <c r="N39" s="16"/>
      <c r="O39" s="16"/>
      <c r="P39" s="12"/>
      <c r="Q39" s="12"/>
      <c r="R39" s="41"/>
      <c r="S39" s="41"/>
      <c r="T39" s="41"/>
      <c r="U39" s="41"/>
      <c r="V39" s="41"/>
      <c r="W39" s="41"/>
      <c r="X39" s="41"/>
      <c r="Y39" s="41"/>
      <c r="Z39" s="41"/>
    </row>
    <row r="40" spans="1:26" ht="31.5" customHeight="1" x14ac:dyDescent="0.2">
      <c r="A40" s="16">
        <v>37</v>
      </c>
      <c r="B40" s="43" t="s">
        <v>952</v>
      </c>
      <c r="C40" s="43" t="s">
        <v>953</v>
      </c>
      <c r="D40" s="147">
        <f>30*I6</f>
        <v>0.85542857142857143</v>
      </c>
      <c r="E40" s="147">
        <f>5*L26</f>
        <v>0.47523809523809524</v>
      </c>
      <c r="F40" s="15">
        <f t="shared" si="0"/>
        <v>1.3306666666666667</v>
      </c>
      <c r="G40" s="12"/>
      <c r="H40" s="55" t="s">
        <v>979</v>
      </c>
      <c r="I40" s="54">
        <v>9.99</v>
      </c>
      <c r="J40" s="12"/>
      <c r="K40" s="55" t="s">
        <v>98</v>
      </c>
      <c r="L40" s="79">
        <v>66</v>
      </c>
      <c r="M40" s="12"/>
      <c r="N40" s="16"/>
      <c r="O40" s="16"/>
      <c r="P40" s="12"/>
      <c r="Q40" s="12"/>
      <c r="R40" s="41"/>
      <c r="S40" s="41"/>
      <c r="T40" s="41"/>
      <c r="U40" s="41"/>
      <c r="V40" s="41"/>
      <c r="W40" s="41"/>
      <c r="X40" s="41"/>
      <c r="Y40" s="41"/>
      <c r="Z40" s="41"/>
    </row>
    <row r="41" spans="1:26" ht="31.5" customHeight="1" x14ac:dyDescent="0.2">
      <c r="A41" s="16">
        <v>38</v>
      </c>
      <c r="B41" s="43" t="s">
        <v>954</v>
      </c>
      <c r="C41" s="43" t="s">
        <v>944</v>
      </c>
      <c r="D41" s="147">
        <f>25000*I16</f>
        <v>0.35642857142857143</v>
      </c>
      <c r="E41" s="147">
        <f>2*L6</f>
        <v>2.2811428571428571</v>
      </c>
      <c r="F41" s="15">
        <f t="shared" si="0"/>
        <v>2.6375714285714285</v>
      </c>
      <c r="G41" s="12"/>
      <c r="H41" s="58" t="s">
        <v>104</v>
      </c>
      <c r="I41" s="60">
        <f>I40/I39</f>
        <v>4.9950000000000001</v>
      </c>
      <c r="J41" s="12"/>
      <c r="K41" s="58" t="s">
        <v>104</v>
      </c>
      <c r="L41" s="60">
        <f>IF(L39="N/A","N/A",(L40/L39))*$I$6</f>
        <v>1.8819428571428571</v>
      </c>
      <c r="M41" s="12"/>
      <c r="N41" s="16"/>
      <c r="O41" s="16"/>
      <c r="P41" s="12"/>
      <c r="Q41" s="12"/>
      <c r="R41" s="41"/>
      <c r="S41" s="41"/>
      <c r="T41" s="41"/>
      <c r="U41" s="41"/>
      <c r="V41" s="41"/>
      <c r="W41" s="41"/>
      <c r="X41" s="41"/>
      <c r="Y41" s="41"/>
      <c r="Z41" s="41"/>
    </row>
    <row r="42" spans="1:26" ht="31.5" customHeight="1" x14ac:dyDescent="0.2">
      <c r="A42" s="16">
        <v>39</v>
      </c>
      <c r="B42" s="43" t="s">
        <v>938</v>
      </c>
      <c r="C42" s="43" t="s">
        <v>955</v>
      </c>
      <c r="D42" s="147">
        <f>L6</f>
        <v>1.1405714285714286</v>
      </c>
      <c r="E42" s="147">
        <f>L11</f>
        <v>1.3306666666666667</v>
      </c>
      <c r="F42" s="15">
        <f t="shared" si="0"/>
        <v>2.4712380952380952</v>
      </c>
      <c r="G42" s="12"/>
      <c r="H42" s="12"/>
      <c r="I42" s="12"/>
      <c r="J42" s="12"/>
      <c r="K42" s="12"/>
      <c r="L42" s="12"/>
      <c r="M42" s="12"/>
      <c r="N42" s="16"/>
      <c r="O42" s="16"/>
      <c r="P42" s="12"/>
      <c r="Q42" s="12"/>
      <c r="R42" s="41"/>
      <c r="S42" s="41"/>
      <c r="T42" s="41"/>
      <c r="U42" s="41"/>
      <c r="V42" s="41"/>
      <c r="W42" s="41"/>
      <c r="X42" s="41"/>
      <c r="Y42" s="41"/>
      <c r="Z42" s="41"/>
    </row>
    <row r="43" spans="1:26" ht="31.5" customHeight="1" x14ac:dyDescent="0.2">
      <c r="A43" s="16">
        <v>40</v>
      </c>
      <c r="B43" s="43" t="s">
        <v>957</v>
      </c>
      <c r="C43" s="43" t="s">
        <v>984</v>
      </c>
      <c r="D43" s="147">
        <f>I41</f>
        <v>4.9950000000000001</v>
      </c>
      <c r="E43" s="147">
        <f>I36</f>
        <v>24.99</v>
      </c>
      <c r="F43" s="15">
        <f t="shared" si="0"/>
        <v>29.984999999999999</v>
      </c>
      <c r="G43" s="12"/>
      <c r="H43" s="12"/>
      <c r="I43" s="12"/>
      <c r="J43" s="12"/>
      <c r="K43" s="49" t="s">
        <v>407</v>
      </c>
      <c r="L43" s="85" t="s">
        <v>985</v>
      </c>
      <c r="M43" s="12"/>
      <c r="N43" s="16"/>
      <c r="O43" s="16"/>
      <c r="P43" s="12"/>
      <c r="Q43" s="12"/>
      <c r="R43" s="41"/>
      <c r="S43" s="41"/>
      <c r="T43" s="41"/>
      <c r="U43" s="41"/>
      <c r="V43" s="41"/>
      <c r="W43" s="41"/>
      <c r="X43" s="41"/>
      <c r="Y43" s="41"/>
      <c r="Z43" s="41"/>
    </row>
    <row r="44" spans="1:26" ht="31.5" customHeight="1" x14ac:dyDescent="0.2">
      <c r="A44" s="16">
        <v>41</v>
      </c>
      <c r="B44" s="43" t="s">
        <v>938</v>
      </c>
      <c r="C44" s="43" t="s">
        <v>817</v>
      </c>
      <c r="D44" s="147">
        <f>L6</f>
        <v>1.1405714285714286</v>
      </c>
      <c r="E44" s="147">
        <f>100*I6</f>
        <v>2.8514285714285714</v>
      </c>
      <c r="F44" s="15">
        <f t="shared" si="0"/>
        <v>3.992</v>
      </c>
      <c r="G44" s="12"/>
      <c r="H44" s="12"/>
      <c r="I44" s="12"/>
      <c r="J44" s="12"/>
      <c r="K44" s="52" t="s">
        <v>92</v>
      </c>
      <c r="L44" s="77">
        <v>1</v>
      </c>
      <c r="M44" s="12"/>
      <c r="N44" s="16"/>
      <c r="O44" s="16"/>
      <c r="P44" s="12"/>
      <c r="Q44" s="12"/>
      <c r="R44" s="41"/>
      <c r="S44" s="41"/>
      <c r="T44" s="41"/>
      <c r="U44" s="41"/>
      <c r="V44" s="41"/>
      <c r="W44" s="41"/>
      <c r="X44" s="41"/>
      <c r="Y44" s="41"/>
      <c r="Z44" s="41"/>
    </row>
    <row r="45" spans="1:26" ht="31.5" customHeight="1" x14ac:dyDescent="0.2">
      <c r="A45" s="16">
        <v>42</v>
      </c>
      <c r="B45" s="43" t="s">
        <v>941</v>
      </c>
      <c r="C45" s="43" t="s">
        <v>942</v>
      </c>
      <c r="D45" s="147">
        <f>I31</f>
        <v>2.8514285714285714</v>
      </c>
      <c r="E45" s="147">
        <f>100000*I16</f>
        <v>1.4257142857142857</v>
      </c>
      <c r="F45" s="15">
        <f t="shared" si="0"/>
        <v>4.2771428571428576</v>
      </c>
      <c r="G45" s="12"/>
      <c r="H45" s="12"/>
      <c r="I45" s="12"/>
      <c r="J45" s="12"/>
      <c r="K45" s="55" t="s">
        <v>98</v>
      </c>
      <c r="L45" s="79">
        <v>127</v>
      </c>
      <c r="M45" s="12"/>
      <c r="N45" s="16"/>
      <c r="O45" s="16"/>
      <c r="P45" s="12"/>
      <c r="Q45" s="12"/>
      <c r="R45" s="41"/>
      <c r="S45" s="41"/>
      <c r="T45" s="41"/>
      <c r="U45" s="41"/>
      <c r="V45" s="41"/>
      <c r="W45" s="41"/>
      <c r="X45" s="41"/>
      <c r="Y45" s="41"/>
      <c r="Z45" s="41"/>
    </row>
    <row r="46" spans="1:26" ht="31.5" customHeight="1" x14ac:dyDescent="0.2">
      <c r="A46" s="16">
        <v>43</v>
      </c>
      <c r="B46" s="43" t="s">
        <v>943</v>
      </c>
      <c r="C46" s="43" t="s">
        <v>944</v>
      </c>
      <c r="D46" s="147">
        <f>3*L26</f>
        <v>0.28514285714285714</v>
      </c>
      <c r="E46" s="147">
        <f>2*L6</f>
        <v>2.2811428571428571</v>
      </c>
      <c r="F46" s="15">
        <f t="shared" si="0"/>
        <v>2.5662857142857143</v>
      </c>
      <c r="G46" s="12"/>
      <c r="H46" s="12"/>
      <c r="I46" s="12"/>
      <c r="J46" s="12"/>
      <c r="K46" s="58" t="s">
        <v>104</v>
      </c>
      <c r="L46" s="60">
        <f>IF(L44="N/A","N/A",(L45/L44))*$I$6</f>
        <v>3.6213142857142859</v>
      </c>
      <c r="M46" s="12"/>
      <c r="N46" s="16"/>
      <c r="O46" s="16"/>
      <c r="P46" s="12"/>
      <c r="Q46" s="12"/>
      <c r="R46" s="41"/>
      <c r="S46" s="41"/>
      <c r="T46" s="41"/>
      <c r="U46" s="41"/>
      <c r="V46" s="41"/>
      <c r="W46" s="41"/>
      <c r="X46" s="41"/>
      <c r="Y46" s="41"/>
      <c r="Z46" s="41"/>
    </row>
    <row r="47" spans="1:26" ht="31.5" customHeight="1" x14ac:dyDescent="0.2">
      <c r="A47" s="16">
        <v>44</v>
      </c>
      <c r="B47" s="43" t="s">
        <v>986</v>
      </c>
      <c r="C47" s="43" t="s">
        <v>987</v>
      </c>
      <c r="D47" s="147">
        <f>O6</f>
        <v>33.323333333333331</v>
      </c>
      <c r="E47" s="147">
        <v>0</v>
      </c>
      <c r="F47" s="15">
        <f t="shared" si="0"/>
        <v>33.323333333333331</v>
      </c>
      <c r="G47" s="12"/>
      <c r="H47" s="12"/>
      <c r="I47" s="12"/>
      <c r="J47" s="12"/>
      <c r="K47" s="12"/>
      <c r="L47" s="12"/>
      <c r="M47" s="12"/>
      <c r="N47" s="16"/>
      <c r="O47" s="16"/>
      <c r="P47" s="12"/>
      <c r="Q47" s="12"/>
      <c r="R47" s="41"/>
      <c r="S47" s="41"/>
      <c r="T47" s="41"/>
      <c r="U47" s="41"/>
      <c r="V47" s="41"/>
      <c r="W47" s="41"/>
      <c r="X47" s="41"/>
      <c r="Y47" s="41"/>
      <c r="Z47" s="41"/>
    </row>
    <row r="48" spans="1:26" ht="31.5" customHeight="1" x14ac:dyDescent="0.2">
      <c r="A48" s="16">
        <v>45</v>
      </c>
      <c r="B48" s="43" t="s">
        <v>955</v>
      </c>
      <c r="C48" s="43" t="s">
        <v>988</v>
      </c>
      <c r="D48" s="147">
        <f>L11</f>
        <v>1.3306666666666667</v>
      </c>
      <c r="E48" s="147">
        <f>L51</f>
        <v>19.019028571428571</v>
      </c>
      <c r="F48" s="15">
        <f t="shared" si="0"/>
        <v>20.349695238095237</v>
      </c>
      <c r="G48" s="12"/>
      <c r="H48" s="12"/>
      <c r="I48" s="12"/>
      <c r="J48" s="12"/>
      <c r="K48" s="49" t="s">
        <v>490</v>
      </c>
      <c r="L48" s="85" t="s">
        <v>989</v>
      </c>
      <c r="M48" s="12"/>
      <c r="N48" s="16"/>
      <c r="O48" s="16"/>
      <c r="P48" s="12"/>
      <c r="Q48" s="12"/>
      <c r="R48" s="41"/>
      <c r="S48" s="41"/>
      <c r="T48" s="41"/>
      <c r="U48" s="41"/>
      <c r="V48" s="41"/>
      <c r="W48" s="41"/>
      <c r="X48" s="41"/>
      <c r="Y48" s="41"/>
      <c r="Z48" s="41"/>
    </row>
    <row r="49" spans="1:26" ht="31.5" customHeight="1" x14ac:dyDescent="0.2">
      <c r="A49" s="16">
        <v>46</v>
      </c>
      <c r="B49" s="43" t="s">
        <v>990</v>
      </c>
      <c r="C49" s="43" t="s">
        <v>986</v>
      </c>
      <c r="D49" s="147">
        <f>5*L36</f>
        <v>1.1405714285714286</v>
      </c>
      <c r="E49" s="147">
        <f>O6</f>
        <v>33.323333333333331</v>
      </c>
      <c r="F49" s="15">
        <f t="shared" si="0"/>
        <v>34.463904761904757</v>
      </c>
      <c r="G49" s="12"/>
      <c r="H49" s="12"/>
      <c r="I49" s="12"/>
      <c r="J49" s="12"/>
      <c r="K49" s="52" t="s">
        <v>92</v>
      </c>
      <c r="L49" s="77">
        <v>1</v>
      </c>
      <c r="M49" s="12"/>
      <c r="N49" s="16"/>
      <c r="O49" s="16"/>
      <c r="P49" s="12"/>
      <c r="Q49" s="12"/>
      <c r="R49" s="41"/>
      <c r="S49" s="41"/>
      <c r="T49" s="41"/>
      <c r="U49" s="41"/>
      <c r="V49" s="41"/>
      <c r="W49" s="41"/>
      <c r="X49" s="41"/>
      <c r="Y49" s="41"/>
      <c r="Z49" s="41"/>
    </row>
    <row r="50" spans="1:26" ht="31.5" customHeight="1" x14ac:dyDescent="0.2">
      <c r="A50" s="16">
        <v>47</v>
      </c>
      <c r="B50" s="43" t="s">
        <v>952</v>
      </c>
      <c r="C50" s="43" t="s">
        <v>953</v>
      </c>
      <c r="D50" s="147">
        <f>30*I6</f>
        <v>0.85542857142857143</v>
      </c>
      <c r="E50" s="147">
        <f>5*L26</f>
        <v>0.47523809523809524</v>
      </c>
      <c r="F50" s="15">
        <f t="shared" si="0"/>
        <v>1.3306666666666667</v>
      </c>
      <c r="G50" s="12"/>
      <c r="H50" s="12"/>
      <c r="I50" s="12"/>
      <c r="J50" s="12"/>
      <c r="K50" s="55" t="s">
        <v>98</v>
      </c>
      <c r="L50" s="79">
        <v>667</v>
      </c>
      <c r="M50" s="12"/>
      <c r="N50" s="16"/>
      <c r="O50" s="16"/>
      <c r="P50" s="12"/>
      <c r="Q50" s="12"/>
      <c r="R50" s="41"/>
      <c r="S50" s="41"/>
      <c r="T50" s="41"/>
      <c r="U50" s="41"/>
      <c r="V50" s="41"/>
      <c r="W50" s="41"/>
      <c r="X50" s="41"/>
      <c r="Y50" s="41"/>
      <c r="Z50" s="41"/>
    </row>
    <row r="51" spans="1:26" ht="31.5" customHeight="1" x14ac:dyDescent="0.2">
      <c r="A51" s="16">
        <v>48</v>
      </c>
      <c r="B51" s="43" t="s">
        <v>954</v>
      </c>
      <c r="C51" s="43" t="s">
        <v>944</v>
      </c>
      <c r="D51" s="147">
        <f>25000*I16</f>
        <v>0.35642857142857143</v>
      </c>
      <c r="E51" s="147">
        <f>2*L6</f>
        <v>2.2811428571428571</v>
      </c>
      <c r="F51" s="15">
        <f t="shared" si="0"/>
        <v>2.6375714285714285</v>
      </c>
      <c r="G51" s="12"/>
      <c r="H51" s="12"/>
      <c r="I51" s="12"/>
      <c r="J51" s="12"/>
      <c r="K51" s="58" t="s">
        <v>104</v>
      </c>
      <c r="L51" s="60">
        <f>IF(L49="N/A","N/A",(L50/L49))*$I$6</f>
        <v>19.019028571428571</v>
      </c>
      <c r="M51" s="12"/>
      <c r="N51" s="16"/>
      <c r="O51" s="16"/>
      <c r="P51" s="12"/>
      <c r="Q51" s="12"/>
      <c r="R51" s="41"/>
      <c r="S51" s="41"/>
      <c r="T51" s="41"/>
      <c r="U51" s="41"/>
      <c r="V51" s="41"/>
      <c r="W51" s="41"/>
      <c r="X51" s="41"/>
      <c r="Y51" s="41"/>
      <c r="Z51" s="41"/>
    </row>
    <row r="52" spans="1:26" ht="31.5" customHeight="1" x14ac:dyDescent="0.2">
      <c r="A52" s="16">
        <v>49</v>
      </c>
      <c r="B52" s="43" t="s">
        <v>938</v>
      </c>
      <c r="C52" s="43" t="s">
        <v>955</v>
      </c>
      <c r="D52" s="147">
        <f>L6</f>
        <v>1.1405714285714286</v>
      </c>
      <c r="E52" s="147">
        <f>L11</f>
        <v>1.3306666666666667</v>
      </c>
      <c r="F52" s="15">
        <f t="shared" si="0"/>
        <v>2.4712380952380952</v>
      </c>
      <c r="G52" s="12"/>
      <c r="H52" s="12"/>
      <c r="I52" s="12"/>
      <c r="J52" s="12"/>
      <c r="K52" s="12"/>
      <c r="L52" s="12"/>
      <c r="M52" s="12"/>
      <c r="N52" s="16"/>
      <c r="O52" s="16"/>
      <c r="P52" s="12"/>
      <c r="Q52" s="12"/>
      <c r="R52" s="41"/>
      <c r="S52" s="41"/>
      <c r="T52" s="41"/>
      <c r="U52" s="41"/>
      <c r="V52" s="41"/>
      <c r="W52" s="41"/>
      <c r="X52" s="41"/>
      <c r="Y52" s="41"/>
      <c r="Z52" s="41"/>
    </row>
    <row r="53" spans="1:26" ht="31.5" customHeight="1" x14ac:dyDescent="0.2">
      <c r="A53" s="16">
        <v>50</v>
      </c>
      <c r="B53" s="43" t="s">
        <v>991</v>
      </c>
      <c r="C53" s="43" t="s">
        <v>967</v>
      </c>
      <c r="D53" s="147">
        <f>L56</f>
        <v>2.5662857142857143</v>
      </c>
      <c r="E53" s="147">
        <f>L16*0.44</f>
        <v>3.2787626666666672</v>
      </c>
      <c r="F53" s="15">
        <f t="shared" si="0"/>
        <v>5.845048380952381</v>
      </c>
      <c r="G53" s="12"/>
      <c r="H53" s="12"/>
      <c r="I53" s="12"/>
      <c r="J53" s="12"/>
      <c r="K53" s="49" t="s">
        <v>491</v>
      </c>
      <c r="L53" s="67" t="s">
        <v>992</v>
      </c>
      <c r="M53" s="12"/>
      <c r="N53" s="16"/>
      <c r="O53" s="16"/>
      <c r="P53" s="12"/>
      <c r="Q53" s="12"/>
      <c r="R53" s="41"/>
      <c r="S53" s="41"/>
      <c r="T53" s="41"/>
      <c r="U53" s="41"/>
      <c r="V53" s="41"/>
      <c r="W53" s="41"/>
      <c r="X53" s="41"/>
      <c r="Y53" s="41"/>
      <c r="Z53" s="41"/>
    </row>
    <row r="54" spans="1:26" ht="31.5" customHeight="1" x14ac:dyDescent="0.2">
      <c r="A54" s="16">
        <v>51</v>
      </c>
      <c r="B54" s="43" t="s">
        <v>938</v>
      </c>
      <c r="C54" s="43" t="s">
        <v>817</v>
      </c>
      <c r="D54" s="147">
        <f>L6</f>
        <v>1.1405714285714286</v>
      </c>
      <c r="E54" s="147">
        <f>100*I6</f>
        <v>2.8514285714285714</v>
      </c>
      <c r="F54" s="15">
        <f t="shared" si="0"/>
        <v>3.992</v>
      </c>
      <c r="G54" s="12"/>
      <c r="H54" s="12"/>
      <c r="I54" s="12"/>
      <c r="J54" s="12"/>
      <c r="K54" s="52" t="s">
        <v>92</v>
      </c>
      <c r="L54" s="53">
        <v>1</v>
      </c>
      <c r="M54" s="12"/>
      <c r="N54" s="43"/>
      <c r="O54" s="16"/>
      <c r="P54" s="12"/>
      <c r="Q54" s="12"/>
      <c r="R54" s="41"/>
      <c r="S54" s="41"/>
      <c r="T54" s="41"/>
      <c r="U54" s="41"/>
      <c r="V54" s="41"/>
      <c r="W54" s="41"/>
      <c r="X54" s="41"/>
      <c r="Y54" s="41"/>
      <c r="Z54" s="41"/>
    </row>
    <row r="55" spans="1:26" ht="31.5" customHeight="1" x14ac:dyDescent="0.2">
      <c r="A55" s="16">
        <v>52</v>
      </c>
      <c r="B55" s="43" t="s">
        <v>941</v>
      </c>
      <c r="C55" s="43" t="s">
        <v>942</v>
      </c>
      <c r="D55" s="147">
        <f>I31</f>
        <v>2.8514285714285714</v>
      </c>
      <c r="E55" s="147">
        <f>100000*I16</f>
        <v>1.4257142857142857</v>
      </c>
      <c r="F55" s="15">
        <f t="shared" si="0"/>
        <v>4.2771428571428576</v>
      </c>
      <c r="G55" s="12"/>
      <c r="H55" s="12"/>
      <c r="I55" s="12"/>
      <c r="J55" s="12"/>
      <c r="K55" s="55" t="s">
        <v>98</v>
      </c>
      <c r="L55" s="150">
        <f>(1*I10)+(20000/I14*I15)</f>
        <v>90</v>
      </c>
      <c r="M55" s="12"/>
      <c r="N55" s="151"/>
      <c r="O55" s="15"/>
      <c r="P55" s="12"/>
      <c r="Q55" s="12"/>
      <c r="R55" s="41"/>
      <c r="S55" s="41"/>
      <c r="T55" s="41"/>
      <c r="U55" s="41"/>
      <c r="V55" s="41"/>
      <c r="W55" s="41"/>
      <c r="X55" s="41"/>
      <c r="Y55" s="41"/>
      <c r="Z55" s="41"/>
    </row>
    <row r="56" spans="1:26" ht="31.5" customHeight="1" x14ac:dyDescent="0.2">
      <c r="A56" s="16">
        <v>53</v>
      </c>
      <c r="B56" s="43" t="s">
        <v>943</v>
      </c>
      <c r="C56" s="43" t="s">
        <v>944</v>
      </c>
      <c r="D56" s="147">
        <f>3*L26</f>
        <v>0.28514285714285714</v>
      </c>
      <c r="E56" s="147">
        <f>2*L6</f>
        <v>2.2811428571428571</v>
      </c>
      <c r="F56" s="15">
        <f t="shared" si="0"/>
        <v>2.5662857142857143</v>
      </c>
      <c r="G56" s="12"/>
      <c r="H56" s="12"/>
      <c r="I56" s="12"/>
      <c r="J56" s="12"/>
      <c r="K56" s="58" t="s">
        <v>104</v>
      </c>
      <c r="L56" s="60">
        <f>IF(L54="N/A","N/A",(L55/L54))*$I$6</f>
        <v>2.5662857142857143</v>
      </c>
      <c r="M56" s="12"/>
      <c r="N56" s="16"/>
      <c r="O56" s="28"/>
      <c r="P56" s="12"/>
      <c r="Q56" s="12"/>
      <c r="R56" s="41"/>
      <c r="S56" s="41"/>
      <c r="T56" s="41"/>
      <c r="U56" s="41"/>
      <c r="V56" s="41"/>
      <c r="W56" s="41"/>
      <c r="X56" s="41"/>
      <c r="Y56" s="41"/>
      <c r="Z56" s="41"/>
    </row>
    <row r="57" spans="1:26" ht="31.5" customHeight="1" x14ac:dyDescent="0.2">
      <c r="A57" s="16">
        <v>54</v>
      </c>
      <c r="B57" s="43" t="s">
        <v>986</v>
      </c>
      <c r="C57" s="43" t="s">
        <v>987</v>
      </c>
      <c r="D57" s="147">
        <f>O6</f>
        <v>33.323333333333331</v>
      </c>
      <c r="E57" s="147">
        <v>0</v>
      </c>
      <c r="F57" s="15">
        <f t="shared" si="0"/>
        <v>33.323333333333331</v>
      </c>
      <c r="G57" s="12"/>
      <c r="H57" s="12"/>
      <c r="I57" s="12"/>
      <c r="J57" s="12"/>
      <c r="K57" s="12"/>
      <c r="L57" s="12"/>
      <c r="M57" s="12"/>
      <c r="N57" s="16"/>
      <c r="O57" s="16"/>
      <c r="P57" s="12"/>
      <c r="Q57" s="12"/>
      <c r="R57" s="41"/>
      <c r="S57" s="41"/>
      <c r="T57" s="41"/>
      <c r="U57" s="41"/>
      <c r="V57" s="41"/>
      <c r="W57" s="41"/>
      <c r="X57" s="41"/>
      <c r="Y57" s="41"/>
      <c r="Z57" s="41"/>
    </row>
    <row r="58" spans="1:26" ht="31.5" customHeight="1" x14ac:dyDescent="0.2">
      <c r="A58" s="16">
        <v>55</v>
      </c>
      <c r="B58" s="43" t="s">
        <v>264</v>
      </c>
      <c r="C58" s="43" t="s">
        <v>993</v>
      </c>
      <c r="D58" s="147">
        <v>0</v>
      </c>
      <c r="E58" s="147">
        <f>I11</f>
        <v>2.2811428571428571</v>
      </c>
      <c r="F58" s="15">
        <f t="shared" si="0"/>
        <v>2.2811428571428571</v>
      </c>
      <c r="G58" s="12"/>
      <c r="H58" s="12"/>
      <c r="I58" s="12"/>
      <c r="J58" s="12"/>
      <c r="K58" s="49" t="s">
        <v>994</v>
      </c>
      <c r="L58" s="67" t="s">
        <v>995</v>
      </c>
      <c r="M58" s="12"/>
      <c r="N58" s="16"/>
      <c r="O58" s="16"/>
      <c r="P58" s="12"/>
      <c r="Q58" s="12"/>
      <c r="R58" s="41"/>
      <c r="S58" s="41"/>
      <c r="T58" s="41"/>
      <c r="U58" s="41"/>
      <c r="V58" s="41"/>
      <c r="W58" s="41"/>
      <c r="X58" s="41"/>
      <c r="Y58" s="41"/>
      <c r="Z58" s="41"/>
    </row>
    <row r="59" spans="1:26" ht="31.5" customHeight="1" x14ac:dyDescent="0.2">
      <c r="A59" s="16">
        <v>56</v>
      </c>
      <c r="B59" s="43" t="s">
        <v>996</v>
      </c>
      <c r="C59" s="43" t="s">
        <v>986</v>
      </c>
      <c r="D59" s="147">
        <f>2*L41</f>
        <v>3.7638857142857143</v>
      </c>
      <c r="E59" s="147">
        <f>O6</f>
        <v>33.323333333333331</v>
      </c>
      <c r="F59" s="15">
        <f t="shared" si="0"/>
        <v>37.087219047619044</v>
      </c>
      <c r="G59" s="12"/>
      <c r="H59" s="12"/>
      <c r="I59" s="12"/>
      <c r="J59" s="12"/>
      <c r="K59" s="52" t="s">
        <v>92</v>
      </c>
      <c r="L59" s="77">
        <v>1</v>
      </c>
      <c r="M59" s="12"/>
      <c r="N59" s="43"/>
      <c r="O59" s="15"/>
      <c r="P59" s="12"/>
      <c r="Q59" s="12"/>
      <c r="R59" s="41"/>
      <c r="S59" s="41"/>
      <c r="T59" s="41"/>
      <c r="U59" s="41"/>
      <c r="V59" s="41"/>
      <c r="W59" s="41"/>
      <c r="X59" s="41"/>
      <c r="Y59" s="41"/>
      <c r="Z59" s="41"/>
    </row>
    <row r="60" spans="1:26" ht="31.5" customHeight="1" x14ac:dyDescent="0.2">
      <c r="A60" s="16">
        <v>57</v>
      </c>
      <c r="B60" s="43" t="s">
        <v>952</v>
      </c>
      <c r="C60" s="43" t="s">
        <v>953</v>
      </c>
      <c r="D60" s="147">
        <f>30*I6</f>
        <v>0.85542857142857143</v>
      </c>
      <c r="E60" s="147">
        <f>5*L26</f>
        <v>0.47523809523809524</v>
      </c>
      <c r="F60" s="15">
        <f t="shared" si="0"/>
        <v>1.3306666666666667</v>
      </c>
      <c r="G60" s="12"/>
      <c r="H60" s="12"/>
      <c r="I60" s="12"/>
      <c r="J60" s="12"/>
      <c r="K60" s="55" t="s">
        <v>98</v>
      </c>
      <c r="L60" s="169">
        <f>(1*I25/I6)+(100000/I14*I15)</f>
        <v>826.40280561122245</v>
      </c>
      <c r="M60" s="12"/>
      <c r="N60" s="151"/>
      <c r="O60" s="15"/>
      <c r="P60" s="12"/>
      <c r="Q60" s="12"/>
      <c r="R60" s="41"/>
      <c r="S60" s="41"/>
      <c r="T60" s="41"/>
      <c r="U60" s="41"/>
      <c r="V60" s="41"/>
      <c r="W60" s="41"/>
      <c r="X60" s="41"/>
      <c r="Y60" s="41"/>
      <c r="Z60" s="41"/>
    </row>
    <row r="61" spans="1:26" ht="31.5" customHeight="1" x14ac:dyDescent="0.2">
      <c r="A61" s="16">
        <v>58</v>
      </c>
      <c r="B61" s="43" t="s">
        <v>954</v>
      </c>
      <c r="C61" s="43" t="s">
        <v>944</v>
      </c>
      <c r="D61" s="147">
        <f>25000*I16</f>
        <v>0.35642857142857143</v>
      </c>
      <c r="E61" s="147">
        <f>25000*I16</f>
        <v>0.35642857142857143</v>
      </c>
      <c r="F61" s="15">
        <f t="shared" si="0"/>
        <v>0.71285714285714286</v>
      </c>
      <c r="G61" s="12"/>
      <c r="H61" s="12"/>
      <c r="I61" s="12"/>
      <c r="J61" s="12"/>
      <c r="K61" s="58" t="s">
        <v>104</v>
      </c>
      <c r="L61" s="60">
        <f>IF(L59="N/A","N/A",(L60/L59))*$I$6</f>
        <v>23.564285714285713</v>
      </c>
      <c r="M61" s="12"/>
      <c r="N61" s="28"/>
      <c r="O61" s="28"/>
      <c r="P61" s="12"/>
      <c r="Q61" s="12"/>
      <c r="R61" s="41"/>
      <c r="S61" s="41"/>
      <c r="T61" s="41"/>
      <c r="U61" s="41"/>
      <c r="V61" s="41"/>
      <c r="W61" s="41"/>
      <c r="X61" s="41"/>
      <c r="Y61" s="41"/>
      <c r="Z61" s="41"/>
    </row>
    <row r="62" spans="1:26" ht="31.5" customHeight="1" x14ac:dyDescent="0.2">
      <c r="A62" s="16">
        <v>59</v>
      </c>
      <c r="B62" s="43" t="s">
        <v>938</v>
      </c>
      <c r="C62" s="43" t="s">
        <v>955</v>
      </c>
      <c r="D62" s="147">
        <f>L6</f>
        <v>1.1405714285714286</v>
      </c>
      <c r="E62" s="147">
        <f>L6</f>
        <v>1.1405714285714286</v>
      </c>
      <c r="F62" s="15">
        <f t="shared" si="0"/>
        <v>2.2811428571428571</v>
      </c>
      <c r="G62" s="12"/>
      <c r="H62" s="12"/>
      <c r="I62" s="12"/>
      <c r="J62" s="12"/>
      <c r="K62" s="12"/>
      <c r="L62" s="12"/>
      <c r="M62" s="12"/>
      <c r="N62" s="16"/>
      <c r="O62" s="16"/>
      <c r="P62" s="12"/>
      <c r="Q62" s="12"/>
      <c r="R62" s="41"/>
      <c r="S62" s="41"/>
      <c r="T62" s="41"/>
      <c r="U62" s="41"/>
      <c r="V62" s="41"/>
      <c r="W62" s="41"/>
      <c r="X62" s="41"/>
      <c r="Y62" s="41"/>
      <c r="Z62" s="41"/>
    </row>
    <row r="63" spans="1:26" ht="31.5" customHeight="1" x14ac:dyDescent="0.2">
      <c r="A63" s="16">
        <v>60</v>
      </c>
      <c r="B63" s="43" t="s">
        <v>972</v>
      </c>
      <c r="C63" s="43" t="s">
        <v>997</v>
      </c>
      <c r="D63" s="147">
        <f>I21</f>
        <v>5.0755428571428567</v>
      </c>
      <c r="E63" s="147">
        <f>L56</f>
        <v>2.5662857142857143</v>
      </c>
      <c r="F63" s="15">
        <f t="shared" si="0"/>
        <v>7.6418285714285705</v>
      </c>
      <c r="G63" s="12"/>
      <c r="H63" s="12"/>
      <c r="I63" s="12"/>
      <c r="J63" s="12"/>
      <c r="K63" s="49" t="s">
        <v>998</v>
      </c>
      <c r="L63" s="67" t="s">
        <v>999</v>
      </c>
      <c r="M63" s="12"/>
      <c r="N63" s="16"/>
      <c r="O63" s="16"/>
      <c r="P63" s="12"/>
      <c r="Q63" s="12"/>
      <c r="R63" s="41"/>
      <c r="S63" s="41"/>
      <c r="T63" s="41"/>
      <c r="U63" s="41"/>
      <c r="V63" s="41"/>
      <c r="W63" s="41"/>
      <c r="X63" s="41"/>
      <c r="Y63" s="41"/>
      <c r="Z63" s="41"/>
    </row>
    <row r="64" spans="1:26" ht="31.5" customHeight="1" x14ac:dyDescent="0.2">
      <c r="A64" s="16">
        <v>61</v>
      </c>
      <c r="B64" s="43" t="s">
        <v>938</v>
      </c>
      <c r="C64" s="43" t="s">
        <v>817</v>
      </c>
      <c r="D64" s="147">
        <f>L6</f>
        <v>1.1405714285714286</v>
      </c>
      <c r="E64" s="147">
        <f>100*I6</f>
        <v>2.8514285714285714</v>
      </c>
      <c r="F64" s="15">
        <f t="shared" si="0"/>
        <v>3.992</v>
      </c>
      <c r="G64" s="12"/>
      <c r="H64" s="12"/>
      <c r="I64" s="12"/>
      <c r="J64" s="12"/>
      <c r="K64" s="52" t="s">
        <v>92</v>
      </c>
      <c r="L64" s="77">
        <v>1</v>
      </c>
      <c r="M64" s="12"/>
      <c r="N64" s="43"/>
      <c r="O64" s="16"/>
      <c r="P64" s="12"/>
      <c r="Q64" s="12"/>
      <c r="R64" s="41"/>
      <c r="S64" s="41"/>
      <c r="T64" s="41"/>
      <c r="U64" s="41"/>
      <c r="V64" s="41"/>
      <c r="W64" s="41"/>
      <c r="X64" s="41"/>
      <c r="Y64" s="41"/>
      <c r="Z64" s="41"/>
    </row>
    <row r="65" spans="1:26" ht="31.5" customHeight="1" x14ac:dyDescent="0.2">
      <c r="A65" s="16">
        <v>62</v>
      </c>
      <c r="B65" s="43" t="s">
        <v>941</v>
      </c>
      <c r="C65" s="43" t="s">
        <v>942</v>
      </c>
      <c r="D65" s="147">
        <f>I31</f>
        <v>2.8514285714285714</v>
      </c>
      <c r="E65" s="147">
        <f>100000*I16</f>
        <v>1.4257142857142857</v>
      </c>
      <c r="F65" s="15">
        <f t="shared" si="0"/>
        <v>4.2771428571428576</v>
      </c>
      <c r="G65" s="12"/>
      <c r="H65" s="12"/>
      <c r="I65" s="12"/>
      <c r="J65" s="12"/>
      <c r="K65" s="55" t="s">
        <v>98</v>
      </c>
      <c r="L65" s="150">
        <f>(1*I25/I6)+(100000/I14*I15)</f>
        <v>826.40280561122245</v>
      </c>
      <c r="M65" s="12"/>
      <c r="N65" s="151"/>
      <c r="O65" s="15"/>
      <c r="P65" s="12"/>
      <c r="Q65" s="12"/>
      <c r="R65" s="41"/>
      <c r="S65" s="41"/>
      <c r="T65" s="41"/>
      <c r="U65" s="41"/>
      <c r="V65" s="41"/>
      <c r="W65" s="41"/>
      <c r="X65" s="41"/>
      <c r="Y65" s="41"/>
      <c r="Z65" s="41"/>
    </row>
    <row r="66" spans="1:26" ht="31.5" customHeight="1" x14ac:dyDescent="0.2">
      <c r="A66" s="16">
        <v>63</v>
      </c>
      <c r="B66" s="43" t="s">
        <v>943</v>
      </c>
      <c r="C66" s="43" t="s">
        <v>944</v>
      </c>
      <c r="D66" s="147">
        <f>3*L26</f>
        <v>0.28514285714285714</v>
      </c>
      <c r="E66" s="147">
        <f>2*L6</f>
        <v>2.2811428571428571</v>
      </c>
      <c r="F66" s="15">
        <f t="shared" si="0"/>
        <v>2.5662857142857143</v>
      </c>
      <c r="G66" s="12"/>
      <c r="H66" s="12"/>
      <c r="I66" s="12"/>
      <c r="J66" s="12"/>
      <c r="K66" s="58" t="s">
        <v>104</v>
      </c>
      <c r="L66" s="60">
        <f>IF(L64="N/A","N/A",(L65/L64))*$I$6</f>
        <v>23.564285714285713</v>
      </c>
      <c r="M66" s="12"/>
      <c r="N66" s="16"/>
      <c r="O66" s="28"/>
      <c r="P66" s="12"/>
      <c r="Q66" s="12"/>
      <c r="R66" s="41"/>
      <c r="S66" s="41"/>
      <c r="T66" s="41"/>
      <c r="U66" s="41"/>
      <c r="V66" s="41"/>
      <c r="W66" s="41"/>
      <c r="X66" s="41"/>
      <c r="Y66" s="41"/>
      <c r="Z66" s="41"/>
    </row>
    <row r="67" spans="1:26" ht="31.5" customHeight="1" x14ac:dyDescent="0.2">
      <c r="A67" s="16">
        <v>64</v>
      </c>
      <c r="B67" s="43" t="s">
        <v>986</v>
      </c>
      <c r="C67" s="43" t="s">
        <v>987</v>
      </c>
      <c r="D67" s="147">
        <f>O6</f>
        <v>33.323333333333331</v>
      </c>
      <c r="E67" s="147">
        <v>0</v>
      </c>
      <c r="F67" s="15">
        <f t="shared" si="0"/>
        <v>33.323333333333331</v>
      </c>
      <c r="G67" s="12"/>
      <c r="H67" s="12"/>
      <c r="I67" s="12"/>
      <c r="J67" s="12"/>
      <c r="K67" s="12"/>
      <c r="L67" s="12"/>
      <c r="M67" s="12"/>
      <c r="N67" s="16"/>
      <c r="O67" s="16"/>
      <c r="P67" s="12"/>
      <c r="Q67" s="12"/>
      <c r="R67" s="41"/>
      <c r="S67" s="41"/>
      <c r="T67" s="41"/>
      <c r="U67" s="41"/>
      <c r="V67" s="41"/>
      <c r="W67" s="41"/>
      <c r="X67" s="41"/>
      <c r="Y67" s="41"/>
      <c r="Z67" s="41"/>
    </row>
    <row r="68" spans="1:26" ht="31.5" customHeight="1" x14ac:dyDescent="0.2">
      <c r="A68" s="16">
        <v>65</v>
      </c>
      <c r="B68" s="43" t="s">
        <v>955</v>
      </c>
      <c r="C68" s="43" t="s">
        <v>264</v>
      </c>
      <c r="D68" s="147">
        <f>L11</f>
        <v>1.3306666666666667</v>
      </c>
      <c r="E68" s="147">
        <v>0</v>
      </c>
      <c r="F68" s="15">
        <f t="shared" si="0"/>
        <v>1.3306666666666667</v>
      </c>
      <c r="G68" s="12"/>
      <c r="H68" s="12"/>
      <c r="I68" s="12"/>
      <c r="J68" s="12"/>
      <c r="K68" s="58" t="s">
        <v>409</v>
      </c>
      <c r="L68" s="60">
        <f>AVERAGE(L6,L11,L16,L21,L26,L31,L36,L41,L46,L51,L56,L61,L66)</f>
        <v>7.698430769230769</v>
      </c>
      <c r="M68" s="12"/>
      <c r="N68" s="16"/>
      <c r="O68" s="16"/>
      <c r="P68" s="12"/>
      <c r="Q68" s="12"/>
      <c r="R68" s="41"/>
      <c r="S68" s="41"/>
      <c r="T68" s="41"/>
      <c r="U68" s="41"/>
      <c r="V68" s="41"/>
      <c r="W68" s="41"/>
      <c r="X68" s="41"/>
      <c r="Y68" s="41"/>
      <c r="Z68" s="41"/>
    </row>
    <row r="69" spans="1:26" ht="31.5" customHeight="1" x14ac:dyDescent="0.2">
      <c r="A69" s="16">
        <v>66</v>
      </c>
      <c r="B69" s="43" t="s">
        <v>1000</v>
      </c>
      <c r="C69" s="43" t="s">
        <v>986</v>
      </c>
      <c r="D69" s="147">
        <f>2*L41</f>
        <v>3.7638857142857143</v>
      </c>
      <c r="E69" s="147">
        <f>O6</f>
        <v>33.323333333333331</v>
      </c>
      <c r="F69" s="15">
        <f t="shared" si="0"/>
        <v>37.087219047619044</v>
      </c>
      <c r="G69" s="12"/>
      <c r="H69" s="12"/>
      <c r="I69" s="12"/>
      <c r="J69" s="12"/>
      <c r="K69" s="41"/>
      <c r="L69" s="41"/>
      <c r="M69" s="12"/>
      <c r="N69" s="16"/>
      <c r="O69" s="16"/>
      <c r="P69" s="12"/>
      <c r="Q69" s="12"/>
      <c r="R69" s="41"/>
      <c r="S69" s="41"/>
      <c r="T69" s="41"/>
      <c r="U69" s="41"/>
      <c r="V69" s="41"/>
      <c r="W69" s="41"/>
      <c r="X69" s="41"/>
      <c r="Y69" s="41"/>
      <c r="Z69" s="41"/>
    </row>
    <row r="70" spans="1:26" ht="31.5" customHeight="1" x14ac:dyDescent="0.2">
      <c r="A70" s="16">
        <v>67</v>
      </c>
      <c r="B70" s="43" t="s">
        <v>952</v>
      </c>
      <c r="C70" s="43" t="s">
        <v>953</v>
      </c>
      <c r="D70" s="147">
        <f>30*I6</f>
        <v>0.85542857142857143</v>
      </c>
      <c r="E70" s="147">
        <f>5*L26</f>
        <v>0.47523809523809524</v>
      </c>
      <c r="F70" s="15">
        <f t="shared" si="0"/>
        <v>1.3306666666666667</v>
      </c>
      <c r="G70" s="12"/>
      <c r="H70" s="12"/>
      <c r="I70" s="12"/>
      <c r="J70" s="12"/>
      <c r="K70" s="41"/>
      <c r="L70" s="41"/>
      <c r="M70" s="12"/>
      <c r="N70" s="16"/>
      <c r="O70" s="16"/>
      <c r="P70" s="12"/>
      <c r="Q70" s="12"/>
      <c r="R70" s="41"/>
      <c r="S70" s="41"/>
      <c r="T70" s="41"/>
      <c r="U70" s="41"/>
      <c r="V70" s="41"/>
      <c r="W70" s="41"/>
      <c r="X70" s="41"/>
      <c r="Y70" s="41"/>
      <c r="Z70" s="41"/>
    </row>
    <row r="71" spans="1:26" ht="31.5" customHeight="1" x14ac:dyDescent="0.2">
      <c r="A71" s="16">
        <v>68</v>
      </c>
      <c r="B71" s="43" t="s">
        <v>954</v>
      </c>
      <c r="C71" s="43" t="s">
        <v>944</v>
      </c>
      <c r="D71" s="147">
        <f>25000*I16</f>
        <v>0.35642857142857143</v>
      </c>
      <c r="E71" s="147">
        <f>2*L6</f>
        <v>2.2811428571428571</v>
      </c>
      <c r="F71" s="15">
        <f t="shared" si="0"/>
        <v>2.6375714285714285</v>
      </c>
      <c r="G71" s="12"/>
      <c r="H71" s="12"/>
      <c r="I71" s="12"/>
      <c r="J71" s="12"/>
      <c r="K71" s="41"/>
      <c r="L71" s="41"/>
      <c r="M71" s="12"/>
      <c r="N71" s="15"/>
      <c r="O71" s="16"/>
      <c r="P71" s="12"/>
      <c r="Q71" s="12"/>
      <c r="R71" s="41"/>
      <c r="S71" s="41"/>
      <c r="T71" s="41"/>
      <c r="U71" s="41"/>
      <c r="V71" s="41"/>
      <c r="W71" s="41"/>
      <c r="X71" s="41"/>
      <c r="Y71" s="41"/>
      <c r="Z71" s="41"/>
    </row>
    <row r="72" spans="1:26" ht="31.5" customHeight="1" x14ac:dyDescent="0.2">
      <c r="A72" s="16">
        <v>69</v>
      </c>
      <c r="B72" s="43" t="s">
        <v>938</v>
      </c>
      <c r="C72" s="43" t="s">
        <v>955</v>
      </c>
      <c r="D72" s="147">
        <f>L6</f>
        <v>1.1405714285714286</v>
      </c>
      <c r="E72" s="147">
        <f>L11</f>
        <v>1.3306666666666667</v>
      </c>
      <c r="F72" s="15">
        <f t="shared" si="0"/>
        <v>2.4712380952380952</v>
      </c>
      <c r="G72" s="12"/>
      <c r="H72" s="12"/>
      <c r="I72" s="12"/>
      <c r="J72" s="12"/>
      <c r="K72" s="41"/>
      <c r="L72" s="41"/>
      <c r="M72" s="12"/>
      <c r="N72" s="16"/>
      <c r="O72" s="16"/>
      <c r="P72" s="12"/>
      <c r="Q72" s="12"/>
      <c r="R72" s="41"/>
      <c r="S72" s="41"/>
      <c r="T72" s="41"/>
      <c r="U72" s="41"/>
      <c r="V72" s="41"/>
      <c r="W72" s="41"/>
      <c r="X72" s="41"/>
      <c r="Y72" s="41"/>
      <c r="Z72" s="41"/>
    </row>
    <row r="73" spans="1:26" ht="31.5" customHeight="1" x14ac:dyDescent="0.2">
      <c r="A73" s="16">
        <v>70</v>
      </c>
      <c r="B73" s="43" t="s">
        <v>946</v>
      </c>
      <c r="C73" s="43" t="s">
        <v>957</v>
      </c>
      <c r="D73" s="147">
        <f>I11</f>
        <v>2.2811428571428571</v>
      </c>
      <c r="E73" s="147">
        <f>I41</f>
        <v>4.9950000000000001</v>
      </c>
      <c r="F73" s="15">
        <f t="shared" si="0"/>
        <v>7.2761428571428572</v>
      </c>
      <c r="G73" s="12"/>
      <c r="H73" s="12"/>
      <c r="I73" s="12"/>
      <c r="J73" s="12"/>
      <c r="K73" s="41"/>
      <c r="L73" s="41"/>
      <c r="M73" s="12"/>
      <c r="N73" s="16"/>
      <c r="O73" s="16"/>
      <c r="P73" s="12"/>
      <c r="Q73" s="12"/>
      <c r="R73" s="41"/>
      <c r="S73" s="41"/>
      <c r="T73" s="41"/>
      <c r="U73" s="41"/>
      <c r="V73" s="41"/>
      <c r="W73" s="41"/>
      <c r="X73" s="41"/>
      <c r="Y73" s="41"/>
      <c r="Z73" s="41"/>
    </row>
    <row r="74" spans="1:26" ht="31.5" customHeight="1" x14ac:dyDescent="0.2">
      <c r="A74" s="16">
        <v>71</v>
      </c>
      <c r="B74" s="43" t="s">
        <v>938</v>
      </c>
      <c r="C74" s="43" t="s">
        <v>817</v>
      </c>
      <c r="D74" s="147">
        <f>L6</f>
        <v>1.1405714285714286</v>
      </c>
      <c r="E74" s="147">
        <f>100*I6</f>
        <v>2.8514285714285714</v>
      </c>
      <c r="F74" s="15">
        <f t="shared" si="0"/>
        <v>3.992</v>
      </c>
      <c r="G74" s="12"/>
      <c r="H74" s="12"/>
      <c r="I74" s="12"/>
      <c r="J74" s="12"/>
      <c r="K74" s="41"/>
      <c r="L74" s="41"/>
      <c r="M74" s="12"/>
      <c r="N74" s="16"/>
      <c r="O74" s="16"/>
      <c r="P74" s="12"/>
      <c r="Q74" s="12"/>
      <c r="R74" s="41"/>
      <c r="S74" s="41"/>
      <c r="T74" s="41"/>
      <c r="U74" s="41"/>
      <c r="V74" s="41"/>
      <c r="W74" s="41"/>
      <c r="X74" s="41"/>
      <c r="Y74" s="41"/>
      <c r="Z74" s="41"/>
    </row>
    <row r="75" spans="1:26" ht="31.5" customHeight="1" x14ac:dyDescent="0.2">
      <c r="A75" s="16">
        <v>72</v>
      </c>
      <c r="B75" s="43" t="s">
        <v>941</v>
      </c>
      <c r="C75" s="43" t="s">
        <v>942</v>
      </c>
      <c r="D75" s="147">
        <f>I31</f>
        <v>2.8514285714285714</v>
      </c>
      <c r="E75" s="147">
        <f>100000*I16</f>
        <v>1.4257142857142857</v>
      </c>
      <c r="F75" s="15">
        <f t="shared" si="0"/>
        <v>4.2771428571428576</v>
      </c>
      <c r="G75" s="12"/>
      <c r="H75" s="12"/>
      <c r="I75" s="12"/>
      <c r="J75" s="12"/>
      <c r="K75" s="41"/>
      <c r="L75" s="41"/>
      <c r="M75" s="12"/>
      <c r="N75" s="16"/>
      <c r="O75" s="16"/>
      <c r="P75" s="12"/>
      <c r="Q75" s="12"/>
      <c r="R75" s="41"/>
      <c r="S75" s="41"/>
      <c r="T75" s="41"/>
      <c r="U75" s="41"/>
      <c r="V75" s="41"/>
      <c r="W75" s="41"/>
      <c r="X75" s="41"/>
      <c r="Y75" s="41"/>
      <c r="Z75" s="41"/>
    </row>
    <row r="76" spans="1:26" ht="31.5" customHeight="1" x14ac:dyDescent="0.2">
      <c r="A76" s="16">
        <v>73</v>
      </c>
      <c r="B76" s="43" t="s">
        <v>943</v>
      </c>
      <c r="C76" s="43" t="s">
        <v>944</v>
      </c>
      <c r="D76" s="147">
        <f>3*L26</f>
        <v>0.28514285714285714</v>
      </c>
      <c r="E76" s="147">
        <f>2*L6</f>
        <v>2.2811428571428571</v>
      </c>
      <c r="F76" s="15">
        <f t="shared" si="0"/>
        <v>2.5662857142857143</v>
      </c>
      <c r="G76" s="12"/>
      <c r="H76" s="12"/>
      <c r="I76" s="12"/>
      <c r="J76" s="12"/>
      <c r="K76" s="41"/>
      <c r="L76" s="41"/>
      <c r="M76" s="12"/>
      <c r="N76" s="16"/>
      <c r="O76" s="16"/>
      <c r="P76" s="12"/>
      <c r="Q76" s="12"/>
      <c r="R76" s="41"/>
      <c r="S76" s="41"/>
      <c r="T76" s="41"/>
      <c r="U76" s="41"/>
      <c r="V76" s="41"/>
      <c r="W76" s="41"/>
      <c r="X76" s="41"/>
      <c r="Y76" s="41"/>
      <c r="Z76" s="41"/>
    </row>
    <row r="77" spans="1:26" ht="31.5" customHeight="1" x14ac:dyDescent="0.2">
      <c r="A77" s="16">
        <v>74</v>
      </c>
      <c r="B77" s="43" t="s">
        <v>986</v>
      </c>
      <c r="C77" s="43" t="s">
        <v>1001</v>
      </c>
      <c r="D77" s="147">
        <f>O6</f>
        <v>33.323333333333331</v>
      </c>
      <c r="E77" s="147">
        <v>0</v>
      </c>
      <c r="F77" s="15">
        <f t="shared" si="0"/>
        <v>33.323333333333331</v>
      </c>
      <c r="G77" s="12"/>
      <c r="H77" s="12"/>
      <c r="I77" s="12"/>
      <c r="J77" s="12"/>
      <c r="K77" s="12"/>
      <c r="L77" s="12"/>
      <c r="M77" s="12"/>
      <c r="N77" s="16"/>
      <c r="O77" s="16"/>
      <c r="P77" s="12"/>
      <c r="Q77" s="12"/>
      <c r="R77" s="41"/>
      <c r="S77" s="41"/>
      <c r="T77" s="41"/>
      <c r="U77" s="41"/>
      <c r="V77" s="41"/>
      <c r="W77" s="41"/>
      <c r="X77" s="41"/>
      <c r="Y77" s="41"/>
      <c r="Z77" s="41"/>
    </row>
    <row r="78" spans="1:26" ht="31.5" customHeight="1" x14ac:dyDescent="0.2">
      <c r="A78" s="16">
        <v>75</v>
      </c>
      <c r="B78" s="43" t="s">
        <v>961</v>
      </c>
      <c r="C78" s="43" t="s">
        <v>993</v>
      </c>
      <c r="D78" s="147">
        <v>0</v>
      </c>
      <c r="E78" s="147">
        <f>2*I11</f>
        <v>4.5622857142857143</v>
      </c>
      <c r="F78" s="15">
        <f t="shared" si="0"/>
        <v>4.5622857142857143</v>
      </c>
      <c r="G78" s="12"/>
      <c r="H78" s="12"/>
      <c r="I78" s="12"/>
      <c r="J78" s="12"/>
      <c r="K78" s="41"/>
      <c r="L78" s="41"/>
      <c r="M78" s="12"/>
      <c r="N78" s="16"/>
      <c r="O78" s="16"/>
      <c r="P78" s="12"/>
      <c r="Q78" s="12"/>
      <c r="R78" s="41"/>
      <c r="S78" s="41"/>
      <c r="T78" s="41"/>
      <c r="U78" s="41"/>
      <c r="V78" s="41"/>
      <c r="W78" s="41"/>
      <c r="X78" s="41"/>
      <c r="Y78" s="41"/>
      <c r="Z78" s="41"/>
    </row>
    <row r="79" spans="1:26" ht="31.5" customHeight="1" x14ac:dyDescent="0.2">
      <c r="A79" s="16">
        <v>76</v>
      </c>
      <c r="B79" s="43" t="s">
        <v>1002</v>
      </c>
      <c r="C79" s="43" t="s">
        <v>986</v>
      </c>
      <c r="D79" s="147">
        <f>2*L41</f>
        <v>3.7638857142857143</v>
      </c>
      <c r="E79" s="147">
        <f>O6</f>
        <v>33.323333333333331</v>
      </c>
      <c r="F79" s="15">
        <f t="shared" si="0"/>
        <v>37.087219047619044</v>
      </c>
      <c r="G79" s="12"/>
      <c r="H79" s="12"/>
      <c r="I79" s="12"/>
      <c r="J79" s="12"/>
      <c r="K79" s="12"/>
      <c r="L79" s="12"/>
      <c r="M79" s="12"/>
      <c r="N79" s="16"/>
      <c r="O79" s="16"/>
      <c r="P79" s="12"/>
      <c r="Q79" s="12"/>
      <c r="R79" s="41"/>
      <c r="S79" s="41"/>
      <c r="T79" s="41"/>
      <c r="U79" s="41"/>
      <c r="V79" s="41"/>
      <c r="W79" s="41"/>
      <c r="X79" s="41"/>
      <c r="Y79" s="41"/>
      <c r="Z79" s="41"/>
    </row>
    <row r="80" spans="1:26" ht="31.5" customHeight="1" x14ac:dyDescent="0.2">
      <c r="A80" s="16">
        <v>77</v>
      </c>
      <c r="B80" s="43" t="s">
        <v>952</v>
      </c>
      <c r="C80" s="43" t="s">
        <v>953</v>
      </c>
      <c r="D80" s="147">
        <f>30*I6</f>
        <v>0.85542857142857143</v>
      </c>
      <c r="E80" s="147">
        <f>5*L26</f>
        <v>0.47523809523809524</v>
      </c>
      <c r="F80" s="15">
        <f t="shared" si="0"/>
        <v>1.3306666666666667</v>
      </c>
      <c r="G80" s="12"/>
      <c r="H80" s="12"/>
      <c r="I80" s="12"/>
      <c r="J80" s="12"/>
      <c r="K80" s="12"/>
      <c r="L80" s="12"/>
      <c r="M80" s="12"/>
      <c r="N80" s="16"/>
      <c r="O80" s="16"/>
      <c r="P80" s="12"/>
      <c r="Q80" s="12"/>
      <c r="R80" s="41"/>
      <c r="S80" s="41"/>
      <c r="T80" s="41"/>
      <c r="U80" s="41"/>
      <c r="V80" s="41"/>
      <c r="W80" s="41"/>
      <c r="X80" s="41"/>
      <c r="Y80" s="41"/>
      <c r="Z80" s="41"/>
    </row>
    <row r="81" spans="1:26" ht="31.5" customHeight="1" x14ac:dyDescent="0.2">
      <c r="A81" s="16">
        <v>78</v>
      </c>
      <c r="B81" s="43" t="s">
        <v>954</v>
      </c>
      <c r="C81" s="43" t="s">
        <v>944</v>
      </c>
      <c r="D81" s="147">
        <f>25000*I16</f>
        <v>0.35642857142857143</v>
      </c>
      <c r="E81" s="147">
        <f>2*L6</f>
        <v>2.2811428571428571</v>
      </c>
      <c r="F81" s="15">
        <f t="shared" si="0"/>
        <v>2.6375714285714285</v>
      </c>
      <c r="G81" s="12"/>
      <c r="H81" s="12"/>
      <c r="I81" s="75"/>
      <c r="J81" s="75"/>
      <c r="K81" s="75"/>
      <c r="L81" s="75"/>
      <c r="M81" s="12"/>
      <c r="N81" s="16"/>
      <c r="O81" s="16"/>
      <c r="P81" s="12"/>
      <c r="Q81" s="12"/>
      <c r="R81" s="41"/>
      <c r="S81" s="41"/>
      <c r="T81" s="41"/>
      <c r="U81" s="41"/>
      <c r="V81" s="41"/>
      <c r="W81" s="41"/>
      <c r="X81" s="41"/>
      <c r="Y81" s="41"/>
      <c r="Z81" s="41"/>
    </row>
    <row r="82" spans="1:26" ht="31.5" customHeight="1" x14ac:dyDescent="0.2">
      <c r="A82" s="16">
        <v>79</v>
      </c>
      <c r="B82" s="43" t="s">
        <v>938</v>
      </c>
      <c r="C82" s="43" t="s">
        <v>955</v>
      </c>
      <c r="D82" s="147">
        <f>L6</f>
        <v>1.1405714285714286</v>
      </c>
      <c r="E82" s="147">
        <f>L11</f>
        <v>1.3306666666666667</v>
      </c>
      <c r="F82" s="15">
        <f t="shared" si="0"/>
        <v>2.4712380952380952</v>
      </c>
      <c r="G82" s="12"/>
      <c r="H82" s="12"/>
      <c r="I82" s="75"/>
      <c r="J82" s="75"/>
      <c r="K82" s="75"/>
      <c r="L82" s="75"/>
      <c r="M82" s="12"/>
      <c r="N82" s="16"/>
      <c r="O82" s="16"/>
      <c r="P82" s="12"/>
      <c r="Q82" s="12"/>
      <c r="R82" s="41"/>
      <c r="S82" s="41"/>
      <c r="T82" s="41"/>
      <c r="U82" s="41"/>
      <c r="V82" s="41"/>
      <c r="W82" s="41"/>
      <c r="X82" s="41"/>
      <c r="Y82" s="41"/>
      <c r="Z82" s="41"/>
    </row>
    <row r="83" spans="1:26" ht="31.5" customHeight="1" x14ac:dyDescent="0.2">
      <c r="A83" s="16">
        <v>80</v>
      </c>
      <c r="B83" s="43" t="s">
        <v>988</v>
      </c>
      <c r="C83" s="43" t="s">
        <v>984</v>
      </c>
      <c r="D83" s="147">
        <f>L51</f>
        <v>19.019028571428571</v>
      </c>
      <c r="E83" s="147">
        <f>I36</f>
        <v>24.99</v>
      </c>
      <c r="F83" s="15">
        <f t="shared" si="0"/>
        <v>44.009028571428573</v>
      </c>
      <c r="G83" s="12"/>
      <c r="H83" s="12"/>
      <c r="I83" s="75"/>
      <c r="J83" s="75"/>
      <c r="K83" s="75"/>
      <c r="L83" s="75"/>
      <c r="M83" s="12"/>
      <c r="N83" s="16"/>
      <c r="O83" s="16"/>
      <c r="P83" s="12"/>
      <c r="Q83" s="12"/>
      <c r="R83" s="41"/>
      <c r="S83" s="41"/>
      <c r="T83" s="41"/>
      <c r="U83" s="41"/>
      <c r="V83" s="41"/>
      <c r="W83" s="41"/>
      <c r="X83" s="41"/>
      <c r="Y83" s="41"/>
      <c r="Z83" s="41"/>
    </row>
    <row r="84" spans="1:26" ht="31.5" customHeight="1" x14ac:dyDescent="0.2">
      <c r="A84" s="16">
        <v>81</v>
      </c>
      <c r="B84" s="43" t="s">
        <v>938</v>
      </c>
      <c r="C84" s="43" t="s">
        <v>817</v>
      </c>
      <c r="D84" s="147">
        <f>L6</f>
        <v>1.1405714285714286</v>
      </c>
      <c r="E84" s="147">
        <f>100*I6</f>
        <v>2.8514285714285714</v>
      </c>
      <c r="F84" s="15">
        <f t="shared" si="0"/>
        <v>3.992</v>
      </c>
      <c r="G84" s="12"/>
      <c r="H84" s="12"/>
      <c r="I84" s="75"/>
      <c r="J84" s="75"/>
      <c r="K84" s="75"/>
      <c r="L84" s="75"/>
      <c r="M84" s="12"/>
      <c r="N84" s="16"/>
      <c r="O84" s="16"/>
      <c r="P84" s="12"/>
      <c r="Q84" s="12"/>
      <c r="R84" s="41"/>
      <c r="S84" s="41"/>
      <c r="T84" s="41"/>
      <c r="U84" s="41"/>
      <c r="V84" s="41"/>
      <c r="W84" s="41"/>
      <c r="X84" s="41"/>
      <c r="Y84" s="41"/>
      <c r="Z84" s="41"/>
    </row>
    <row r="85" spans="1:26" ht="31.5" customHeight="1" x14ac:dyDescent="0.2">
      <c r="A85" s="16">
        <v>82</v>
      </c>
      <c r="B85" s="43" t="s">
        <v>941</v>
      </c>
      <c r="C85" s="43" t="s">
        <v>942</v>
      </c>
      <c r="D85" s="147">
        <f>I31</f>
        <v>2.8514285714285714</v>
      </c>
      <c r="E85" s="147">
        <f>100000*I16</f>
        <v>1.4257142857142857</v>
      </c>
      <c r="F85" s="15">
        <f t="shared" si="0"/>
        <v>4.2771428571428576</v>
      </c>
      <c r="G85" s="12"/>
      <c r="H85" s="12"/>
      <c r="I85" s="75"/>
      <c r="J85" s="75"/>
      <c r="K85" s="75"/>
      <c r="L85" s="75"/>
      <c r="M85" s="12"/>
      <c r="N85" s="16"/>
      <c r="O85" s="16"/>
      <c r="P85" s="12"/>
      <c r="Q85" s="12"/>
      <c r="R85" s="41"/>
      <c r="S85" s="41"/>
      <c r="T85" s="41"/>
      <c r="U85" s="41"/>
      <c r="V85" s="41"/>
      <c r="W85" s="41"/>
      <c r="X85" s="41"/>
      <c r="Y85" s="41"/>
      <c r="Z85" s="41"/>
    </row>
    <row r="86" spans="1:26" ht="31.5" customHeight="1" x14ac:dyDescent="0.2">
      <c r="A86" s="16">
        <v>83</v>
      </c>
      <c r="B86" s="43" t="s">
        <v>943</v>
      </c>
      <c r="C86" s="43" t="s">
        <v>944</v>
      </c>
      <c r="D86" s="147">
        <f>3*L26</f>
        <v>0.28514285714285714</v>
      </c>
      <c r="E86" s="147">
        <f>2*L6</f>
        <v>2.2811428571428571</v>
      </c>
      <c r="F86" s="15">
        <f t="shared" si="0"/>
        <v>2.5662857142857143</v>
      </c>
      <c r="G86" s="12"/>
      <c r="H86" s="12"/>
      <c r="I86" s="75"/>
      <c r="J86" s="75"/>
      <c r="K86" s="75"/>
      <c r="L86" s="75"/>
      <c r="M86" s="12"/>
      <c r="N86" s="16"/>
      <c r="O86" s="16"/>
      <c r="P86" s="12"/>
      <c r="Q86" s="12"/>
      <c r="R86" s="41"/>
      <c r="S86" s="41"/>
      <c r="T86" s="41"/>
      <c r="U86" s="41"/>
      <c r="V86" s="41"/>
      <c r="W86" s="41"/>
      <c r="X86" s="41"/>
      <c r="Y86" s="41"/>
      <c r="Z86" s="41"/>
    </row>
    <row r="87" spans="1:26" ht="31.5" customHeight="1" x14ac:dyDescent="0.2">
      <c r="A87" s="16">
        <v>84</v>
      </c>
      <c r="B87" s="43" t="s">
        <v>986</v>
      </c>
      <c r="C87" s="43" t="s">
        <v>1001</v>
      </c>
      <c r="D87" s="147">
        <f>O6</f>
        <v>33.323333333333331</v>
      </c>
      <c r="E87" s="147">
        <v>0</v>
      </c>
      <c r="F87" s="15">
        <f t="shared" si="0"/>
        <v>33.323333333333331</v>
      </c>
      <c r="G87" s="12"/>
      <c r="H87" s="12"/>
      <c r="I87" s="75"/>
      <c r="J87" s="75"/>
      <c r="K87" s="75"/>
      <c r="L87" s="75"/>
      <c r="M87" s="12"/>
      <c r="N87" s="16"/>
      <c r="O87" s="16"/>
      <c r="P87" s="12"/>
      <c r="Q87" s="12"/>
      <c r="R87" s="41"/>
      <c r="S87" s="41"/>
      <c r="T87" s="41"/>
      <c r="U87" s="41"/>
      <c r="V87" s="41"/>
      <c r="W87" s="41"/>
      <c r="X87" s="41"/>
      <c r="Y87" s="41"/>
      <c r="Z87" s="41"/>
    </row>
    <row r="88" spans="1:26" ht="31.5" customHeight="1" x14ac:dyDescent="0.2">
      <c r="A88" s="16">
        <v>85</v>
      </c>
      <c r="B88" s="43" t="s">
        <v>955</v>
      </c>
      <c r="C88" s="43" t="s">
        <v>972</v>
      </c>
      <c r="D88" s="147">
        <f>L11</f>
        <v>1.3306666666666667</v>
      </c>
      <c r="E88" s="147">
        <f>I21</f>
        <v>5.0755428571428567</v>
      </c>
      <c r="F88" s="15">
        <f t="shared" si="0"/>
        <v>6.4062095238095234</v>
      </c>
      <c r="G88" s="12"/>
      <c r="H88" s="12"/>
      <c r="I88" s="75"/>
      <c r="J88" s="75"/>
      <c r="K88" s="75"/>
      <c r="L88" s="75"/>
      <c r="M88" s="12"/>
      <c r="N88" s="16"/>
      <c r="O88" s="16"/>
      <c r="P88" s="12"/>
      <c r="Q88" s="12"/>
      <c r="R88" s="41"/>
      <c r="S88" s="41"/>
      <c r="T88" s="41"/>
      <c r="U88" s="41"/>
      <c r="V88" s="41"/>
      <c r="W88" s="41"/>
      <c r="X88" s="41"/>
      <c r="Y88" s="41"/>
      <c r="Z88" s="41"/>
    </row>
    <row r="89" spans="1:26" ht="31.5" customHeight="1" x14ac:dyDescent="0.2">
      <c r="A89" s="16">
        <v>86</v>
      </c>
      <c r="B89" s="43" t="s">
        <v>1003</v>
      </c>
      <c r="C89" s="43" t="s">
        <v>986</v>
      </c>
      <c r="D89" s="147">
        <f>2*L41</f>
        <v>3.7638857142857143</v>
      </c>
      <c r="E89" s="147">
        <f>O6</f>
        <v>33.323333333333331</v>
      </c>
      <c r="F89" s="15">
        <f t="shared" si="0"/>
        <v>37.087219047619044</v>
      </c>
      <c r="G89" s="12"/>
      <c r="H89" s="12"/>
      <c r="I89" s="12"/>
      <c r="J89" s="12"/>
      <c r="K89" s="12"/>
      <c r="L89" s="12"/>
      <c r="M89" s="12"/>
      <c r="N89" s="16"/>
      <c r="O89" s="16"/>
      <c r="P89" s="12"/>
      <c r="Q89" s="12"/>
      <c r="R89" s="41"/>
      <c r="S89" s="41"/>
      <c r="T89" s="41"/>
      <c r="U89" s="41"/>
      <c r="V89" s="41"/>
      <c r="W89" s="41"/>
      <c r="X89" s="41"/>
      <c r="Y89" s="41"/>
      <c r="Z89" s="41"/>
    </row>
    <row r="90" spans="1:26" ht="31.5" customHeight="1" x14ac:dyDescent="0.2">
      <c r="A90" s="16">
        <v>87</v>
      </c>
      <c r="B90" s="43" t="s">
        <v>952</v>
      </c>
      <c r="C90" s="43" t="s">
        <v>953</v>
      </c>
      <c r="D90" s="147">
        <f>30*I6</f>
        <v>0.85542857142857143</v>
      </c>
      <c r="E90" s="147">
        <f>5*L26</f>
        <v>0.47523809523809524</v>
      </c>
      <c r="F90" s="15">
        <f t="shared" si="0"/>
        <v>1.3306666666666667</v>
      </c>
      <c r="G90" s="12"/>
      <c r="H90" s="12"/>
      <c r="I90" s="12"/>
      <c r="J90" s="12"/>
      <c r="K90" s="12"/>
      <c r="L90" s="12"/>
      <c r="M90" s="12"/>
      <c r="N90" s="16"/>
      <c r="O90" s="16"/>
      <c r="P90" s="12"/>
      <c r="Q90" s="12"/>
      <c r="R90" s="41"/>
      <c r="S90" s="41"/>
      <c r="T90" s="41"/>
      <c r="U90" s="41"/>
      <c r="V90" s="41"/>
      <c r="W90" s="41"/>
      <c r="X90" s="41"/>
      <c r="Y90" s="41"/>
      <c r="Z90" s="41"/>
    </row>
    <row r="91" spans="1:26" ht="31.5" customHeight="1" x14ac:dyDescent="0.2">
      <c r="A91" s="16">
        <v>88</v>
      </c>
      <c r="B91" s="43" t="s">
        <v>954</v>
      </c>
      <c r="C91" s="43" t="s">
        <v>944</v>
      </c>
      <c r="D91" s="147">
        <f>25000*I16</f>
        <v>0.35642857142857143</v>
      </c>
      <c r="E91" s="147">
        <f>2*L6</f>
        <v>2.2811428571428571</v>
      </c>
      <c r="F91" s="15">
        <f t="shared" si="0"/>
        <v>2.6375714285714285</v>
      </c>
      <c r="G91" s="12"/>
      <c r="H91" s="12"/>
      <c r="I91" s="12"/>
      <c r="J91" s="12"/>
      <c r="K91" s="12"/>
      <c r="L91" s="12"/>
      <c r="M91" s="12"/>
      <c r="N91" s="16"/>
      <c r="O91" s="16"/>
      <c r="P91" s="12"/>
      <c r="Q91" s="12"/>
      <c r="R91" s="41"/>
      <c r="S91" s="41"/>
      <c r="T91" s="41"/>
      <c r="U91" s="41"/>
      <c r="V91" s="41"/>
      <c r="W91" s="41"/>
      <c r="X91" s="41"/>
      <c r="Y91" s="41"/>
      <c r="Z91" s="41"/>
    </row>
    <row r="92" spans="1:26" ht="31.5" customHeight="1" x14ac:dyDescent="0.2">
      <c r="A92" s="16">
        <v>89</v>
      </c>
      <c r="B92" s="43" t="s">
        <v>938</v>
      </c>
      <c r="C92" s="43" t="s">
        <v>955</v>
      </c>
      <c r="D92" s="147">
        <f>L6</f>
        <v>1.1405714285714286</v>
      </c>
      <c r="E92" s="147">
        <f>L11</f>
        <v>1.3306666666666667</v>
      </c>
      <c r="F92" s="15">
        <f t="shared" si="0"/>
        <v>2.4712380952380952</v>
      </c>
      <c r="G92" s="12"/>
      <c r="H92" s="12"/>
      <c r="I92" s="12"/>
      <c r="J92" s="12"/>
      <c r="K92" s="12"/>
      <c r="L92" s="12"/>
      <c r="M92" s="12"/>
      <c r="N92" s="16"/>
      <c r="O92" s="16"/>
      <c r="P92" s="12"/>
      <c r="Q92" s="12"/>
      <c r="R92" s="41"/>
      <c r="S92" s="41"/>
      <c r="T92" s="41"/>
      <c r="U92" s="41"/>
      <c r="V92" s="41"/>
      <c r="W92" s="41"/>
      <c r="X92" s="41"/>
      <c r="Y92" s="41"/>
      <c r="Z92" s="41"/>
    </row>
    <row r="93" spans="1:26" ht="31.5" customHeight="1" x14ac:dyDescent="0.2">
      <c r="A93" s="16">
        <v>90</v>
      </c>
      <c r="B93" s="43" t="s">
        <v>1004</v>
      </c>
      <c r="C93" s="43" t="s">
        <v>1005</v>
      </c>
      <c r="D93" s="147">
        <f>L56</f>
        <v>2.5662857142857143</v>
      </c>
      <c r="E93" s="147">
        <f>L21*0.06</f>
        <v>0.89420800000000011</v>
      </c>
      <c r="F93" s="15">
        <f t="shared" si="0"/>
        <v>3.4604937142857146</v>
      </c>
      <c r="G93" s="12"/>
      <c r="H93" s="12"/>
      <c r="I93" s="12"/>
      <c r="J93" s="12"/>
      <c r="K93" s="12"/>
      <c r="L93" s="12"/>
      <c r="M93" s="12"/>
      <c r="N93" s="16"/>
      <c r="O93" s="16"/>
      <c r="P93" s="12"/>
      <c r="Q93" s="12"/>
      <c r="R93" s="41"/>
      <c r="S93" s="41"/>
      <c r="T93" s="41"/>
      <c r="U93" s="41"/>
      <c r="V93" s="41"/>
      <c r="W93" s="41"/>
      <c r="X93" s="41"/>
      <c r="Y93" s="41"/>
      <c r="Z93" s="41"/>
    </row>
    <row r="94" spans="1:26" ht="31.5" customHeight="1" x14ac:dyDescent="0.2">
      <c r="A94" s="16">
        <v>91</v>
      </c>
      <c r="B94" s="43" t="s">
        <v>938</v>
      </c>
      <c r="C94" s="43" t="s">
        <v>817</v>
      </c>
      <c r="D94" s="147">
        <f>L6</f>
        <v>1.1405714285714286</v>
      </c>
      <c r="E94" s="147">
        <f>100*I6</f>
        <v>2.8514285714285714</v>
      </c>
      <c r="F94" s="15">
        <f t="shared" si="0"/>
        <v>3.992</v>
      </c>
      <c r="G94" s="12"/>
      <c r="H94" s="12"/>
      <c r="I94" s="12"/>
      <c r="J94" s="12"/>
      <c r="K94" s="12"/>
      <c r="L94" s="12"/>
      <c r="M94" s="12"/>
      <c r="N94" s="16"/>
      <c r="O94" s="16"/>
      <c r="P94" s="12"/>
      <c r="Q94" s="12"/>
      <c r="R94" s="41"/>
      <c r="S94" s="41"/>
      <c r="T94" s="41"/>
      <c r="U94" s="41"/>
      <c r="V94" s="41"/>
      <c r="W94" s="41"/>
      <c r="X94" s="41"/>
      <c r="Y94" s="41"/>
      <c r="Z94" s="41"/>
    </row>
    <row r="95" spans="1:26" ht="31.5" customHeight="1" x14ac:dyDescent="0.2">
      <c r="A95" s="16">
        <v>92</v>
      </c>
      <c r="B95" s="43" t="s">
        <v>941</v>
      </c>
      <c r="C95" s="43" t="s">
        <v>942</v>
      </c>
      <c r="D95" s="147">
        <f>I31</f>
        <v>2.8514285714285714</v>
      </c>
      <c r="E95" s="147">
        <f>100000*I16</f>
        <v>1.4257142857142857</v>
      </c>
      <c r="F95" s="15">
        <f t="shared" si="0"/>
        <v>4.2771428571428576</v>
      </c>
      <c r="G95" s="12"/>
      <c r="H95" s="12"/>
      <c r="I95" s="12"/>
      <c r="J95" s="12"/>
      <c r="K95" s="12"/>
      <c r="L95" s="12"/>
      <c r="M95" s="12"/>
      <c r="N95" s="16"/>
      <c r="O95" s="16"/>
      <c r="P95" s="12"/>
      <c r="Q95" s="12"/>
      <c r="R95" s="41"/>
      <c r="S95" s="41"/>
      <c r="T95" s="41"/>
      <c r="U95" s="41"/>
      <c r="V95" s="41"/>
      <c r="W95" s="41"/>
      <c r="X95" s="41"/>
      <c r="Y95" s="41"/>
      <c r="Z95" s="41"/>
    </row>
    <row r="96" spans="1:26" ht="31.5" customHeight="1" x14ac:dyDescent="0.2">
      <c r="A96" s="16">
        <v>93</v>
      </c>
      <c r="B96" s="43" t="s">
        <v>943</v>
      </c>
      <c r="C96" s="43" t="s">
        <v>944</v>
      </c>
      <c r="D96" s="147">
        <f>3*L26</f>
        <v>0.28514285714285714</v>
      </c>
      <c r="E96" s="147">
        <f>2*L6</f>
        <v>2.2811428571428571</v>
      </c>
      <c r="F96" s="15">
        <f t="shared" si="0"/>
        <v>2.5662857142857143</v>
      </c>
      <c r="G96" s="12"/>
      <c r="H96" s="12"/>
      <c r="I96" s="12"/>
      <c r="J96" s="12"/>
      <c r="K96" s="12"/>
      <c r="L96" s="12"/>
      <c r="M96" s="12"/>
      <c r="N96" s="16"/>
      <c r="O96" s="16"/>
      <c r="P96" s="12"/>
      <c r="Q96" s="12"/>
      <c r="R96" s="41"/>
      <c r="S96" s="41"/>
      <c r="T96" s="41"/>
      <c r="U96" s="41"/>
      <c r="V96" s="41"/>
      <c r="W96" s="41"/>
      <c r="X96" s="41"/>
      <c r="Y96" s="41"/>
      <c r="Z96" s="41"/>
    </row>
    <row r="97" spans="1:26" ht="31.5" customHeight="1" x14ac:dyDescent="0.2">
      <c r="A97" s="16">
        <v>94</v>
      </c>
      <c r="B97" s="43" t="s">
        <v>986</v>
      </c>
      <c r="C97" s="43" t="s">
        <v>1001</v>
      </c>
      <c r="D97" s="147">
        <f>O6</f>
        <v>33.323333333333331</v>
      </c>
      <c r="E97" s="147">
        <v>0</v>
      </c>
      <c r="F97" s="15">
        <f t="shared" si="0"/>
        <v>33.323333333333331</v>
      </c>
      <c r="G97" s="12"/>
      <c r="H97" s="12"/>
      <c r="I97" s="12"/>
      <c r="J97" s="12"/>
      <c r="K97" s="12"/>
      <c r="L97" s="12"/>
      <c r="M97" s="12"/>
      <c r="N97" s="16"/>
      <c r="O97" s="16"/>
      <c r="P97" s="12"/>
      <c r="Q97" s="12"/>
      <c r="R97" s="41"/>
      <c r="S97" s="41"/>
      <c r="T97" s="41"/>
      <c r="U97" s="41"/>
      <c r="V97" s="41"/>
      <c r="W97" s="41"/>
      <c r="X97" s="41"/>
      <c r="Y97" s="41"/>
      <c r="Z97" s="41"/>
    </row>
    <row r="98" spans="1:26" ht="31.5" customHeight="1" x14ac:dyDescent="0.2">
      <c r="A98" s="16">
        <v>95</v>
      </c>
      <c r="B98" s="43" t="s">
        <v>980</v>
      </c>
      <c r="C98" s="43" t="s">
        <v>988</v>
      </c>
      <c r="D98" s="147">
        <v>0</v>
      </c>
      <c r="E98" s="147">
        <f>L51</f>
        <v>19.019028571428571</v>
      </c>
      <c r="F98" s="15">
        <f t="shared" si="0"/>
        <v>19.019028571428571</v>
      </c>
      <c r="G98" s="12"/>
      <c r="H98" s="12"/>
      <c r="I98" s="12"/>
      <c r="J98" s="12"/>
      <c r="K98" s="12"/>
      <c r="L98" s="12"/>
      <c r="M98" s="12"/>
      <c r="N98" s="16"/>
      <c r="O98" s="16"/>
      <c r="P98" s="12"/>
      <c r="Q98" s="12"/>
      <c r="R98" s="41"/>
      <c r="S98" s="41"/>
      <c r="T98" s="41"/>
      <c r="U98" s="41"/>
      <c r="V98" s="41"/>
      <c r="W98" s="41"/>
      <c r="X98" s="41"/>
      <c r="Y98" s="41"/>
      <c r="Z98" s="41"/>
    </row>
    <row r="99" spans="1:26" ht="31.5" customHeight="1" x14ac:dyDescent="0.2">
      <c r="A99" s="16">
        <v>96</v>
      </c>
      <c r="B99" s="43" t="s">
        <v>1006</v>
      </c>
      <c r="C99" s="43" t="s">
        <v>986</v>
      </c>
      <c r="D99" s="147">
        <f>2*L41</f>
        <v>3.7638857142857143</v>
      </c>
      <c r="E99" s="147">
        <f>O6</f>
        <v>33.323333333333331</v>
      </c>
      <c r="F99" s="15">
        <f t="shared" si="0"/>
        <v>37.087219047619044</v>
      </c>
      <c r="G99" s="12"/>
      <c r="H99" s="12"/>
      <c r="I99" s="12"/>
      <c r="J99" s="12"/>
      <c r="K99" s="12"/>
      <c r="L99" s="12"/>
      <c r="M99" s="12"/>
      <c r="N99" s="16"/>
      <c r="O99" s="16"/>
      <c r="P99" s="12"/>
      <c r="Q99" s="12"/>
      <c r="R99" s="41"/>
      <c r="S99" s="41"/>
      <c r="T99" s="41"/>
      <c r="U99" s="41"/>
      <c r="V99" s="41"/>
      <c r="W99" s="41"/>
      <c r="X99" s="41"/>
      <c r="Y99" s="41"/>
      <c r="Z99" s="41"/>
    </row>
    <row r="100" spans="1:26" ht="31.5" customHeight="1" x14ac:dyDescent="0.2">
      <c r="A100" s="16">
        <v>97</v>
      </c>
      <c r="B100" s="43" t="s">
        <v>952</v>
      </c>
      <c r="C100" s="43" t="s">
        <v>953</v>
      </c>
      <c r="D100" s="147">
        <f>30*I6</f>
        <v>0.85542857142857143</v>
      </c>
      <c r="E100" s="147">
        <f>5*L26</f>
        <v>0.47523809523809524</v>
      </c>
      <c r="F100" s="15">
        <f t="shared" si="0"/>
        <v>1.3306666666666667</v>
      </c>
      <c r="G100" s="12"/>
      <c r="H100" s="12"/>
      <c r="I100" s="12"/>
      <c r="J100" s="12"/>
      <c r="K100" s="12"/>
      <c r="L100" s="12"/>
      <c r="M100" s="12"/>
      <c r="N100" s="16"/>
      <c r="O100" s="16"/>
      <c r="P100" s="12"/>
      <c r="Q100" s="12"/>
      <c r="R100" s="41"/>
      <c r="S100" s="41"/>
      <c r="T100" s="41"/>
      <c r="U100" s="41"/>
      <c r="V100" s="41"/>
      <c r="W100" s="41"/>
      <c r="X100" s="41"/>
      <c r="Y100" s="41"/>
      <c r="Z100" s="41"/>
    </row>
    <row r="101" spans="1:26" ht="31.5" customHeight="1" x14ac:dyDescent="0.2">
      <c r="A101" s="16">
        <v>98</v>
      </c>
      <c r="B101" s="43" t="s">
        <v>954</v>
      </c>
      <c r="C101" s="43" t="s">
        <v>944</v>
      </c>
      <c r="D101" s="147">
        <f>25000*I16</f>
        <v>0.35642857142857143</v>
      </c>
      <c r="E101" s="147">
        <f>2*L6</f>
        <v>2.2811428571428571</v>
      </c>
      <c r="F101" s="15">
        <f t="shared" si="0"/>
        <v>2.6375714285714285</v>
      </c>
      <c r="G101" s="12"/>
      <c r="H101" s="12"/>
      <c r="I101" s="12"/>
      <c r="J101" s="12"/>
      <c r="K101" s="12"/>
      <c r="L101" s="12"/>
      <c r="M101" s="12"/>
      <c r="N101" s="16"/>
      <c r="O101" s="16"/>
      <c r="P101" s="12"/>
      <c r="Q101" s="12"/>
      <c r="R101" s="41"/>
      <c r="S101" s="41"/>
      <c r="T101" s="41"/>
      <c r="U101" s="41"/>
      <c r="V101" s="41"/>
      <c r="W101" s="41"/>
      <c r="X101" s="41"/>
      <c r="Y101" s="41"/>
      <c r="Z101" s="41"/>
    </row>
    <row r="102" spans="1:26" ht="31.5" customHeight="1" x14ac:dyDescent="0.2">
      <c r="A102" s="16">
        <v>99</v>
      </c>
      <c r="B102" s="43" t="s">
        <v>938</v>
      </c>
      <c r="C102" s="43" t="s">
        <v>980</v>
      </c>
      <c r="D102" s="147">
        <f>L6</f>
        <v>1.1405714285714286</v>
      </c>
      <c r="E102" s="147">
        <v>0</v>
      </c>
      <c r="F102" s="15">
        <f t="shared" si="0"/>
        <v>1.1405714285714286</v>
      </c>
      <c r="G102" s="12"/>
      <c r="H102" s="12"/>
      <c r="I102" s="12"/>
      <c r="J102" s="12"/>
      <c r="K102" s="12"/>
      <c r="L102" s="12"/>
      <c r="M102" s="12"/>
      <c r="N102" s="16"/>
      <c r="O102" s="16"/>
      <c r="P102" s="12"/>
      <c r="Q102" s="12"/>
      <c r="R102" s="41"/>
      <c r="S102" s="41"/>
      <c r="T102" s="41"/>
      <c r="U102" s="41"/>
      <c r="V102" s="41"/>
      <c r="W102" s="41"/>
      <c r="X102" s="41"/>
      <c r="Y102" s="41"/>
      <c r="Z102" s="41"/>
    </row>
    <row r="103" spans="1:26" ht="31.5" customHeight="1" x14ac:dyDescent="0.2">
      <c r="A103" s="16">
        <v>100</v>
      </c>
      <c r="B103" s="43" t="s">
        <v>984</v>
      </c>
      <c r="C103" s="43" t="s">
        <v>1007</v>
      </c>
      <c r="D103" s="147">
        <f>I36</f>
        <v>24.99</v>
      </c>
      <c r="E103" s="147">
        <f>L66</f>
        <v>23.564285714285713</v>
      </c>
      <c r="F103" s="15">
        <f t="shared" si="0"/>
        <v>48.554285714285712</v>
      </c>
      <c r="G103" s="12"/>
      <c r="H103" s="12"/>
      <c r="I103" s="12"/>
      <c r="J103" s="12"/>
      <c r="K103" s="12"/>
      <c r="L103" s="12"/>
      <c r="M103" s="12"/>
      <c r="N103" s="16"/>
      <c r="O103" s="16"/>
      <c r="P103" s="12"/>
      <c r="Q103" s="12"/>
      <c r="R103" s="41"/>
      <c r="S103" s="41"/>
      <c r="T103" s="41"/>
      <c r="U103" s="41"/>
      <c r="V103" s="41"/>
      <c r="W103" s="41"/>
      <c r="X103" s="41"/>
      <c r="Y103" s="41"/>
      <c r="Z103" s="41"/>
    </row>
    <row r="104" spans="1:26" ht="31.5" customHeight="1" x14ac:dyDescent="0.2">
      <c r="A104" s="28" t="s">
        <v>81</v>
      </c>
      <c r="B104" s="28"/>
      <c r="C104" s="32"/>
      <c r="D104" s="72">
        <f t="shared" ref="D104:F104" si="1">SUM(D4:D103)</f>
        <v>442.31410476190479</v>
      </c>
      <c r="E104" s="72">
        <f t="shared" si="1"/>
        <v>559.96827615238101</v>
      </c>
      <c r="F104" s="72">
        <f t="shared" si="1"/>
        <v>1002.2823809142853</v>
      </c>
      <c r="G104" s="12"/>
      <c r="H104" s="12"/>
      <c r="I104" s="12"/>
      <c r="J104" s="12"/>
      <c r="K104" s="12"/>
      <c r="L104" s="12"/>
      <c r="M104" s="12"/>
      <c r="N104" s="16"/>
      <c r="O104" s="16"/>
      <c r="P104" s="12"/>
      <c r="Q104" s="12"/>
      <c r="R104" s="41"/>
      <c r="S104" s="41"/>
      <c r="T104" s="41"/>
      <c r="U104" s="41"/>
      <c r="V104" s="41"/>
      <c r="W104" s="41"/>
      <c r="X104" s="41"/>
      <c r="Y104" s="41"/>
      <c r="Z104" s="41"/>
    </row>
    <row r="105" spans="1:26" ht="31.5" customHeight="1" x14ac:dyDescent="0.2">
      <c r="A105" s="28" t="s">
        <v>174</v>
      </c>
      <c r="B105" s="28"/>
      <c r="C105" s="32"/>
      <c r="D105" s="34">
        <f t="shared" ref="D105:F105" si="2">AVERAGE(D4:D103)</f>
        <v>4.4231410476190476</v>
      </c>
      <c r="E105" s="34">
        <f t="shared" si="2"/>
        <v>5.5996827615238098</v>
      </c>
      <c r="F105" s="34">
        <f t="shared" si="2"/>
        <v>10.022823809142853</v>
      </c>
      <c r="G105" s="12"/>
      <c r="H105" s="12"/>
      <c r="I105" s="12"/>
      <c r="J105" s="12"/>
      <c r="K105" s="12"/>
      <c r="L105" s="12"/>
      <c r="M105" s="12"/>
      <c r="N105" s="16"/>
      <c r="O105" s="16"/>
      <c r="P105" s="12"/>
      <c r="Q105" s="12"/>
      <c r="R105" s="41"/>
      <c r="S105" s="41"/>
      <c r="T105" s="41"/>
      <c r="U105" s="41"/>
      <c r="V105" s="41"/>
      <c r="W105" s="41"/>
      <c r="X105" s="41"/>
      <c r="Y105" s="41"/>
      <c r="Z105" s="41"/>
    </row>
    <row r="106" spans="1:26" ht="15.75" customHeight="1" x14ac:dyDescent="0.2">
      <c r="A106" s="41"/>
      <c r="B106" s="41"/>
      <c r="C106" s="41"/>
      <c r="D106" s="41"/>
      <c r="E106" s="41"/>
      <c r="F106" s="41"/>
      <c r="G106" s="12"/>
      <c r="H106" s="12"/>
      <c r="I106" s="12"/>
      <c r="J106" s="12"/>
      <c r="K106" s="12"/>
      <c r="L106" s="12"/>
      <c r="M106" s="12"/>
      <c r="N106" s="16"/>
      <c r="O106" s="16"/>
      <c r="P106" s="12"/>
      <c r="Q106" s="12"/>
      <c r="R106" s="41"/>
      <c r="S106" s="41"/>
      <c r="T106" s="41"/>
      <c r="U106" s="41"/>
      <c r="V106" s="41"/>
      <c r="W106" s="41"/>
      <c r="X106" s="41"/>
      <c r="Y106" s="41"/>
      <c r="Z106" s="41"/>
    </row>
    <row r="107" spans="1:26" ht="15.75" customHeight="1" x14ac:dyDescent="0.2">
      <c r="A107" s="170"/>
      <c r="B107" s="170"/>
      <c r="C107" s="170"/>
      <c r="D107" s="171"/>
      <c r="E107" s="171"/>
      <c r="F107" s="171"/>
      <c r="G107" s="12"/>
      <c r="H107" s="12"/>
      <c r="I107" s="12"/>
      <c r="J107" s="12"/>
      <c r="K107" s="12"/>
      <c r="L107" s="12"/>
      <c r="M107" s="12"/>
      <c r="N107" s="16"/>
      <c r="O107" s="16"/>
      <c r="P107" s="12"/>
      <c r="Q107" s="12"/>
      <c r="R107" s="41"/>
      <c r="S107" s="41"/>
      <c r="T107" s="41"/>
      <c r="U107" s="41"/>
      <c r="V107" s="41"/>
      <c r="W107" s="41"/>
      <c r="X107" s="41"/>
      <c r="Y107" s="41"/>
      <c r="Z107" s="41"/>
    </row>
    <row r="108" spans="1:26" ht="15.75" customHeight="1" x14ac:dyDescent="0.2">
      <c r="A108" s="16"/>
      <c r="B108" s="43"/>
      <c r="C108" s="43"/>
      <c r="D108" s="16"/>
      <c r="E108" s="16"/>
      <c r="F108" s="16"/>
      <c r="G108" s="12"/>
      <c r="H108" s="12"/>
      <c r="I108" s="12"/>
      <c r="J108" s="12"/>
      <c r="K108" s="12"/>
      <c r="L108" s="12"/>
      <c r="M108" s="12"/>
      <c r="N108" s="16"/>
      <c r="O108" s="16"/>
      <c r="P108" s="12"/>
      <c r="Q108" s="12"/>
      <c r="R108" s="41"/>
      <c r="S108" s="41"/>
      <c r="T108" s="41"/>
      <c r="U108" s="41"/>
      <c r="V108" s="41"/>
      <c r="W108" s="41"/>
      <c r="X108" s="41"/>
      <c r="Y108" s="41"/>
      <c r="Z108" s="41"/>
    </row>
    <row r="109" spans="1:26" ht="15.75" customHeight="1" x14ac:dyDescent="0.2">
      <c r="A109" s="172"/>
      <c r="B109" s="43"/>
      <c r="C109" s="43"/>
      <c r="D109" s="16"/>
      <c r="E109" s="16"/>
      <c r="F109" s="16"/>
      <c r="G109" s="12"/>
      <c r="H109" s="12"/>
      <c r="I109" s="12"/>
      <c r="J109" s="12"/>
      <c r="K109" s="12"/>
      <c r="L109" s="12"/>
      <c r="M109" s="12"/>
      <c r="N109" s="16"/>
      <c r="O109" s="16"/>
      <c r="P109" s="12"/>
      <c r="Q109" s="12"/>
      <c r="R109" s="41"/>
      <c r="S109" s="41"/>
      <c r="T109" s="41"/>
      <c r="U109" s="41"/>
      <c r="V109" s="41"/>
      <c r="W109" s="41"/>
      <c r="X109" s="41"/>
      <c r="Y109" s="41"/>
      <c r="Z109" s="41"/>
    </row>
    <row r="110" spans="1:26" ht="15.75" customHeight="1" x14ac:dyDescent="0.2">
      <c r="A110" s="16"/>
      <c r="B110" s="43"/>
      <c r="C110" s="43"/>
      <c r="D110" s="16"/>
      <c r="E110" s="16"/>
      <c r="F110" s="16"/>
      <c r="G110" s="12"/>
      <c r="H110" s="12"/>
      <c r="I110" s="12"/>
      <c r="J110" s="12"/>
      <c r="K110" s="12"/>
      <c r="L110" s="12"/>
      <c r="M110" s="12"/>
      <c r="N110" s="16"/>
      <c r="O110" s="16"/>
      <c r="P110" s="12"/>
      <c r="Q110" s="12"/>
      <c r="R110" s="41"/>
      <c r="S110" s="41"/>
      <c r="T110" s="41"/>
      <c r="U110" s="41"/>
      <c r="V110" s="41"/>
      <c r="W110" s="41"/>
      <c r="X110" s="41"/>
      <c r="Y110" s="41"/>
      <c r="Z110" s="41"/>
    </row>
    <row r="111" spans="1:26" ht="15.75" customHeight="1" x14ac:dyDescent="0.2">
      <c r="A111" s="16"/>
      <c r="B111" s="43"/>
      <c r="C111" s="43"/>
      <c r="D111" s="16"/>
      <c r="E111" s="16"/>
      <c r="F111" s="16"/>
      <c r="G111" s="12"/>
      <c r="H111" s="12"/>
      <c r="I111" s="12"/>
      <c r="J111" s="12"/>
      <c r="K111" s="12"/>
      <c r="L111" s="12"/>
      <c r="M111" s="12"/>
      <c r="N111" s="16"/>
      <c r="O111" s="16"/>
      <c r="P111" s="12"/>
      <c r="Q111" s="12"/>
      <c r="R111" s="41"/>
      <c r="S111" s="41"/>
      <c r="T111" s="41"/>
      <c r="U111" s="41"/>
      <c r="V111" s="41"/>
      <c r="W111" s="41"/>
      <c r="X111" s="41"/>
      <c r="Y111" s="41"/>
      <c r="Z111" s="41"/>
    </row>
    <row r="112" spans="1:26" ht="15.75" customHeight="1" x14ac:dyDescent="0.2">
      <c r="A112" s="16"/>
      <c r="B112" s="43"/>
      <c r="C112" s="43"/>
      <c r="D112" s="16"/>
      <c r="E112" s="16"/>
      <c r="F112" s="16"/>
      <c r="G112" s="12"/>
      <c r="H112" s="12"/>
      <c r="I112" s="12"/>
      <c r="J112" s="12"/>
      <c r="K112" s="12"/>
      <c r="L112" s="12"/>
      <c r="M112" s="12"/>
      <c r="N112" s="16"/>
      <c r="O112" s="16"/>
      <c r="P112" s="12"/>
      <c r="Q112" s="12"/>
      <c r="R112" s="41"/>
      <c r="S112" s="41"/>
      <c r="T112" s="41"/>
      <c r="U112" s="41"/>
      <c r="V112" s="41"/>
      <c r="W112" s="41"/>
      <c r="X112" s="41"/>
      <c r="Y112" s="41"/>
      <c r="Z112" s="41"/>
    </row>
    <row r="113" spans="1:26" ht="15.75" customHeight="1" x14ac:dyDescent="0.2">
      <c r="A113" s="16"/>
      <c r="B113" s="43"/>
      <c r="C113" s="43"/>
      <c r="D113" s="16"/>
      <c r="E113" s="16"/>
      <c r="F113" s="16"/>
      <c r="G113" s="12"/>
      <c r="H113" s="12"/>
      <c r="I113" s="12"/>
      <c r="J113" s="12"/>
      <c r="K113" s="12"/>
      <c r="L113" s="12"/>
      <c r="M113" s="12"/>
      <c r="N113" s="16"/>
      <c r="O113" s="16"/>
      <c r="P113" s="12"/>
      <c r="Q113" s="12"/>
      <c r="R113" s="41"/>
      <c r="S113" s="41"/>
      <c r="T113" s="41"/>
      <c r="U113" s="41"/>
      <c r="V113" s="41"/>
      <c r="W113" s="41"/>
      <c r="X113" s="41"/>
      <c r="Y113" s="41"/>
      <c r="Z113" s="41"/>
    </row>
    <row r="114" spans="1:26" ht="15.75" customHeight="1" x14ac:dyDescent="0.2">
      <c r="A114" s="16"/>
      <c r="B114" s="43"/>
      <c r="C114" s="43"/>
      <c r="D114" s="16"/>
      <c r="E114" s="16"/>
      <c r="F114" s="16"/>
      <c r="G114" s="12"/>
      <c r="H114" s="12"/>
      <c r="I114" s="12"/>
      <c r="J114" s="12"/>
      <c r="K114" s="12"/>
      <c r="L114" s="12"/>
      <c r="M114" s="12"/>
      <c r="N114" s="16"/>
      <c r="O114" s="16"/>
      <c r="P114" s="12"/>
      <c r="Q114" s="12"/>
      <c r="R114" s="41"/>
      <c r="S114" s="41"/>
      <c r="T114" s="41"/>
      <c r="U114" s="41"/>
      <c r="V114" s="41"/>
      <c r="W114" s="41"/>
      <c r="X114" s="41"/>
      <c r="Y114" s="41"/>
      <c r="Z114" s="41"/>
    </row>
    <row r="115" spans="1:26" ht="15.75" customHeight="1" x14ac:dyDescent="0.2">
      <c r="A115" s="16"/>
      <c r="B115" s="43"/>
      <c r="C115" s="43"/>
      <c r="D115" s="16"/>
      <c r="E115" s="16"/>
      <c r="F115" s="16"/>
      <c r="G115" s="12"/>
      <c r="H115" s="12"/>
      <c r="I115" s="12"/>
      <c r="J115" s="12"/>
      <c r="K115" s="12"/>
      <c r="L115" s="12"/>
      <c r="M115" s="12"/>
      <c r="N115" s="16"/>
      <c r="O115" s="16"/>
      <c r="P115" s="12"/>
      <c r="Q115" s="12"/>
      <c r="R115" s="41"/>
      <c r="S115" s="41"/>
      <c r="T115" s="41"/>
      <c r="U115" s="41"/>
      <c r="V115" s="41"/>
      <c r="W115" s="41"/>
      <c r="X115" s="41"/>
      <c r="Y115" s="41"/>
      <c r="Z115" s="41"/>
    </row>
    <row r="116" spans="1:26" ht="15.75" customHeight="1" x14ac:dyDescent="0.2">
      <c r="A116" s="16"/>
      <c r="B116" s="43"/>
      <c r="C116" s="43"/>
      <c r="D116" s="16"/>
      <c r="E116" s="16"/>
      <c r="F116" s="16"/>
      <c r="G116" s="12"/>
      <c r="H116" s="12"/>
      <c r="I116" s="12"/>
      <c r="J116" s="12"/>
      <c r="K116" s="12"/>
      <c r="L116" s="12"/>
      <c r="M116" s="12"/>
      <c r="N116" s="16"/>
      <c r="O116" s="16"/>
      <c r="P116" s="12"/>
      <c r="Q116" s="12"/>
      <c r="R116" s="41"/>
      <c r="S116" s="41"/>
      <c r="T116" s="41"/>
      <c r="U116" s="41"/>
      <c r="V116" s="41"/>
      <c r="W116" s="41"/>
      <c r="X116" s="41"/>
      <c r="Y116" s="41"/>
      <c r="Z116" s="41"/>
    </row>
    <row r="117" spans="1:26" ht="15.75" customHeight="1" x14ac:dyDescent="0.2">
      <c r="A117" s="16"/>
      <c r="B117" s="43"/>
      <c r="C117" s="43"/>
      <c r="D117" s="16"/>
      <c r="E117" s="16"/>
      <c r="F117" s="16"/>
      <c r="G117" s="12"/>
      <c r="H117" s="12"/>
      <c r="I117" s="12"/>
      <c r="J117" s="12"/>
      <c r="K117" s="12"/>
      <c r="L117" s="12"/>
      <c r="M117" s="12"/>
      <c r="N117" s="16"/>
      <c r="O117" s="16"/>
      <c r="P117" s="12"/>
      <c r="Q117" s="12"/>
      <c r="R117" s="41"/>
      <c r="S117" s="41"/>
      <c r="T117" s="41"/>
      <c r="U117" s="41"/>
      <c r="V117" s="41"/>
      <c r="W117" s="41"/>
      <c r="X117" s="41"/>
      <c r="Y117" s="41"/>
      <c r="Z117" s="41"/>
    </row>
    <row r="118" spans="1:26" ht="15.75" customHeight="1" x14ac:dyDescent="0.2">
      <c r="A118" s="16"/>
      <c r="B118" s="43"/>
      <c r="C118" s="43"/>
      <c r="D118" s="16"/>
      <c r="E118" s="16"/>
      <c r="F118" s="16"/>
      <c r="G118" s="12"/>
      <c r="H118" s="12"/>
      <c r="I118" s="12"/>
      <c r="J118" s="12"/>
      <c r="K118" s="12"/>
      <c r="L118" s="12"/>
      <c r="M118" s="12"/>
      <c r="N118" s="16"/>
      <c r="O118" s="16"/>
      <c r="P118" s="12"/>
      <c r="Q118" s="12"/>
      <c r="R118" s="41"/>
      <c r="S118" s="41"/>
      <c r="T118" s="41"/>
      <c r="U118" s="41"/>
      <c r="V118" s="41"/>
      <c r="W118" s="41"/>
      <c r="X118" s="41"/>
      <c r="Y118" s="41"/>
      <c r="Z118" s="41"/>
    </row>
    <row r="119" spans="1:26" ht="15.75" customHeight="1" x14ac:dyDescent="0.2">
      <c r="A119" s="16"/>
      <c r="B119" s="43"/>
      <c r="C119" s="43"/>
      <c r="D119" s="16"/>
      <c r="E119" s="16"/>
      <c r="F119" s="16"/>
      <c r="G119" s="12"/>
      <c r="H119" s="12"/>
      <c r="I119" s="12"/>
      <c r="J119" s="12"/>
      <c r="K119" s="12"/>
      <c r="L119" s="12"/>
      <c r="M119" s="12"/>
      <c r="N119" s="16"/>
      <c r="O119" s="16"/>
      <c r="P119" s="12"/>
      <c r="Q119" s="12"/>
      <c r="R119" s="41"/>
      <c r="S119" s="41"/>
      <c r="T119" s="41"/>
      <c r="U119" s="41"/>
      <c r="V119" s="41"/>
      <c r="W119" s="41"/>
      <c r="X119" s="41"/>
      <c r="Y119" s="41"/>
      <c r="Z119" s="41"/>
    </row>
    <row r="120" spans="1:26" ht="15.75" customHeight="1" x14ac:dyDescent="0.2">
      <c r="A120" s="16"/>
      <c r="B120" s="43"/>
      <c r="C120" s="43"/>
      <c r="D120" s="16"/>
      <c r="E120" s="16"/>
      <c r="F120" s="16"/>
      <c r="G120" s="12"/>
      <c r="H120" s="12"/>
      <c r="I120" s="12"/>
      <c r="J120" s="12"/>
      <c r="K120" s="12"/>
      <c r="L120" s="12"/>
      <c r="M120" s="12"/>
      <c r="N120" s="16"/>
      <c r="O120" s="16"/>
      <c r="P120" s="12"/>
      <c r="Q120" s="12"/>
      <c r="R120" s="41"/>
      <c r="S120" s="41"/>
      <c r="T120" s="41"/>
      <c r="U120" s="41"/>
      <c r="V120" s="41"/>
      <c r="W120" s="41"/>
      <c r="X120" s="41"/>
      <c r="Y120" s="41"/>
      <c r="Z120" s="41"/>
    </row>
    <row r="121" spans="1:26" ht="15.75" customHeight="1" x14ac:dyDescent="0.2">
      <c r="A121" s="16"/>
      <c r="B121" s="43"/>
      <c r="C121" s="43"/>
      <c r="D121" s="16"/>
      <c r="E121" s="16"/>
      <c r="F121" s="16"/>
      <c r="G121" s="12"/>
      <c r="H121" s="12"/>
      <c r="I121" s="12"/>
      <c r="J121" s="12"/>
      <c r="K121" s="12"/>
      <c r="L121" s="12"/>
      <c r="M121" s="12"/>
      <c r="N121" s="16"/>
      <c r="O121" s="16"/>
      <c r="P121" s="12"/>
      <c r="Q121" s="12"/>
      <c r="R121" s="41"/>
      <c r="S121" s="41"/>
      <c r="T121" s="41"/>
      <c r="U121" s="41"/>
      <c r="V121" s="41"/>
      <c r="W121" s="41"/>
      <c r="X121" s="41"/>
      <c r="Y121" s="41"/>
      <c r="Z121" s="41"/>
    </row>
    <row r="122" spans="1:26" ht="15.75" customHeight="1" x14ac:dyDescent="0.2">
      <c r="A122" s="16"/>
      <c r="B122" s="43"/>
      <c r="C122" s="43"/>
      <c r="D122" s="16"/>
      <c r="E122" s="16"/>
      <c r="F122" s="16"/>
      <c r="G122" s="12"/>
      <c r="H122" s="12"/>
      <c r="I122" s="12"/>
      <c r="J122" s="12"/>
      <c r="K122" s="12"/>
      <c r="L122" s="12"/>
      <c r="M122" s="12"/>
      <c r="N122" s="16"/>
      <c r="O122" s="16"/>
      <c r="P122" s="12"/>
      <c r="Q122" s="12"/>
      <c r="R122" s="41"/>
      <c r="S122" s="41"/>
      <c r="T122" s="41"/>
      <c r="U122" s="41"/>
      <c r="V122" s="41"/>
      <c r="W122" s="41"/>
      <c r="X122" s="41"/>
      <c r="Y122" s="41"/>
      <c r="Z122" s="41"/>
    </row>
    <row r="123" spans="1:26" ht="15.75" customHeight="1" x14ac:dyDescent="0.2">
      <c r="A123" s="16"/>
      <c r="B123" s="43"/>
      <c r="C123" s="43"/>
      <c r="D123" s="16"/>
      <c r="E123" s="16"/>
      <c r="F123" s="16"/>
      <c r="G123" s="12"/>
      <c r="H123" s="12"/>
      <c r="I123" s="12"/>
      <c r="J123" s="12"/>
      <c r="K123" s="12"/>
      <c r="L123" s="12"/>
      <c r="M123" s="12"/>
      <c r="N123" s="16"/>
      <c r="O123" s="16"/>
      <c r="P123" s="12"/>
      <c r="Q123" s="12"/>
      <c r="R123" s="41"/>
      <c r="S123" s="41"/>
      <c r="T123" s="41"/>
      <c r="U123" s="41"/>
      <c r="V123" s="41"/>
      <c r="W123" s="41"/>
      <c r="X123" s="41"/>
      <c r="Y123" s="41"/>
      <c r="Z123" s="41"/>
    </row>
    <row r="124" spans="1:26" ht="15.75" customHeight="1" x14ac:dyDescent="0.2">
      <c r="A124" s="16"/>
      <c r="B124" s="43"/>
      <c r="C124" s="43"/>
      <c r="D124" s="16"/>
      <c r="E124" s="16"/>
      <c r="F124" s="16"/>
      <c r="G124" s="12"/>
      <c r="H124" s="12"/>
      <c r="I124" s="12"/>
      <c r="J124" s="12"/>
      <c r="K124" s="12"/>
      <c r="L124" s="12"/>
      <c r="M124" s="12"/>
      <c r="N124" s="16"/>
      <c r="O124" s="16"/>
      <c r="P124" s="12"/>
      <c r="Q124" s="12"/>
      <c r="R124" s="41"/>
      <c r="S124" s="41"/>
      <c r="T124" s="41"/>
      <c r="U124" s="41"/>
      <c r="V124" s="41"/>
      <c r="W124" s="41"/>
      <c r="X124" s="41"/>
      <c r="Y124" s="41"/>
      <c r="Z124" s="41"/>
    </row>
    <row r="125" spans="1:26" ht="15.75" customHeight="1" x14ac:dyDescent="0.2">
      <c r="A125" s="16"/>
      <c r="B125" s="43"/>
      <c r="C125" s="43"/>
      <c r="D125" s="16"/>
      <c r="E125" s="16"/>
      <c r="F125" s="16"/>
      <c r="G125" s="12"/>
      <c r="H125" s="12"/>
      <c r="I125" s="12"/>
      <c r="J125" s="12"/>
      <c r="K125" s="12"/>
      <c r="L125" s="12"/>
      <c r="M125" s="12"/>
      <c r="N125" s="16"/>
      <c r="O125" s="16"/>
      <c r="P125" s="12"/>
      <c r="Q125" s="12"/>
      <c r="R125" s="41"/>
      <c r="S125" s="41"/>
      <c r="T125" s="41"/>
      <c r="U125" s="41"/>
      <c r="V125" s="41"/>
      <c r="W125" s="41"/>
      <c r="X125" s="41"/>
      <c r="Y125" s="41"/>
      <c r="Z125" s="41"/>
    </row>
    <row r="126" spans="1:26" ht="15.75" customHeight="1" x14ac:dyDescent="0.2">
      <c r="A126" s="16"/>
      <c r="B126" s="43"/>
      <c r="C126" s="43"/>
      <c r="D126" s="16"/>
      <c r="E126" s="16"/>
      <c r="F126" s="16"/>
      <c r="G126" s="12"/>
      <c r="H126" s="12"/>
      <c r="I126" s="12"/>
      <c r="J126" s="12"/>
      <c r="K126" s="12"/>
      <c r="L126" s="12"/>
      <c r="M126" s="12"/>
      <c r="N126" s="16"/>
      <c r="O126" s="16"/>
      <c r="P126" s="12"/>
      <c r="Q126" s="12"/>
      <c r="R126" s="41"/>
      <c r="S126" s="41"/>
      <c r="T126" s="41"/>
      <c r="U126" s="41"/>
      <c r="V126" s="41"/>
      <c r="W126" s="41"/>
      <c r="X126" s="41"/>
      <c r="Y126" s="41"/>
      <c r="Z126" s="41"/>
    </row>
    <row r="127" spans="1:26" ht="15.75" customHeight="1" x14ac:dyDescent="0.2">
      <c r="A127" s="16"/>
      <c r="B127" s="43"/>
      <c r="C127" s="43"/>
      <c r="D127" s="16"/>
      <c r="E127" s="16"/>
      <c r="F127" s="16"/>
      <c r="G127" s="12"/>
      <c r="H127" s="12"/>
      <c r="I127" s="12"/>
      <c r="J127" s="12"/>
      <c r="K127" s="12"/>
      <c r="L127" s="12"/>
      <c r="M127" s="12"/>
      <c r="N127" s="16"/>
      <c r="O127" s="16"/>
      <c r="P127" s="12"/>
      <c r="Q127" s="12"/>
      <c r="R127" s="41"/>
      <c r="S127" s="41"/>
      <c r="T127" s="41"/>
      <c r="U127" s="41"/>
      <c r="V127" s="41"/>
      <c r="W127" s="41"/>
      <c r="X127" s="41"/>
      <c r="Y127" s="41"/>
      <c r="Z127" s="41"/>
    </row>
    <row r="128" spans="1:26" ht="15.75" customHeight="1" x14ac:dyDescent="0.2">
      <c r="A128" s="16"/>
      <c r="B128" s="43"/>
      <c r="C128" s="43"/>
      <c r="D128" s="16"/>
      <c r="E128" s="16"/>
      <c r="F128" s="16"/>
      <c r="G128" s="12"/>
      <c r="H128" s="12"/>
      <c r="I128" s="12"/>
      <c r="J128" s="12"/>
      <c r="K128" s="12"/>
      <c r="L128" s="12"/>
      <c r="M128" s="12"/>
      <c r="N128" s="16"/>
      <c r="O128" s="16"/>
      <c r="P128" s="12"/>
      <c r="Q128" s="12"/>
      <c r="R128" s="41"/>
      <c r="S128" s="41"/>
      <c r="T128" s="41"/>
      <c r="U128" s="41"/>
      <c r="V128" s="41"/>
      <c r="W128" s="41"/>
      <c r="X128" s="41"/>
      <c r="Y128" s="41"/>
      <c r="Z128" s="41"/>
    </row>
    <row r="129" spans="1:26" ht="15.75" customHeight="1" x14ac:dyDescent="0.2">
      <c r="A129" s="16"/>
      <c r="B129" s="43"/>
      <c r="C129" s="43"/>
      <c r="D129" s="16"/>
      <c r="E129" s="16"/>
      <c r="F129" s="16"/>
      <c r="G129" s="12"/>
      <c r="H129" s="12"/>
      <c r="I129" s="12"/>
      <c r="J129" s="12"/>
      <c r="K129" s="12"/>
      <c r="L129" s="12"/>
      <c r="M129" s="12"/>
      <c r="N129" s="16"/>
      <c r="O129" s="16"/>
      <c r="P129" s="12"/>
      <c r="Q129" s="12"/>
      <c r="R129" s="41"/>
      <c r="S129" s="41"/>
      <c r="T129" s="41"/>
      <c r="U129" s="41"/>
      <c r="V129" s="41"/>
      <c r="W129" s="41"/>
      <c r="X129" s="41"/>
      <c r="Y129" s="41"/>
      <c r="Z129" s="41"/>
    </row>
    <row r="130" spans="1:26" ht="15.75" customHeight="1" x14ac:dyDescent="0.2">
      <c r="A130" s="16"/>
      <c r="B130" s="43"/>
      <c r="C130" s="43"/>
      <c r="D130" s="16"/>
      <c r="E130" s="16"/>
      <c r="F130" s="16"/>
      <c r="G130" s="12"/>
      <c r="H130" s="12"/>
      <c r="I130" s="12"/>
      <c r="J130" s="12"/>
      <c r="K130" s="12"/>
      <c r="L130" s="12"/>
      <c r="M130" s="12"/>
      <c r="N130" s="16"/>
      <c r="O130" s="16"/>
      <c r="P130" s="12"/>
      <c r="Q130" s="12"/>
      <c r="R130" s="41"/>
      <c r="S130" s="41"/>
      <c r="T130" s="41"/>
      <c r="U130" s="41"/>
      <c r="V130" s="41"/>
      <c r="W130" s="41"/>
      <c r="X130" s="41"/>
      <c r="Y130" s="41"/>
      <c r="Z130" s="41"/>
    </row>
    <row r="131" spans="1:26" ht="15.75" customHeight="1" x14ac:dyDescent="0.2">
      <c r="A131" s="16"/>
      <c r="B131" s="43"/>
      <c r="C131" s="43"/>
      <c r="D131" s="16"/>
      <c r="E131" s="16"/>
      <c r="F131" s="16"/>
      <c r="G131" s="12"/>
      <c r="H131" s="12"/>
      <c r="I131" s="12"/>
      <c r="J131" s="12"/>
      <c r="K131" s="12"/>
      <c r="L131" s="12"/>
      <c r="M131" s="12"/>
      <c r="N131" s="16"/>
      <c r="O131" s="16"/>
      <c r="P131" s="12"/>
      <c r="Q131" s="12"/>
      <c r="R131" s="41"/>
      <c r="S131" s="41"/>
      <c r="T131" s="41"/>
      <c r="U131" s="41"/>
      <c r="V131" s="41"/>
      <c r="W131" s="41"/>
      <c r="X131" s="41"/>
      <c r="Y131" s="41"/>
      <c r="Z131" s="41"/>
    </row>
    <row r="132" spans="1:26" ht="15.75" customHeight="1" x14ac:dyDescent="0.2">
      <c r="A132" s="16"/>
      <c r="B132" s="43"/>
      <c r="C132" s="43"/>
      <c r="D132" s="16"/>
      <c r="E132" s="16"/>
      <c r="F132" s="16"/>
      <c r="G132" s="12"/>
      <c r="H132" s="12"/>
      <c r="I132" s="12"/>
      <c r="J132" s="12"/>
      <c r="K132" s="12"/>
      <c r="L132" s="12"/>
      <c r="M132" s="12"/>
      <c r="N132" s="16"/>
      <c r="O132" s="16"/>
      <c r="P132" s="12"/>
      <c r="Q132" s="12"/>
      <c r="R132" s="41"/>
      <c r="S132" s="41"/>
      <c r="T132" s="41"/>
      <c r="U132" s="41"/>
      <c r="V132" s="41"/>
      <c r="W132" s="41"/>
      <c r="X132" s="41"/>
      <c r="Y132" s="41"/>
      <c r="Z132" s="41"/>
    </row>
    <row r="133" spans="1:26" ht="15.75" customHeight="1" x14ac:dyDescent="0.2">
      <c r="A133" s="16"/>
      <c r="B133" s="43"/>
      <c r="C133" s="43"/>
      <c r="D133" s="16"/>
      <c r="E133" s="16"/>
      <c r="F133" s="16"/>
      <c r="G133" s="12"/>
      <c r="H133" s="12"/>
      <c r="I133" s="12"/>
      <c r="J133" s="12"/>
      <c r="K133" s="12"/>
      <c r="L133" s="12"/>
      <c r="M133" s="12"/>
      <c r="N133" s="16"/>
      <c r="O133" s="16"/>
      <c r="P133" s="12"/>
      <c r="Q133" s="12"/>
      <c r="R133" s="41"/>
      <c r="S133" s="41"/>
      <c r="T133" s="41"/>
      <c r="U133" s="41"/>
      <c r="V133" s="41"/>
      <c r="W133" s="41"/>
      <c r="X133" s="41"/>
      <c r="Y133" s="41"/>
      <c r="Z133" s="41"/>
    </row>
    <row r="134" spans="1:26" ht="15.75" customHeight="1" x14ac:dyDescent="0.2">
      <c r="A134" s="16"/>
      <c r="B134" s="43"/>
      <c r="C134" s="43"/>
      <c r="D134" s="16"/>
      <c r="E134" s="16"/>
      <c r="F134" s="16"/>
      <c r="G134" s="12"/>
      <c r="H134" s="12"/>
      <c r="I134" s="12"/>
      <c r="J134" s="12"/>
      <c r="K134" s="12"/>
      <c r="L134" s="12"/>
      <c r="M134" s="12"/>
      <c r="N134" s="16"/>
      <c r="O134" s="16"/>
      <c r="P134" s="12"/>
      <c r="Q134" s="12"/>
      <c r="R134" s="41"/>
      <c r="S134" s="41"/>
      <c r="T134" s="41"/>
      <c r="U134" s="41"/>
      <c r="V134" s="41"/>
      <c r="W134" s="41"/>
      <c r="X134" s="41"/>
      <c r="Y134" s="41"/>
      <c r="Z134" s="41"/>
    </row>
    <row r="135" spans="1:26" ht="15.75" customHeight="1" x14ac:dyDescent="0.2">
      <c r="A135" s="16"/>
      <c r="B135" s="43"/>
      <c r="C135" s="43"/>
      <c r="D135" s="16"/>
      <c r="E135" s="16"/>
      <c r="F135" s="16"/>
      <c r="G135" s="12"/>
      <c r="H135" s="12"/>
      <c r="I135" s="12"/>
      <c r="J135" s="12"/>
      <c r="K135" s="12"/>
      <c r="L135" s="12"/>
      <c r="M135" s="12"/>
      <c r="N135" s="16"/>
      <c r="O135" s="16"/>
      <c r="P135" s="12"/>
      <c r="Q135" s="12"/>
      <c r="R135" s="41"/>
      <c r="S135" s="41"/>
      <c r="T135" s="41"/>
      <c r="U135" s="41"/>
      <c r="V135" s="41"/>
      <c r="W135" s="41"/>
      <c r="X135" s="41"/>
      <c r="Y135" s="41"/>
      <c r="Z135" s="41"/>
    </row>
    <row r="136" spans="1:26" ht="15.75" customHeight="1" x14ac:dyDescent="0.2">
      <c r="A136" s="16"/>
      <c r="B136" s="43"/>
      <c r="C136" s="43"/>
      <c r="D136" s="16"/>
      <c r="E136" s="16"/>
      <c r="F136" s="16"/>
      <c r="G136" s="12"/>
      <c r="H136" s="12"/>
      <c r="I136" s="12"/>
      <c r="J136" s="12"/>
      <c r="K136" s="12"/>
      <c r="L136" s="12"/>
      <c r="M136" s="12"/>
      <c r="N136" s="16"/>
      <c r="O136" s="16"/>
      <c r="P136" s="12"/>
      <c r="Q136" s="12"/>
      <c r="R136" s="41"/>
      <c r="S136" s="41"/>
      <c r="T136" s="41"/>
      <c r="U136" s="41"/>
      <c r="V136" s="41"/>
      <c r="W136" s="41"/>
      <c r="X136" s="41"/>
      <c r="Y136" s="41"/>
      <c r="Z136" s="41"/>
    </row>
    <row r="137" spans="1:26" ht="15.75" customHeight="1" x14ac:dyDescent="0.2">
      <c r="A137" s="16"/>
      <c r="B137" s="43"/>
      <c r="C137" s="43"/>
      <c r="D137" s="16"/>
      <c r="E137" s="16"/>
      <c r="F137" s="16"/>
      <c r="G137" s="12"/>
      <c r="H137" s="12"/>
      <c r="I137" s="12"/>
      <c r="J137" s="12"/>
      <c r="K137" s="12"/>
      <c r="L137" s="12"/>
      <c r="M137" s="12"/>
      <c r="N137" s="16"/>
      <c r="O137" s="16"/>
      <c r="P137" s="12"/>
      <c r="Q137" s="12"/>
      <c r="R137" s="41"/>
      <c r="S137" s="41"/>
      <c r="T137" s="41"/>
      <c r="U137" s="41"/>
      <c r="V137" s="41"/>
      <c r="W137" s="41"/>
      <c r="X137" s="41"/>
      <c r="Y137" s="41"/>
      <c r="Z137" s="41"/>
    </row>
    <row r="138" spans="1:26" ht="15.75" customHeight="1" x14ac:dyDescent="0.2">
      <c r="A138" s="16"/>
      <c r="B138" s="43"/>
      <c r="C138" s="43"/>
      <c r="D138" s="16"/>
      <c r="E138" s="16"/>
      <c r="F138" s="16"/>
      <c r="G138" s="12"/>
      <c r="H138" s="12"/>
      <c r="I138" s="12"/>
      <c r="J138" s="12"/>
      <c r="K138" s="12"/>
      <c r="L138" s="12"/>
      <c r="M138" s="12"/>
      <c r="N138" s="16"/>
      <c r="O138" s="16"/>
      <c r="P138" s="12"/>
      <c r="Q138" s="12"/>
      <c r="R138" s="41"/>
      <c r="S138" s="41"/>
      <c r="T138" s="41"/>
      <c r="U138" s="41"/>
      <c r="V138" s="41"/>
      <c r="W138" s="41"/>
      <c r="X138" s="41"/>
      <c r="Y138" s="41"/>
      <c r="Z138" s="41"/>
    </row>
    <row r="139" spans="1:26" ht="15.75" customHeight="1" x14ac:dyDescent="0.2">
      <c r="A139" s="16"/>
      <c r="B139" s="43"/>
      <c r="C139" s="43"/>
      <c r="D139" s="16"/>
      <c r="E139" s="16"/>
      <c r="F139" s="16"/>
      <c r="G139" s="12"/>
      <c r="H139" s="12"/>
      <c r="I139" s="12"/>
      <c r="J139" s="12"/>
      <c r="K139" s="12"/>
      <c r="L139" s="12"/>
      <c r="M139" s="12"/>
      <c r="N139" s="16"/>
      <c r="O139" s="16"/>
      <c r="P139" s="12"/>
      <c r="Q139" s="12"/>
      <c r="R139" s="41"/>
      <c r="S139" s="41"/>
      <c r="T139" s="41"/>
      <c r="U139" s="41"/>
      <c r="V139" s="41"/>
      <c r="W139" s="41"/>
      <c r="X139" s="41"/>
      <c r="Y139" s="41"/>
      <c r="Z139" s="41"/>
    </row>
    <row r="140" spans="1:26" ht="15.75" customHeight="1" x14ac:dyDescent="0.2">
      <c r="A140" s="16"/>
      <c r="B140" s="43"/>
      <c r="C140" s="43"/>
      <c r="D140" s="16"/>
      <c r="E140" s="16"/>
      <c r="F140" s="16"/>
      <c r="G140" s="12"/>
      <c r="H140" s="12"/>
      <c r="I140" s="12"/>
      <c r="J140" s="12"/>
      <c r="K140" s="12"/>
      <c r="L140" s="12"/>
      <c r="M140" s="12"/>
      <c r="N140" s="16"/>
      <c r="O140" s="16"/>
      <c r="P140" s="12"/>
      <c r="Q140" s="12"/>
      <c r="R140" s="41"/>
      <c r="S140" s="41"/>
      <c r="T140" s="41"/>
      <c r="U140" s="41"/>
      <c r="V140" s="41"/>
      <c r="W140" s="41"/>
      <c r="X140" s="41"/>
      <c r="Y140" s="41"/>
      <c r="Z140" s="41"/>
    </row>
    <row r="141" spans="1:26" ht="15.75" customHeight="1" x14ac:dyDescent="0.2">
      <c r="A141" s="16"/>
      <c r="B141" s="43"/>
      <c r="C141" s="43"/>
      <c r="D141" s="16"/>
      <c r="E141" s="16"/>
      <c r="F141" s="16"/>
      <c r="G141" s="12"/>
      <c r="H141" s="12"/>
      <c r="I141" s="12"/>
      <c r="J141" s="12"/>
      <c r="K141" s="12"/>
      <c r="L141" s="12"/>
      <c r="M141" s="12"/>
      <c r="N141" s="16"/>
      <c r="O141" s="16"/>
      <c r="P141" s="12"/>
      <c r="Q141" s="12"/>
      <c r="R141" s="41"/>
      <c r="S141" s="41"/>
      <c r="T141" s="41"/>
      <c r="U141" s="41"/>
      <c r="V141" s="41"/>
      <c r="W141" s="41"/>
      <c r="X141" s="41"/>
      <c r="Y141" s="41"/>
      <c r="Z141" s="41"/>
    </row>
    <row r="142" spans="1:26" ht="15.75" customHeight="1" x14ac:dyDescent="0.2">
      <c r="A142" s="16"/>
      <c r="B142" s="43"/>
      <c r="C142" s="43"/>
      <c r="D142" s="16"/>
      <c r="E142" s="16"/>
      <c r="F142" s="16"/>
      <c r="G142" s="12"/>
      <c r="H142" s="12"/>
      <c r="I142" s="12"/>
      <c r="J142" s="12"/>
      <c r="K142" s="12"/>
      <c r="L142" s="12"/>
      <c r="M142" s="12"/>
      <c r="N142" s="16"/>
      <c r="O142" s="16"/>
      <c r="P142" s="12"/>
      <c r="Q142" s="12"/>
      <c r="R142" s="41"/>
      <c r="S142" s="41"/>
      <c r="T142" s="41"/>
      <c r="U142" s="41"/>
      <c r="V142" s="41"/>
      <c r="W142" s="41"/>
      <c r="X142" s="41"/>
      <c r="Y142" s="41"/>
      <c r="Z142" s="41"/>
    </row>
    <row r="143" spans="1:26" ht="15.75" customHeight="1" x14ac:dyDescent="0.2">
      <c r="A143" s="16"/>
      <c r="B143" s="43"/>
      <c r="C143" s="43"/>
      <c r="D143" s="16"/>
      <c r="E143" s="16"/>
      <c r="F143" s="16"/>
      <c r="G143" s="12"/>
      <c r="H143" s="12"/>
      <c r="I143" s="12"/>
      <c r="J143" s="12"/>
      <c r="K143" s="12"/>
      <c r="L143" s="12"/>
      <c r="M143" s="12"/>
      <c r="N143" s="16"/>
      <c r="O143" s="16"/>
      <c r="P143" s="12"/>
      <c r="Q143" s="12"/>
      <c r="R143" s="41"/>
      <c r="S143" s="41"/>
      <c r="T143" s="41"/>
      <c r="U143" s="41"/>
      <c r="V143" s="41"/>
      <c r="W143" s="41"/>
      <c r="X143" s="41"/>
      <c r="Y143" s="41"/>
      <c r="Z143" s="41"/>
    </row>
    <row r="144" spans="1:26" ht="15.75" customHeight="1" x14ac:dyDescent="0.2">
      <c r="A144" s="16"/>
      <c r="B144" s="43"/>
      <c r="C144" s="43"/>
      <c r="D144" s="16"/>
      <c r="E144" s="16"/>
      <c r="F144" s="16"/>
      <c r="G144" s="12"/>
      <c r="H144" s="12"/>
      <c r="I144" s="12"/>
      <c r="J144" s="12"/>
      <c r="K144" s="12"/>
      <c r="L144" s="12"/>
      <c r="M144" s="12"/>
      <c r="N144" s="16"/>
      <c r="O144" s="16"/>
      <c r="P144" s="12"/>
      <c r="Q144" s="12"/>
      <c r="R144" s="41"/>
      <c r="S144" s="41"/>
      <c r="T144" s="41"/>
      <c r="U144" s="41"/>
      <c r="V144" s="41"/>
      <c r="W144" s="41"/>
      <c r="X144" s="41"/>
      <c r="Y144" s="41"/>
      <c r="Z144" s="41"/>
    </row>
    <row r="145" spans="1:26" ht="15.75" customHeight="1" x14ac:dyDescent="0.2">
      <c r="A145" s="16"/>
      <c r="B145" s="43"/>
      <c r="C145" s="43"/>
      <c r="D145" s="16"/>
      <c r="E145" s="16"/>
      <c r="F145" s="16"/>
      <c r="G145" s="12"/>
      <c r="H145" s="12"/>
      <c r="I145" s="12"/>
      <c r="J145" s="12"/>
      <c r="K145" s="12"/>
      <c r="L145" s="12"/>
      <c r="M145" s="12"/>
      <c r="N145" s="16"/>
      <c r="O145" s="16"/>
      <c r="P145" s="12"/>
      <c r="Q145" s="12"/>
      <c r="R145" s="41"/>
      <c r="S145" s="41"/>
      <c r="T145" s="41"/>
      <c r="U145" s="41"/>
      <c r="V145" s="41"/>
      <c r="W145" s="41"/>
      <c r="X145" s="41"/>
      <c r="Y145" s="41"/>
      <c r="Z145" s="41"/>
    </row>
    <row r="146" spans="1:26" ht="15.75" customHeight="1" x14ac:dyDescent="0.2">
      <c r="A146" s="16"/>
      <c r="B146" s="43"/>
      <c r="C146" s="43"/>
      <c r="D146" s="16"/>
      <c r="E146" s="16"/>
      <c r="F146" s="16"/>
      <c r="G146" s="12"/>
      <c r="H146" s="12"/>
      <c r="I146" s="12"/>
      <c r="J146" s="12"/>
      <c r="K146" s="12"/>
      <c r="L146" s="12"/>
      <c r="M146" s="12"/>
      <c r="N146" s="16"/>
      <c r="O146" s="16"/>
      <c r="P146" s="12"/>
      <c r="Q146" s="12"/>
      <c r="R146" s="41"/>
      <c r="S146" s="41"/>
      <c r="T146" s="41"/>
      <c r="U146" s="41"/>
      <c r="V146" s="41"/>
      <c r="W146" s="41"/>
      <c r="X146" s="41"/>
      <c r="Y146" s="41"/>
      <c r="Z146" s="41"/>
    </row>
    <row r="147" spans="1:26" ht="15.75" customHeight="1" x14ac:dyDescent="0.2">
      <c r="A147" s="16"/>
      <c r="B147" s="43"/>
      <c r="C147" s="43"/>
      <c r="D147" s="16"/>
      <c r="E147" s="16"/>
      <c r="F147" s="16"/>
      <c r="G147" s="12"/>
      <c r="H147" s="12"/>
      <c r="I147" s="12"/>
      <c r="J147" s="12"/>
      <c r="K147" s="12"/>
      <c r="L147" s="12"/>
      <c r="M147" s="12"/>
      <c r="N147" s="16"/>
      <c r="O147" s="16"/>
      <c r="P147" s="12"/>
      <c r="Q147" s="12"/>
      <c r="R147" s="41"/>
      <c r="S147" s="41"/>
      <c r="T147" s="41"/>
      <c r="U147" s="41"/>
      <c r="V147" s="41"/>
      <c r="W147" s="41"/>
      <c r="X147" s="41"/>
      <c r="Y147" s="41"/>
      <c r="Z147" s="41"/>
    </row>
    <row r="148" spans="1:26" ht="15.75" customHeight="1" x14ac:dyDescent="0.2">
      <c r="A148" s="16"/>
      <c r="B148" s="43"/>
      <c r="C148" s="43"/>
      <c r="D148" s="16"/>
      <c r="E148" s="16"/>
      <c r="F148" s="16"/>
      <c r="G148" s="12"/>
      <c r="H148" s="12"/>
      <c r="I148" s="12"/>
      <c r="J148" s="12"/>
      <c r="K148" s="12"/>
      <c r="L148" s="12"/>
      <c r="M148" s="12"/>
      <c r="N148" s="16"/>
      <c r="O148" s="16"/>
      <c r="P148" s="12"/>
      <c r="Q148" s="12"/>
      <c r="R148" s="41"/>
      <c r="S148" s="41"/>
      <c r="T148" s="41"/>
      <c r="U148" s="41"/>
      <c r="V148" s="41"/>
      <c r="W148" s="41"/>
      <c r="X148" s="41"/>
      <c r="Y148" s="41"/>
      <c r="Z148" s="41"/>
    </row>
    <row r="149" spans="1:26" ht="15.75" customHeight="1" x14ac:dyDescent="0.2">
      <c r="A149" s="16"/>
      <c r="B149" s="43"/>
      <c r="C149" s="43"/>
      <c r="D149" s="16"/>
      <c r="E149" s="16"/>
      <c r="F149" s="16"/>
      <c r="G149" s="12"/>
      <c r="H149" s="12"/>
      <c r="I149" s="12"/>
      <c r="J149" s="12"/>
      <c r="K149" s="12"/>
      <c r="L149" s="12"/>
      <c r="M149" s="12"/>
      <c r="N149" s="16"/>
      <c r="O149" s="16"/>
      <c r="P149" s="12"/>
      <c r="Q149" s="12"/>
      <c r="R149" s="41"/>
      <c r="S149" s="41"/>
      <c r="T149" s="41"/>
      <c r="U149" s="41"/>
      <c r="V149" s="41"/>
      <c r="W149" s="41"/>
      <c r="X149" s="41"/>
      <c r="Y149" s="41"/>
      <c r="Z149" s="41"/>
    </row>
    <row r="150" spans="1:26" ht="15.75" customHeight="1" x14ac:dyDescent="0.2">
      <c r="A150" s="16"/>
      <c r="B150" s="43"/>
      <c r="C150" s="43"/>
      <c r="D150" s="16"/>
      <c r="E150" s="16"/>
      <c r="F150" s="16"/>
      <c r="G150" s="12"/>
      <c r="H150" s="12"/>
      <c r="I150" s="12"/>
      <c r="J150" s="12"/>
      <c r="K150" s="12"/>
      <c r="L150" s="12"/>
      <c r="M150" s="12"/>
      <c r="N150" s="16"/>
      <c r="O150" s="16"/>
      <c r="P150" s="12"/>
      <c r="Q150" s="12"/>
      <c r="R150" s="41"/>
      <c r="S150" s="41"/>
      <c r="T150" s="41"/>
      <c r="U150" s="41"/>
      <c r="V150" s="41"/>
      <c r="W150" s="41"/>
      <c r="X150" s="41"/>
      <c r="Y150" s="41"/>
      <c r="Z150" s="41"/>
    </row>
    <row r="151" spans="1:26" ht="15.75" customHeight="1" x14ac:dyDescent="0.2">
      <c r="A151" s="16"/>
      <c r="B151" s="43"/>
      <c r="C151" s="43"/>
      <c r="D151" s="16"/>
      <c r="E151" s="16"/>
      <c r="F151" s="16"/>
      <c r="G151" s="12"/>
      <c r="H151" s="12"/>
      <c r="I151" s="12"/>
      <c r="J151" s="12"/>
      <c r="K151" s="12"/>
      <c r="L151" s="12"/>
      <c r="M151" s="12"/>
      <c r="N151" s="16"/>
      <c r="O151" s="16"/>
      <c r="P151" s="12"/>
      <c r="Q151" s="12"/>
      <c r="R151" s="41"/>
      <c r="S151" s="41"/>
      <c r="T151" s="41"/>
      <c r="U151" s="41"/>
      <c r="V151" s="41"/>
      <c r="W151" s="41"/>
      <c r="X151" s="41"/>
      <c r="Y151" s="41"/>
      <c r="Z151" s="41"/>
    </row>
    <row r="152" spans="1:26" ht="15.75" customHeight="1" x14ac:dyDescent="0.2">
      <c r="A152" s="16"/>
      <c r="B152" s="43"/>
      <c r="C152" s="43"/>
      <c r="D152" s="16"/>
      <c r="E152" s="16"/>
      <c r="F152" s="16"/>
      <c r="G152" s="12"/>
      <c r="H152" s="12"/>
      <c r="I152" s="12"/>
      <c r="J152" s="12"/>
      <c r="K152" s="12"/>
      <c r="L152" s="12"/>
      <c r="M152" s="12"/>
      <c r="N152" s="16"/>
      <c r="O152" s="16"/>
      <c r="P152" s="12"/>
      <c r="Q152" s="12"/>
      <c r="R152" s="41"/>
      <c r="S152" s="41"/>
      <c r="T152" s="41"/>
      <c r="U152" s="41"/>
      <c r="V152" s="41"/>
      <c r="W152" s="41"/>
      <c r="X152" s="41"/>
      <c r="Y152" s="41"/>
      <c r="Z152" s="41"/>
    </row>
    <row r="153" spans="1:26" ht="15.75" customHeight="1" x14ac:dyDescent="0.2">
      <c r="A153" s="16"/>
      <c r="B153" s="43"/>
      <c r="C153" s="43"/>
      <c r="D153" s="16"/>
      <c r="E153" s="16"/>
      <c r="F153" s="16"/>
      <c r="G153" s="12"/>
      <c r="H153" s="12"/>
      <c r="I153" s="12"/>
      <c r="J153" s="12"/>
      <c r="K153" s="12"/>
      <c r="L153" s="12"/>
      <c r="M153" s="12"/>
      <c r="N153" s="16"/>
      <c r="O153" s="16"/>
      <c r="P153" s="12"/>
      <c r="Q153" s="12"/>
      <c r="R153" s="41"/>
      <c r="S153" s="41"/>
      <c r="T153" s="41"/>
      <c r="U153" s="41"/>
      <c r="V153" s="41"/>
      <c r="W153" s="41"/>
      <c r="X153" s="41"/>
      <c r="Y153" s="41"/>
      <c r="Z153" s="41"/>
    </row>
    <row r="154" spans="1:26" ht="15.75" customHeight="1" x14ac:dyDescent="0.2">
      <c r="A154" s="16"/>
      <c r="B154" s="43"/>
      <c r="C154" s="43"/>
      <c r="D154" s="16"/>
      <c r="E154" s="16"/>
      <c r="F154" s="16"/>
      <c r="G154" s="12"/>
      <c r="H154" s="12"/>
      <c r="I154" s="12"/>
      <c r="J154" s="12"/>
      <c r="K154" s="12"/>
      <c r="L154" s="12"/>
      <c r="M154" s="12"/>
      <c r="N154" s="16"/>
      <c r="O154" s="16"/>
      <c r="P154" s="12"/>
      <c r="Q154" s="12"/>
      <c r="R154" s="41"/>
      <c r="S154" s="41"/>
      <c r="T154" s="41"/>
      <c r="U154" s="41"/>
      <c r="V154" s="41"/>
      <c r="W154" s="41"/>
      <c r="X154" s="41"/>
      <c r="Y154" s="41"/>
      <c r="Z154" s="41"/>
    </row>
    <row r="155" spans="1:26" ht="15.75" customHeight="1" x14ac:dyDescent="0.2">
      <c r="A155" s="16"/>
      <c r="B155" s="43"/>
      <c r="C155" s="43"/>
      <c r="D155" s="16"/>
      <c r="E155" s="16"/>
      <c r="F155" s="16"/>
      <c r="G155" s="12"/>
      <c r="H155" s="12"/>
      <c r="I155" s="12"/>
      <c r="J155" s="12"/>
      <c r="K155" s="12"/>
      <c r="L155" s="12"/>
      <c r="M155" s="12"/>
      <c r="N155" s="16"/>
      <c r="O155" s="16"/>
      <c r="P155" s="12"/>
      <c r="Q155" s="12"/>
      <c r="R155" s="41"/>
      <c r="S155" s="41"/>
      <c r="T155" s="41"/>
      <c r="U155" s="41"/>
      <c r="V155" s="41"/>
      <c r="W155" s="41"/>
      <c r="X155" s="41"/>
      <c r="Y155" s="41"/>
      <c r="Z155" s="41"/>
    </row>
    <row r="156" spans="1:26" ht="15.75" customHeight="1" x14ac:dyDescent="0.2">
      <c r="A156" s="16"/>
      <c r="B156" s="43"/>
      <c r="C156" s="43"/>
      <c r="D156" s="16"/>
      <c r="E156" s="16"/>
      <c r="F156" s="16"/>
      <c r="G156" s="12"/>
      <c r="H156" s="12"/>
      <c r="I156" s="12"/>
      <c r="J156" s="12"/>
      <c r="K156" s="12"/>
      <c r="L156" s="12"/>
      <c r="M156" s="12"/>
      <c r="N156" s="16"/>
      <c r="O156" s="16"/>
      <c r="P156" s="12"/>
      <c r="Q156" s="12"/>
      <c r="R156" s="41"/>
      <c r="S156" s="41"/>
      <c r="T156" s="41"/>
      <c r="U156" s="41"/>
      <c r="V156" s="41"/>
      <c r="W156" s="41"/>
      <c r="X156" s="41"/>
      <c r="Y156" s="41"/>
      <c r="Z156" s="41"/>
    </row>
    <row r="157" spans="1:26" ht="15.75" customHeight="1" x14ac:dyDescent="0.2">
      <c r="A157" s="16"/>
      <c r="B157" s="43"/>
      <c r="C157" s="43"/>
      <c r="D157" s="16"/>
      <c r="E157" s="16"/>
      <c r="F157" s="16"/>
      <c r="G157" s="12"/>
      <c r="H157" s="12"/>
      <c r="I157" s="12"/>
      <c r="J157" s="12"/>
      <c r="K157" s="12"/>
      <c r="L157" s="12"/>
      <c r="M157" s="12"/>
      <c r="N157" s="16"/>
      <c r="O157" s="16"/>
      <c r="P157" s="12"/>
      <c r="Q157" s="12"/>
      <c r="R157" s="41"/>
      <c r="S157" s="41"/>
      <c r="T157" s="41"/>
      <c r="U157" s="41"/>
      <c r="V157" s="41"/>
      <c r="W157" s="41"/>
      <c r="X157" s="41"/>
      <c r="Y157" s="41"/>
      <c r="Z157" s="41"/>
    </row>
    <row r="158" spans="1:26" ht="15.75" customHeight="1" x14ac:dyDescent="0.2">
      <c r="A158" s="16"/>
      <c r="B158" s="43"/>
      <c r="C158" s="43"/>
      <c r="D158" s="16"/>
      <c r="E158" s="16"/>
      <c r="F158" s="16"/>
      <c r="G158" s="12"/>
      <c r="H158" s="12"/>
      <c r="I158" s="12"/>
      <c r="J158" s="12"/>
      <c r="K158" s="12"/>
      <c r="L158" s="12"/>
      <c r="M158" s="12"/>
      <c r="N158" s="16"/>
      <c r="O158" s="16"/>
      <c r="P158" s="12"/>
      <c r="Q158" s="12"/>
      <c r="R158" s="41"/>
      <c r="S158" s="41"/>
      <c r="T158" s="41"/>
      <c r="U158" s="41"/>
      <c r="V158" s="41"/>
      <c r="W158" s="41"/>
      <c r="X158" s="41"/>
      <c r="Y158" s="41"/>
      <c r="Z158" s="41"/>
    </row>
    <row r="159" spans="1:26" ht="15.75" customHeight="1" x14ac:dyDescent="0.2">
      <c r="A159" s="16"/>
      <c r="B159" s="43"/>
      <c r="C159" s="43"/>
      <c r="D159" s="16"/>
      <c r="E159" s="16"/>
      <c r="F159" s="16"/>
      <c r="G159" s="12"/>
      <c r="H159" s="12"/>
      <c r="I159" s="12"/>
      <c r="J159" s="12"/>
      <c r="K159" s="12"/>
      <c r="L159" s="12"/>
      <c r="M159" s="12"/>
      <c r="N159" s="16"/>
      <c r="O159" s="16"/>
      <c r="P159" s="12"/>
      <c r="Q159" s="12"/>
      <c r="R159" s="41"/>
      <c r="S159" s="41"/>
      <c r="T159" s="41"/>
      <c r="U159" s="41"/>
      <c r="V159" s="41"/>
      <c r="W159" s="41"/>
      <c r="X159" s="41"/>
      <c r="Y159" s="41"/>
      <c r="Z159" s="41"/>
    </row>
    <row r="160" spans="1:26" ht="15.75" customHeight="1" x14ac:dyDescent="0.2">
      <c r="A160" s="16"/>
      <c r="B160" s="43"/>
      <c r="C160" s="43"/>
      <c r="D160" s="16"/>
      <c r="E160" s="16"/>
      <c r="F160" s="16"/>
      <c r="G160" s="12"/>
      <c r="H160" s="12"/>
      <c r="I160" s="12"/>
      <c r="J160" s="12"/>
      <c r="K160" s="12"/>
      <c r="L160" s="12"/>
      <c r="M160" s="12"/>
      <c r="N160" s="16"/>
      <c r="O160" s="16"/>
      <c r="P160" s="12"/>
      <c r="Q160" s="12"/>
      <c r="R160" s="41"/>
      <c r="S160" s="41"/>
      <c r="T160" s="41"/>
      <c r="U160" s="41"/>
      <c r="V160" s="41"/>
      <c r="W160" s="41"/>
      <c r="X160" s="41"/>
      <c r="Y160" s="41"/>
      <c r="Z160" s="41"/>
    </row>
    <row r="161" spans="1:26" ht="15.75" customHeight="1" x14ac:dyDescent="0.2">
      <c r="A161" s="16"/>
      <c r="B161" s="43"/>
      <c r="C161" s="43"/>
      <c r="D161" s="16"/>
      <c r="E161" s="16"/>
      <c r="F161" s="16"/>
      <c r="G161" s="12"/>
      <c r="H161" s="12"/>
      <c r="I161" s="12"/>
      <c r="J161" s="12"/>
      <c r="K161" s="12"/>
      <c r="L161" s="12"/>
      <c r="M161" s="12"/>
      <c r="N161" s="16"/>
      <c r="O161" s="16"/>
      <c r="P161" s="12"/>
      <c r="Q161" s="12"/>
      <c r="R161" s="41"/>
      <c r="S161" s="41"/>
      <c r="T161" s="41"/>
      <c r="U161" s="41"/>
      <c r="V161" s="41"/>
      <c r="W161" s="41"/>
      <c r="X161" s="41"/>
      <c r="Y161" s="41"/>
      <c r="Z161" s="41"/>
    </row>
    <row r="162" spans="1:26" ht="15.75" customHeight="1" x14ac:dyDescent="0.2">
      <c r="A162" s="16"/>
      <c r="B162" s="43"/>
      <c r="C162" s="43"/>
      <c r="D162" s="16"/>
      <c r="E162" s="16"/>
      <c r="F162" s="16"/>
      <c r="G162" s="12"/>
      <c r="H162" s="12"/>
      <c r="I162" s="12"/>
      <c r="J162" s="12"/>
      <c r="K162" s="12"/>
      <c r="L162" s="12"/>
      <c r="M162" s="12"/>
      <c r="N162" s="16"/>
      <c r="O162" s="16"/>
      <c r="P162" s="12"/>
      <c r="Q162" s="12"/>
      <c r="R162" s="41"/>
      <c r="S162" s="41"/>
      <c r="T162" s="41"/>
      <c r="U162" s="41"/>
      <c r="V162" s="41"/>
      <c r="W162" s="41"/>
      <c r="X162" s="41"/>
      <c r="Y162" s="41"/>
      <c r="Z162" s="41"/>
    </row>
    <row r="163" spans="1:26" ht="15.75" customHeight="1" x14ac:dyDescent="0.2">
      <c r="A163" s="16"/>
      <c r="B163" s="43"/>
      <c r="C163" s="43"/>
      <c r="D163" s="16"/>
      <c r="E163" s="16"/>
      <c r="F163" s="16"/>
      <c r="G163" s="12"/>
      <c r="H163" s="12"/>
      <c r="I163" s="12"/>
      <c r="J163" s="12"/>
      <c r="K163" s="12"/>
      <c r="L163" s="12"/>
      <c r="M163" s="12"/>
      <c r="N163" s="16"/>
      <c r="O163" s="16"/>
      <c r="P163" s="12"/>
      <c r="Q163" s="12"/>
      <c r="R163" s="41"/>
      <c r="S163" s="41"/>
      <c r="T163" s="41"/>
      <c r="U163" s="41"/>
      <c r="V163" s="41"/>
      <c r="W163" s="41"/>
      <c r="X163" s="41"/>
      <c r="Y163" s="41"/>
      <c r="Z163" s="41"/>
    </row>
    <row r="164" spans="1:26" ht="15.75" customHeight="1" x14ac:dyDescent="0.2">
      <c r="A164" s="16"/>
      <c r="B164" s="43"/>
      <c r="C164" s="43"/>
      <c r="D164" s="16"/>
      <c r="E164" s="16"/>
      <c r="F164" s="16"/>
      <c r="G164" s="12"/>
      <c r="H164" s="12"/>
      <c r="I164" s="12"/>
      <c r="J164" s="12"/>
      <c r="K164" s="12"/>
      <c r="L164" s="12"/>
      <c r="M164" s="12"/>
      <c r="N164" s="16"/>
      <c r="O164" s="16"/>
      <c r="P164" s="12"/>
      <c r="Q164" s="12"/>
      <c r="R164" s="41"/>
      <c r="S164" s="41"/>
      <c r="T164" s="41"/>
      <c r="U164" s="41"/>
      <c r="V164" s="41"/>
      <c r="W164" s="41"/>
      <c r="X164" s="41"/>
      <c r="Y164" s="41"/>
      <c r="Z164" s="41"/>
    </row>
    <row r="165" spans="1:26" ht="15.75" customHeight="1" x14ac:dyDescent="0.2">
      <c r="A165" s="16"/>
      <c r="B165" s="43"/>
      <c r="C165" s="43"/>
      <c r="D165" s="16"/>
      <c r="E165" s="16"/>
      <c r="F165" s="16"/>
      <c r="G165" s="12"/>
      <c r="H165" s="12"/>
      <c r="I165" s="12"/>
      <c r="J165" s="12"/>
      <c r="K165" s="12"/>
      <c r="L165" s="12"/>
      <c r="M165" s="12"/>
      <c r="N165" s="16"/>
      <c r="O165" s="16"/>
      <c r="P165" s="12"/>
      <c r="Q165" s="12"/>
      <c r="R165" s="41"/>
      <c r="S165" s="41"/>
      <c r="T165" s="41"/>
      <c r="U165" s="41"/>
      <c r="V165" s="41"/>
      <c r="W165" s="41"/>
      <c r="X165" s="41"/>
      <c r="Y165" s="41"/>
      <c r="Z165" s="41"/>
    </row>
    <row r="166" spans="1:26" ht="15.75" customHeight="1" x14ac:dyDescent="0.2">
      <c r="A166" s="16"/>
      <c r="B166" s="43"/>
      <c r="C166" s="43"/>
      <c r="D166" s="16"/>
      <c r="E166" s="16"/>
      <c r="F166" s="16"/>
      <c r="G166" s="12"/>
      <c r="H166" s="12"/>
      <c r="I166" s="12"/>
      <c r="J166" s="12"/>
      <c r="K166" s="12"/>
      <c r="L166" s="12"/>
      <c r="M166" s="12"/>
      <c r="N166" s="16"/>
      <c r="O166" s="16"/>
      <c r="P166" s="12"/>
      <c r="Q166" s="12"/>
      <c r="R166" s="41"/>
      <c r="S166" s="41"/>
      <c r="T166" s="41"/>
      <c r="U166" s="41"/>
      <c r="V166" s="41"/>
      <c r="W166" s="41"/>
      <c r="X166" s="41"/>
      <c r="Y166" s="41"/>
      <c r="Z166" s="41"/>
    </row>
    <row r="167" spans="1:26" ht="15.75" customHeight="1" x14ac:dyDescent="0.2">
      <c r="A167" s="16"/>
      <c r="B167" s="43"/>
      <c r="C167" s="43"/>
      <c r="D167" s="16"/>
      <c r="E167" s="16"/>
      <c r="F167" s="16"/>
      <c r="G167" s="12"/>
      <c r="H167" s="12"/>
      <c r="I167" s="12"/>
      <c r="J167" s="12"/>
      <c r="K167" s="12"/>
      <c r="L167" s="12"/>
      <c r="M167" s="12"/>
      <c r="N167" s="16"/>
      <c r="O167" s="16"/>
      <c r="P167" s="12"/>
      <c r="Q167" s="12"/>
      <c r="R167" s="41"/>
      <c r="S167" s="41"/>
      <c r="T167" s="41"/>
      <c r="U167" s="41"/>
      <c r="V167" s="41"/>
      <c r="W167" s="41"/>
      <c r="X167" s="41"/>
      <c r="Y167" s="41"/>
      <c r="Z167" s="41"/>
    </row>
    <row r="168" spans="1:26" ht="15.75" customHeight="1" x14ac:dyDescent="0.2">
      <c r="A168" s="16"/>
      <c r="B168" s="43"/>
      <c r="C168" s="43"/>
      <c r="D168" s="16"/>
      <c r="E168" s="16"/>
      <c r="F168" s="16"/>
      <c r="G168" s="12"/>
      <c r="H168" s="12"/>
      <c r="I168" s="12"/>
      <c r="J168" s="12"/>
      <c r="K168" s="12"/>
      <c r="L168" s="12"/>
      <c r="M168" s="12"/>
      <c r="N168" s="16"/>
      <c r="O168" s="16"/>
      <c r="P168" s="12"/>
      <c r="Q168" s="12"/>
      <c r="R168" s="41"/>
      <c r="S168" s="41"/>
      <c r="T168" s="41"/>
      <c r="U168" s="41"/>
      <c r="V168" s="41"/>
      <c r="W168" s="41"/>
      <c r="X168" s="41"/>
      <c r="Y168" s="41"/>
      <c r="Z168" s="41"/>
    </row>
    <row r="169" spans="1:26" ht="15.75" customHeight="1" x14ac:dyDescent="0.2">
      <c r="A169" s="16"/>
      <c r="B169" s="43"/>
      <c r="C169" s="43"/>
      <c r="D169" s="16"/>
      <c r="E169" s="16"/>
      <c r="F169" s="16"/>
      <c r="G169" s="12"/>
      <c r="H169" s="12"/>
      <c r="I169" s="12"/>
      <c r="J169" s="12"/>
      <c r="K169" s="12"/>
      <c r="L169" s="12"/>
      <c r="M169" s="12"/>
      <c r="N169" s="16"/>
      <c r="O169" s="16"/>
      <c r="P169" s="12"/>
      <c r="Q169" s="12"/>
      <c r="R169" s="41"/>
      <c r="S169" s="41"/>
      <c r="T169" s="41"/>
      <c r="U169" s="41"/>
      <c r="V169" s="41"/>
      <c r="W169" s="41"/>
      <c r="X169" s="41"/>
      <c r="Y169" s="41"/>
      <c r="Z169" s="41"/>
    </row>
    <row r="170" spans="1:26" ht="15.75" customHeight="1" x14ac:dyDescent="0.2">
      <c r="A170" s="16"/>
      <c r="B170" s="43"/>
      <c r="C170" s="43"/>
      <c r="D170" s="16"/>
      <c r="E170" s="16"/>
      <c r="F170" s="16"/>
      <c r="G170" s="12"/>
      <c r="H170" s="12"/>
      <c r="I170" s="12"/>
      <c r="J170" s="12"/>
      <c r="K170" s="12"/>
      <c r="L170" s="12"/>
      <c r="M170" s="12"/>
      <c r="N170" s="16"/>
      <c r="O170" s="16"/>
      <c r="P170" s="12"/>
      <c r="Q170" s="12"/>
      <c r="R170" s="41"/>
      <c r="S170" s="41"/>
      <c r="T170" s="41"/>
      <c r="U170" s="41"/>
      <c r="V170" s="41"/>
      <c r="W170" s="41"/>
      <c r="X170" s="41"/>
      <c r="Y170" s="41"/>
      <c r="Z170" s="41"/>
    </row>
    <row r="171" spans="1:26" ht="15.75" customHeight="1" x14ac:dyDescent="0.2">
      <c r="A171" s="16"/>
      <c r="B171" s="43"/>
      <c r="C171" s="43"/>
      <c r="D171" s="16"/>
      <c r="E171" s="16"/>
      <c r="F171" s="16"/>
      <c r="G171" s="12"/>
      <c r="H171" s="12"/>
      <c r="I171" s="12"/>
      <c r="J171" s="12"/>
      <c r="K171" s="12"/>
      <c r="L171" s="12"/>
      <c r="M171" s="12"/>
      <c r="N171" s="16"/>
      <c r="O171" s="16"/>
      <c r="P171" s="12"/>
      <c r="Q171" s="12"/>
      <c r="R171" s="41"/>
      <c r="S171" s="41"/>
      <c r="T171" s="41"/>
      <c r="U171" s="41"/>
      <c r="V171" s="41"/>
      <c r="W171" s="41"/>
      <c r="X171" s="41"/>
      <c r="Y171" s="41"/>
      <c r="Z171" s="41"/>
    </row>
    <row r="172" spans="1:26" ht="15.75" customHeight="1" x14ac:dyDescent="0.2">
      <c r="A172" s="16"/>
      <c r="B172" s="43"/>
      <c r="C172" s="43"/>
      <c r="D172" s="16"/>
      <c r="E172" s="16"/>
      <c r="F172" s="16"/>
      <c r="G172" s="12"/>
      <c r="H172" s="12"/>
      <c r="I172" s="12"/>
      <c r="J172" s="12"/>
      <c r="K172" s="12"/>
      <c r="L172" s="12"/>
      <c r="M172" s="12"/>
      <c r="N172" s="16"/>
      <c r="O172" s="16"/>
      <c r="P172" s="12"/>
      <c r="Q172" s="12"/>
      <c r="R172" s="41"/>
      <c r="S172" s="41"/>
      <c r="T172" s="41"/>
      <c r="U172" s="41"/>
      <c r="V172" s="41"/>
      <c r="W172" s="41"/>
      <c r="X172" s="41"/>
      <c r="Y172" s="41"/>
      <c r="Z172" s="41"/>
    </row>
    <row r="173" spans="1:26" ht="15.75" customHeight="1" x14ac:dyDescent="0.2">
      <c r="A173" s="16"/>
      <c r="B173" s="43"/>
      <c r="C173" s="43"/>
      <c r="D173" s="16"/>
      <c r="E173" s="16"/>
      <c r="F173" s="16"/>
      <c r="G173" s="12"/>
      <c r="H173" s="12"/>
      <c r="I173" s="12"/>
      <c r="J173" s="12"/>
      <c r="K173" s="12"/>
      <c r="L173" s="12"/>
      <c r="M173" s="12"/>
      <c r="N173" s="16"/>
      <c r="O173" s="16"/>
      <c r="P173" s="12"/>
      <c r="Q173" s="12"/>
      <c r="R173" s="41"/>
      <c r="S173" s="41"/>
      <c r="T173" s="41"/>
      <c r="U173" s="41"/>
      <c r="V173" s="41"/>
      <c r="W173" s="41"/>
      <c r="X173" s="41"/>
      <c r="Y173" s="41"/>
      <c r="Z173" s="41"/>
    </row>
    <row r="174" spans="1:26" ht="15.75" customHeight="1" x14ac:dyDescent="0.2">
      <c r="A174" s="16"/>
      <c r="B174" s="43"/>
      <c r="C174" s="43"/>
      <c r="D174" s="16"/>
      <c r="E174" s="16"/>
      <c r="F174" s="16"/>
      <c r="G174" s="12"/>
      <c r="H174" s="12"/>
      <c r="I174" s="12"/>
      <c r="J174" s="12"/>
      <c r="K174" s="12"/>
      <c r="L174" s="12"/>
      <c r="M174" s="12"/>
      <c r="N174" s="16"/>
      <c r="O174" s="16"/>
      <c r="P174" s="12"/>
      <c r="Q174" s="12"/>
      <c r="R174" s="41"/>
      <c r="S174" s="41"/>
      <c r="T174" s="41"/>
      <c r="U174" s="41"/>
      <c r="V174" s="41"/>
      <c r="W174" s="41"/>
      <c r="X174" s="41"/>
      <c r="Y174" s="41"/>
      <c r="Z174" s="41"/>
    </row>
    <row r="175" spans="1:26" ht="15.75" customHeight="1" x14ac:dyDescent="0.2">
      <c r="A175" s="16"/>
      <c r="B175" s="43"/>
      <c r="C175" s="43"/>
      <c r="D175" s="16"/>
      <c r="E175" s="16"/>
      <c r="F175" s="16"/>
      <c r="G175" s="12"/>
      <c r="H175" s="12"/>
      <c r="I175" s="12"/>
      <c r="J175" s="12"/>
      <c r="K175" s="12"/>
      <c r="L175" s="12"/>
      <c r="M175" s="12"/>
      <c r="N175" s="16"/>
      <c r="O175" s="16"/>
      <c r="P175" s="12"/>
      <c r="Q175" s="12"/>
      <c r="R175" s="41"/>
      <c r="S175" s="41"/>
      <c r="T175" s="41"/>
      <c r="U175" s="41"/>
      <c r="V175" s="41"/>
      <c r="W175" s="41"/>
      <c r="X175" s="41"/>
      <c r="Y175" s="41"/>
      <c r="Z175" s="41"/>
    </row>
    <row r="176" spans="1:26" ht="15.75" customHeight="1" x14ac:dyDescent="0.2">
      <c r="A176" s="16"/>
      <c r="B176" s="43"/>
      <c r="C176" s="43"/>
      <c r="D176" s="16"/>
      <c r="E176" s="16"/>
      <c r="F176" s="16"/>
      <c r="G176" s="12"/>
      <c r="H176" s="12"/>
      <c r="I176" s="12"/>
      <c r="J176" s="12"/>
      <c r="K176" s="12"/>
      <c r="L176" s="12"/>
      <c r="M176" s="12"/>
      <c r="N176" s="16"/>
      <c r="O176" s="16"/>
      <c r="P176" s="12"/>
      <c r="Q176" s="12"/>
      <c r="R176" s="41"/>
      <c r="S176" s="41"/>
      <c r="T176" s="41"/>
      <c r="U176" s="41"/>
      <c r="V176" s="41"/>
      <c r="W176" s="41"/>
      <c r="X176" s="41"/>
      <c r="Y176" s="41"/>
      <c r="Z176" s="41"/>
    </row>
    <row r="177" spans="1:26" ht="15.75" customHeight="1" x14ac:dyDescent="0.2">
      <c r="A177" s="16"/>
      <c r="B177" s="43"/>
      <c r="C177" s="43"/>
      <c r="D177" s="16"/>
      <c r="E177" s="16"/>
      <c r="F177" s="16"/>
      <c r="G177" s="12"/>
      <c r="H177" s="12"/>
      <c r="I177" s="12"/>
      <c r="J177" s="12"/>
      <c r="K177" s="12"/>
      <c r="L177" s="12"/>
      <c r="M177" s="12"/>
      <c r="N177" s="16"/>
      <c r="O177" s="16"/>
      <c r="P177" s="12"/>
      <c r="Q177" s="12"/>
      <c r="R177" s="41"/>
      <c r="S177" s="41"/>
      <c r="T177" s="41"/>
      <c r="U177" s="41"/>
      <c r="V177" s="41"/>
      <c r="W177" s="41"/>
      <c r="X177" s="41"/>
      <c r="Y177" s="41"/>
      <c r="Z177" s="41"/>
    </row>
    <row r="178" spans="1:26" ht="15.75" customHeight="1" x14ac:dyDescent="0.2">
      <c r="A178" s="16"/>
      <c r="B178" s="43"/>
      <c r="C178" s="43"/>
      <c r="D178" s="16"/>
      <c r="E178" s="16"/>
      <c r="F178" s="16"/>
      <c r="G178" s="12"/>
      <c r="H178" s="12"/>
      <c r="I178" s="12"/>
      <c r="J178" s="12"/>
      <c r="K178" s="12"/>
      <c r="L178" s="12"/>
      <c r="M178" s="12"/>
      <c r="N178" s="16"/>
      <c r="O178" s="16"/>
      <c r="P178" s="12"/>
      <c r="Q178" s="12"/>
      <c r="R178" s="41"/>
      <c r="S178" s="41"/>
      <c r="T178" s="41"/>
      <c r="U178" s="41"/>
      <c r="V178" s="41"/>
      <c r="W178" s="41"/>
      <c r="X178" s="41"/>
      <c r="Y178" s="41"/>
      <c r="Z178" s="41"/>
    </row>
    <row r="179" spans="1:26" ht="15.75" customHeight="1" x14ac:dyDescent="0.2">
      <c r="A179" s="16"/>
      <c r="B179" s="43"/>
      <c r="C179" s="43"/>
      <c r="D179" s="16"/>
      <c r="E179" s="16"/>
      <c r="F179" s="16"/>
      <c r="G179" s="12"/>
      <c r="H179" s="12"/>
      <c r="I179" s="12"/>
      <c r="J179" s="12"/>
      <c r="K179" s="12"/>
      <c r="L179" s="12"/>
      <c r="M179" s="12"/>
      <c r="N179" s="16"/>
      <c r="O179" s="16"/>
      <c r="P179" s="12"/>
      <c r="Q179" s="12"/>
      <c r="R179" s="41"/>
      <c r="S179" s="41"/>
      <c r="T179" s="41"/>
      <c r="U179" s="41"/>
      <c r="V179" s="41"/>
      <c r="W179" s="41"/>
      <c r="X179" s="41"/>
      <c r="Y179" s="41"/>
      <c r="Z179" s="41"/>
    </row>
    <row r="180" spans="1:26" ht="15.75" customHeight="1" x14ac:dyDescent="0.2">
      <c r="A180" s="16"/>
      <c r="B180" s="43"/>
      <c r="C180" s="43"/>
      <c r="D180" s="16"/>
      <c r="E180" s="16"/>
      <c r="F180" s="16"/>
      <c r="G180" s="12"/>
      <c r="H180" s="12"/>
      <c r="I180" s="12"/>
      <c r="J180" s="12"/>
      <c r="K180" s="12"/>
      <c r="L180" s="12"/>
      <c r="M180" s="12"/>
      <c r="N180" s="16"/>
      <c r="O180" s="16"/>
      <c r="P180" s="12"/>
      <c r="Q180" s="12"/>
      <c r="R180" s="41"/>
      <c r="S180" s="41"/>
      <c r="T180" s="41"/>
      <c r="U180" s="41"/>
      <c r="V180" s="41"/>
      <c r="W180" s="41"/>
      <c r="X180" s="41"/>
      <c r="Y180" s="41"/>
      <c r="Z180" s="41"/>
    </row>
    <row r="181" spans="1:26" ht="15.75" customHeight="1" x14ac:dyDescent="0.2">
      <c r="A181" s="16"/>
      <c r="B181" s="43"/>
      <c r="C181" s="43"/>
      <c r="D181" s="16"/>
      <c r="E181" s="16"/>
      <c r="F181" s="16"/>
      <c r="G181" s="12"/>
      <c r="H181" s="12"/>
      <c r="I181" s="12"/>
      <c r="J181" s="12"/>
      <c r="K181" s="12"/>
      <c r="L181" s="12"/>
      <c r="M181" s="12"/>
      <c r="N181" s="16"/>
      <c r="O181" s="16"/>
      <c r="P181" s="12"/>
      <c r="Q181" s="12"/>
      <c r="R181" s="41"/>
      <c r="S181" s="41"/>
      <c r="T181" s="41"/>
      <c r="U181" s="41"/>
      <c r="V181" s="41"/>
      <c r="W181" s="41"/>
      <c r="X181" s="41"/>
      <c r="Y181" s="41"/>
      <c r="Z181" s="41"/>
    </row>
    <row r="182" spans="1:26" ht="15.75" customHeight="1" x14ac:dyDescent="0.2">
      <c r="A182" s="16"/>
      <c r="B182" s="43"/>
      <c r="C182" s="43"/>
      <c r="D182" s="16"/>
      <c r="E182" s="16"/>
      <c r="F182" s="16"/>
      <c r="G182" s="12"/>
      <c r="H182" s="12"/>
      <c r="I182" s="12"/>
      <c r="J182" s="12"/>
      <c r="K182" s="12"/>
      <c r="L182" s="12"/>
      <c r="M182" s="12"/>
      <c r="N182" s="16"/>
      <c r="O182" s="16"/>
      <c r="P182" s="12"/>
      <c r="Q182" s="12"/>
      <c r="R182" s="41"/>
      <c r="S182" s="41"/>
      <c r="T182" s="41"/>
      <c r="U182" s="41"/>
      <c r="V182" s="41"/>
      <c r="W182" s="41"/>
      <c r="X182" s="41"/>
      <c r="Y182" s="41"/>
      <c r="Z182" s="41"/>
    </row>
    <row r="183" spans="1:26" ht="15.75" customHeight="1" x14ac:dyDescent="0.2">
      <c r="A183" s="16"/>
      <c r="B183" s="43"/>
      <c r="C183" s="43"/>
      <c r="D183" s="16"/>
      <c r="E183" s="16"/>
      <c r="F183" s="16"/>
      <c r="G183" s="12"/>
      <c r="H183" s="12"/>
      <c r="I183" s="12"/>
      <c r="J183" s="12"/>
      <c r="K183" s="12"/>
      <c r="L183" s="12"/>
      <c r="M183" s="12"/>
      <c r="N183" s="16"/>
      <c r="O183" s="16"/>
      <c r="P183" s="12"/>
      <c r="Q183" s="12"/>
      <c r="R183" s="41"/>
      <c r="S183" s="41"/>
      <c r="T183" s="41"/>
      <c r="U183" s="41"/>
      <c r="V183" s="41"/>
      <c r="W183" s="41"/>
      <c r="X183" s="41"/>
      <c r="Y183" s="41"/>
      <c r="Z183" s="41"/>
    </row>
    <row r="184" spans="1:26" ht="15.75" customHeight="1" x14ac:dyDescent="0.2">
      <c r="A184" s="16"/>
      <c r="B184" s="43"/>
      <c r="C184" s="43"/>
      <c r="D184" s="16"/>
      <c r="E184" s="16"/>
      <c r="F184" s="16"/>
      <c r="G184" s="12"/>
      <c r="H184" s="12"/>
      <c r="I184" s="12"/>
      <c r="J184" s="12"/>
      <c r="K184" s="12"/>
      <c r="L184" s="12"/>
      <c r="M184" s="12"/>
      <c r="N184" s="16"/>
      <c r="O184" s="16"/>
      <c r="P184" s="12"/>
      <c r="Q184" s="12"/>
      <c r="R184" s="41"/>
      <c r="S184" s="41"/>
      <c r="T184" s="41"/>
      <c r="U184" s="41"/>
      <c r="V184" s="41"/>
      <c r="W184" s="41"/>
      <c r="X184" s="41"/>
      <c r="Y184" s="41"/>
      <c r="Z184" s="41"/>
    </row>
    <row r="185" spans="1:26" ht="15.75" customHeight="1" x14ac:dyDescent="0.2">
      <c r="A185" s="16"/>
      <c r="B185" s="43"/>
      <c r="C185" s="43"/>
      <c r="D185" s="16"/>
      <c r="E185" s="16"/>
      <c r="F185" s="16"/>
      <c r="G185" s="12"/>
      <c r="H185" s="12"/>
      <c r="I185" s="12"/>
      <c r="J185" s="12"/>
      <c r="K185" s="12"/>
      <c r="L185" s="12"/>
      <c r="M185" s="12"/>
      <c r="N185" s="16"/>
      <c r="O185" s="16"/>
      <c r="P185" s="12"/>
      <c r="Q185" s="12"/>
      <c r="R185" s="41"/>
      <c r="S185" s="41"/>
      <c r="T185" s="41"/>
      <c r="U185" s="41"/>
      <c r="V185" s="41"/>
      <c r="W185" s="41"/>
      <c r="X185" s="41"/>
      <c r="Y185" s="41"/>
      <c r="Z185" s="41"/>
    </row>
    <row r="186" spans="1:26" ht="15.75" customHeight="1" x14ac:dyDescent="0.2">
      <c r="A186" s="16"/>
      <c r="B186" s="43"/>
      <c r="C186" s="43"/>
      <c r="D186" s="16"/>
      <c r="E186" s="16"/>
      <c r="F186" s="16"/>
      <c r="G186" s="12"/>
      <c r="H186" s="12"/>
      <c r="I186" s="12"/>
      <c r="J186" s="12"/>
      <c r="K186" s="12"/>
      <c r="L186" s="12"/>
      <c r="M186" s="12"/>
      <c r="N186" s="16"/>
      <c r="O186" s="16"/>
      <c r="P186" s="12"/>
      <c r="Q186" s="12"/>
      <c r="R186" s="41"/>
      <c r="S186" s="41"/>
      <c r="T186" s="41"/>
      <c r="U186" s="41"/>
      <c r="V186" s="41"/>
      <c r="W186" s="41"/>
      <c r="X186" s="41"/>
      <c r="Y186" s="41"/>
      <c r="Z186" s="41"/>
    </row>
    <row r="187" spans="1:26" ht="15.75" customHeight="1" x14ac:dyDescent="0.2">
      <c r="A187" s="16"/>
      <c r="B187" s="43"/>
      <c r="C187" s="43"/>
      <c r="D187" s="16"/>
      <c r="E187" s="16"/>
      <c r="F187" s="16"/>
      <c r="G187" s="12"/>
      <c r="H187" s="12"/>
      <c r="I187" s="12"/>
      <c r="J187" s="12"/>
      <c r="K187" s="12"/>
      <c r="L187" s="12"/>
      <c r="M187" s="12"/>
      <c r="N187" s="16"/>
      <c r="O187" s="16"/>
      <c r="P187" s="12"/>
      <c r="Q187" s="12"/>
      <c r="R187" s="41"/>
      <c r="S187" s="41"/>
      <c r="T187" s="41"/>
      <c r="U187" s="41"/>
      <c r="V187" s="41"/>
      <c r="W187" s="41"/>
      <c r="X187" s="41"/>
      <c r="Y187" s="41"/>
      <c r="Z187" s="41"/>
    </row>
    <row r="188" spans="1:26" ht="15.75" customHeight="1" x14ac:dyDescent="0.2">
      <c r="A188" s="16"/>
      <c r="B188" s="43"/>
      <c r="C188" s="43"/>
      <c r="D188" s="16"/>
      <c r="E188" s="16"/>
      <c r="F188" s="16"/>
      <c r="G188" s="12"/>
      <c r="H188" s="12"/>
      <c r="I188" s="12"/>
      <c r="J188" s="12"/>
      <c r="K188" s="12"/>
      <c r="L188" s="12"/>
      <c r="M188" s="12"/>
      <c r="N188" s="16"/>
      <c r="O188" s="16"/>
      <c r="P188" s="12"/>
      <c r="Q188" s="12"/>
      <c r="R188" s="41"/>
      <c r="S188" s="41"/>
      <c r="T188" s="41"/>
      <c r="U188" s="41"/>
      <c r="V188" s="41"/>
      <c r="W188" s="41"/>
      <c r="X188" s="41"/>
      <c r="Y188" s="41"/>
      <c r="Z188" s="41"/>
    </row>
    <row r="189" spans="1:26" ht="15.75" customHeight="1" x14ac:dyDescent="0.2">
      <c r="A189" s="16"/>
      <c r="B189" s="43"/>
      <c r="C189" s="43"/>
      <c r="D189" s="16"/>
      <c r="E189" s="16"/>
      <c r="F189" s="16"/>
      <c r="G189" s="12"/>
      <c r="H189" s="12"/>
      <c r="I189" s="12"/>
      <c r="J189" s="12"/>
      <c r="K189" s="12"/>
      <c r="L189" s="12"/>
      <c r="M189" s="12"/>
      <c r="N189" s="16"/>
      <c r="O189" s="16"/>
      <c r="P189" s="12"/>
      <c r="Q189" s="12"/>
      <c r="R189" s="41"/>
      <c r="S189" s="41"/>
      <c r="T189" s="41"/>
      <c r="U189" s="41"/>
      <c r="V189" s="41"/>
      <c r="W189" s="41"/>
      <c r="X189" s="41"/>
      <c r="Y189" s="41"/>
      <c r="Z189" s="41"/>
    </row>
    <row r="190" spans="1:26" ht="15.75" customHeight="1" x14ac:dyDescent="0.2">
      <c r="A190" s="16"/>
      <c r="B190" s="43"/>
      <c r="C190" s="43"/>
      <c r="D190" s="16"/>
      <c r="E190" s="16"/>
      <c r="F190" s="16"/>
      <c r="G190" s="12"/>
      <c r="H190" s="12"/>
      <c r="I190" s="12"/>
      <c r="J190" s="12"/>
      <c r="K190" s="12"/>
      <c r="L190" s="12"/>
      <c r="M190" s="12"/>
      <c r="N190" s="16"/>
      <c r="O190" s="16"/>
      <c r="P190" s="12"/>
      <c r="Q190" s="12"/>
      <c r="R190" s="41"/>
      <c r="S190" s="41"/>
      <c r="T190" s="41"/>
      <c r="U190" s="41"/>
      <c r="V190" s="41"/>
      <c r="W190" s="41"/>
      <c r="X190" s="41"/>
      <c r="Y190" s="41"/>
      <c r="Z190" s="41"/>
    </row>
    <row r="191" spans="1:26" ht="15.75" customHeight="1" x14ac:dyDescent="0.2">
      <c r="A191" s="16"/>
      <c r="B191" s="43"/>
      <c r="C191" s="43"/>
      <c r="D191" s="16"/>
      <c r="E191" s="16"/>
      <c r="F191" s="16"/>
      <c r="G191" s="12"/>
      <c r="H191" s="12"/>
      <c r="I191" s="12"/>
      <c r="J191" s="12"/>
      <c r="K191" s="12"/>
      <c r="L191" s="12"/>
      <c r="M191" s="12"/>
      <c r="N191" s="16"/>
      <c r="O191" s="16"/>
      <c r="P191" s="12"/>
      <c r="Q191" s="12"/>
      <c r="R191" s="41"/>
      <c r="S191" s="41"/>
      <c r="T191" s="41"/>
      <c r="U191" s="41"/>
      <c r="V191" s="41"/>
      <c r="W191" s="41"/>
      <c r="X191" s="41"/>
      <c r="Y191" s="41"/>
      <c r="Z191" s="41"/>
    </row>
    <row r="192" spans="1:26" ht="15.75" customHeight="1" x14ac:dyDescent="0.2">
      <c r="A192" s="16"/>
      <c r="B192" s="43"/>
      <c r="C192" s="43"/>
      <c r="D192" s="16"/>
      <c r="E192" s="16"/>
      <c r="F192" s="16"/>
      <c r="G192" s="12"/>
      <c r="H192" s="12"/>
      <c r="I192" s="12"/>
      <c r="J192" s="12"/>
      <c r="K192" s="12"/>
      <c r="L192" s="12"/>
      <c r="M192" s="12"/>
      <c r="N192" s="16"/>
      <c r="O192" s="16"/>
      <c r="P192" s="12"/>
      <c r="Q192" s="12"/>
      <c r="R192" s="41"/>
      <c r="S192" s="41"/>
      <c r="T192" s="41"/>
      <c r="U192" s="41"/>
      <c r="V192" s="41"/>
      <c r="W192" s="41"/>
      <c r="X192" s="41"/>
      <c r="Y192" s="41"/>
      <c r="Z192" s="41"/>
    </row>
    <row r="193" spans="1:26" ht="15.75" customHeight="1" x14ac:dyDescent="0.2">
      <c r="A193" s="16"/>
      <c r="B193" s="43"/>
      <c r="C193" s="43"/>
      <c r="D193" s="16"/>
      <c r="E193" s="16"/>
      <c r="F193" s="16"/>
      <c r="G193" s="12"/>
      <c r="H193" s="12"/>
      <c r="I193" s="12"/>
      <c r="J193" s="12"/>
      <c r="K193" s="12"/>
      <c r="L193" s="12"/>
      <c r="M193" s="12"/>
      <c r="N193" s="16"/>
      <c r="O193" s="16"/>
      <c r="P193" s="12"/>
      <c r="Q193" s="12"/>
      <c r="R193" s="41"/>
      <c r="S193" s="41"/>
      <c r="T193" s="41"/>
      <c r="U193" s="41"/>
      <c r="V193" s="41"/>
      <c r="W193" s="41"/>
      <c r="X193" s="41"/>
      <c r="Y193" s="41"/>
      <c r="Z193" s="41"/>
    </row>
    <row r="194" spans="1:26" ht="15.75" customHeight="1" x14ac:dyDescent="0.2">
      <c r="A194" s="16"/>
      <c r="B194" s="43"/>
      <c r="C194" s="43"/>
      <c r="D194" s="16"/>
      <c r="E194" s="16"/>
      <c r="F194" s="16"/>
      <c r="G194" s="12"/>
      <c r="H194" s="12"/>
      <c r="I194" s="12"/>
      <c r="J194" s="12"/>
      <c r="K194" s="12"/>
      <c r="L194" s="12"/>
      <c r="M194" s="12"/>
      <c r="N194" s="16"/>
      <c r="O194" s="16"/>
      <c r="P194" s="12"/>
      <c r="Q194" s="12"/>
      <c r="R194" s="41"/>
      <c r="S194" s="41"/>
      <c r="T194" s="41"/>
      <c r="U194" s="41"/>
      <c r="V194" s="41"/>
      <c r="W194" s="41"/>
      <c r="X194" s="41"/>
      <c r="Y194" s="41"/>
      <c r="Z194" s="41"/>
    </row>
    <row r="195" spans="1:26" ht="15.75" customHeight="1" x14ac:dyDescent="0.2">
      <c r="A195" s="16"/>
      <c r="B195" s="43"/>
      <c r="C195" s="43"/>
      <c r="D195" s="16"/>
      <c r="E195" s="16"/>
      <c r="F195" s="16"/>
      <c r="G195" s="12"/>
      <c r="H195" s="12"/>
      <c r="I195" s="12"/>
      <c r="J195" s="12"/>
      <c r="K195" s="12"/>
      <c r="L195" s="12"/>
      <c r="M195" s="12"/>
      <c r="N195" s="16"/>
      <c r="O195" s="16"/>
      <c r="P195" s="12"/>
      <c r="Q195" s="12"/>
      <c r="R195" s="41"/>
      <c r="S195" s="41"/>
      <c r="T195" s="41"/>
      <c r="U195" s="41"/>
      <c r="V195" s="41"/>
      <c r="W195" s="41"/>
      <c r="X195" s="41"/>
      <c r="Y195" s="41"/>
      <c r="Z195" s="41"/>
    </row>
    <row r="196" spans="1:26" ht="15.75" customHeight="1" x14ac:dyDescent="0.2">
      <c r="A196" s="16"/>
      <c r="B196" s="43"/>
      <c r="C196" s="43"/>
      <c r="D196" s="16"/>
      <c r="E196" s="16"/>
      <c r="F196" s="16"/>
      <c r="G196" s="12"/>
      <c r="H196" s="12"/>
      <c r="I196" s="12"/>
      <c r="J196" s="12"/>
      <c r="K196" s="12"/>
      <c r="L196" s="12"/>
      <c r="M196" s="12"/>
      <c r="N196" s="16"/>
      <c r="O196" s="16"/>
      <c r="P196" s="12"/>
      <c r="Q196" s="12"/>
      <c r="R196" s="41"/>
      <c r="S196" s="41"/>
      <c r="T196" s="41"/>
      <c r="U196" s="41"/>
      <c r="V196" s="41"/>
      <c r="W196" s="41"/>
      <c r="X196" s="41"/>
      <c r="Y196" s="41"/>
      <c r="Z196" s="41"/>
    </row>
    <row r="197" spans="1:26" ht="15.75" customHeight="1" x14ac:dyDescent="0.2">
      <c r="A197" s="16"/>
      <c r="B197" s="43"/>
      <c r="C197" s="43"/>
      <c r="D197" s="16"/>
      <c r="E197" s="16"/>
      <c r="F197" s="16"/>
      <c r="G197" s="12"/>
      <c r="H197" s="12"/>
      <c r="I197" s="12"/>
      <c r="J197" s="12"/>
      <c r="K197" s="12"/>
      <c r="L197" s="12"/>
      <c r="M197" s="12"/>
      <c r="N197" s="16"/>
      <c r="O197" s="16"/>
      <c r="P197" s="12"/>
      <c r="Q197" s="12"/>
      <c r="R197" s="41"/>
      <c r="S197" s="41"/>
      <c r="T197" s="41"/>
      <c r="U197" s="41"/>
      <c r="V197" s="41"/>
      <c r="W197" s="41"/>
      <c r="X197" s="41"/>
      <c r="Y197" s="41"/>
      <c r="Z197" s="41"/>
    </row>
    <row r="198" spans="1:26" ht="15.75" customHeight="1" x14ac:dyDescent="0.2">
      <c r="A198" s="16"/>
      <c r="B198" s="43"/>
      <c r="C198" s="43"/>
      <c r="D198" s="16"/>
      <c r="E198" s="16"/>
      <c r="F198" s="16"/>
      <c r="G198" s="12"/>
      <c r="H198" s="12"/>
      <c r="I198" s="12"/>
      <c r="J198" s="12"/>
      <c r="K198" s="12"/>
      <c r="L198" s="12"/>
      <c r="M198" s="12"/>
      <c r="N198" s="16"/>
      <c r="O198" s="16"/>
      <c r="P198" s="12"/>
      <c r="Q198" s="12"/>
      <c r="R198" s="41"/>
      <c r="S198" s="41"/>
      <c r="T198" s="41"/>
      <c r="U198" s="41"/>
      <c r="V198" s="41"/>
      <c r="W198" s="41"/>
      <c r="X198" s="41"/>
      <c r="Y198" s="41"/>
      <c r="Z198" s="41"/>
    </row>
    <row r="199" spans="1:26" ht="15.75" customHeight="1" x14ac:dyDescent="0.2">
      <c r="A199" s="16"/>
      <c r="B199" s="43"/>
      <c r="C199" s="43"/>
      <c r="D199" s="16"/>
      <c r="E199" s="16"/>
      <c r="F199" s="16"/>
      <c r="G199" s="12"/>
      <c r="H199" s="12"/>
      <c r="I199" s="12"/>
      <c r="J199" s="12"/>
      <c r="K199" s="12"/>
      <c r="L199" s="12"/>
      <c r="M199" s="12"/>
      <c r="N199" s="16"/>
      <c r="O199" s="16"/>
      <c r="P199" s="12"/>
      <c r="Q199" s="12"/>
      <c r="R199" s="41"/>
      <c r="S199" s="41"/>
      <c r="T199" s="41"/>
      <c r="U199" s="41"/>
      <c r="V199" s="41"/>
      <c r="W199" s="41"/>
      <c r="X199" s="41"/>
      <c r="Y199" s="41"/>
      <c r="Z199" s="41"/>
    </row>
    <row r="200" spans="1:26" ht="15.75" customHeight="1" x14ac:dyDescent="0.2">
      <c r="A200" s="16"/>
      <c r="B200" s="43"/>
      <c r="C200" s="43"/>
      <c r="D200" s="16"/>
      <c r="E200" s="16"/>
      <c r="F200" s="16"/>
      <c r="G200" s="12"/>
      <c r="H200" s="12"/>
      <c r="I200" s="12"/>
      <c r="J200" s="12"/>
      <c r="K200" s="12"/>
      <c r="L200" s="12"/>
      <c r="M200" s="12"/>
      <c r="N200" s="16"/>
      <c r="O200" s="16"/>
      <c r="P200" s="12"/>
      <c r="Q200" s="12"/>
      <c r="R200" s="41"/>
      <c r="S200" s="41"/>
      <c r="T200" s="41"/>
      <c r="U200" s="41"/>
      <c r="V200" s="41"/>
      <c r="W200" s="41"/>
      <c r="X200" s="41"/>
      <c r="Y200" s="41"/>
      <c r="Z200" s="41"/>
    </row>
    <row r="201" spans="1:26" ht="15.75" customHeight="1" x14ac:dyDescent="0.2">
      <c r="A201" s="16"/>
      <c r="B201" s="43"/>
      <c r="C201" s="43"/>
      <c r="D201" s="16"/>
      <c r="E201" s="16"/>
      <c r="F201" s="16"/>
      <c r="G201" s="12"/>
      <c r="H201" s="12"/>
      <c r="I201" s="12"/>
      <c r="J201" s="12"/>
      <c r="K201" s="12"/>
      <c r="L201" s="12"/>
      <c r="M201" s="12"/>
      <c r="N201" s="16"/>
      <c r="O201" s="16"/>
      <c r="P201" s="12"/>
      <c r="Q201" s="12"/>
      <c r="R201" s="41"/>
      <c r="S201" s="41"/>
      <c r="T201" s="41"/>
      <c r="U201" s="41"/>
      <c r="V201" s="41"/>
      <c r="W201" s="41"/>
      <c r="X201" s="41"/>
      <c r="Y201" s="41"/>
      <c r="Z201" s="41"/>
    </row>
    <row r="202" spans="1:26" ht="15.75" customHeight="1" x14ac:dyDescent="0.2">
      <c r="A202" s="16"/>
      <c r="B202" s="43"/>
      <c r="C202" s="43"/>
      <c r="D202" s="16"/>
      <c r="E202" s="16"/>
      <c r="F202" s="16"/>
      <c r="G202" s="12"/>
      <c r="H202" s="12"/>
      <c r="I202" s="12"/>
      <c r="J202" s="12"/>
      <c r="K202" s="12"/>
      <c r="L202" s="12"/>
      <c r="M202" s="12"/>
      <c r="N202" s="16"/>
      <c r="O202" s="16"/>
      <c r="P202" s="12"/>
      <c r="Q202" s="12"/>
      <c r="R202" s="41"/>
      <c r="S202" s="41"/>
      <c r="T202" s="41"/>
      <c r="U202" s="41"/>
      <c r="V202" s="41"/>
      <c r="W202" s="41"/>
      <c r="X202" s="41"/>
      <c r="Y202" s="41"/>
      <c r="Z202" s="41"/>
    </row>
    <row r="203" spans="1:26" ht="15.75" customHeight="1" x14ac:dyDescent="0.2">
      <c r="A203" s="16"/>
      <c r="B203" s="43"/>
      <c r="C203" s="43"/>
      <c r="D203" s="16"/>
      <c r="E203" s="16"/>
      <c r="F203" s="16"/>
      <c r="G203" s="12"/>
      <c r="H203" s="12"/>
      <c r="I203" s="12"/>
      <c r="J203" s="12"/>
      <c r="K203" s="12"/>
      <c r="L203" s="12"/>
      <c r="M203" s="12"/>
      <c r="N203" s="16"/>
      <c r="O203" s="16"/>
      <c r="P203" s="12"/>
      <c r="Q203" s="12"/>
      <c r="R203" s="41"/>
      <c r="S203" s="41"/>
      <c r="T203" s="41"/>
      <c r="U203" s="41"/>
      <c r="V203" s="41"/>
      <c r="W203" s="41"/>
      <c r="X203" s="41"/>
      <c r="Y203" s="41"/>
      <c r="Z203" s="41"/>
    </row>
    <row r="204" spans="1:26" ht="15.75" customHeight="1" x14ac:dyDescent="0.2">
      <c r="A204" s="16"/>
      <c r="B204" s="43"/>
      <c r="C204" s="43"/>
      <c r="D204" s="16"/>
      <c r="E204" s="16"/>
      <c r="F204" s="16"/>
      <c r="G204" s="12"/>
      <c r="H204" s="12"/>
      <c r="I204" s="12"/>
      <c r="J204" s="12"/>
      <c r="K204" s="12"/>
      <c r="L204" s="12"/>
      <c r="M204" s="12"/>
      <c r="N204" s="16"/>
      <c r="O204" s="16"/>
      <c r="P204" s="12"/>
      <c r="Q204" s="12"/>
      <c r="R204" s="41"/>
      <c r="S204" s="41"/>
      <c r="T204" s="41"/>
      <c r="U204" s="41"/>
      <c r="V204" s="41"/>
      <c r="W204" s="41"/>
      <c r="X204" s="41"/>
      <c r="Y204" s="41"/>
      <c r="Z204" s="41"/>
    </row>
    <row r="205" spans="1:26" ht="15.75" customHeight="1" x14ac:dyDescent="0.2">
      <c r="A205" s="16"/>
      <c r="B205" s="43"/>
      <c r="C205" s="43"/>
      <c r="D205" s="16"/>
      <c r="E205" s="16"/>
      <c r="F205" s="16"/>
      <c r="G205" s="12"/>
      <c r="H205" s="12"/>
      <c r="I205" s="12"/>
      <c r="J205" s="12"/>
      <c r="K205" s="12"/>
      <c r="L205" s="12"/>
      <c r="M205" s="12"/>
      <c r="N205" s="16"/>
      <c r="O205" s="16"/>
      <c r="P205" s="12"/>
      <c r="Q205" s="12"/>
      <c r="R205" s="41"/>
      <c r="S205" s="41"/>
      <c r="T205" s="41"/>
      <c r="U205" s="41"/>
      <c r="V205" s="41"/>
      <c r="W205" s="41"/>
      <c r="X205" s="41"/>
      <c r="Y205" s="41"/>
      <c r="Z205" s="41"/>
    </row>
    <row r="206" spans="1:26" ht="15.75" customHeight="1" x14ac:dyDescent="0.2">
      <c r="A206" s="16"/>
      <c r="B206" s="43"/>
      <c r="C206" s="43"/>
      <c r="D206" s="16"/>
      <c r="E206" s="16"/>
      <c r="F206" s="16"/>
      <c r="G206" s="12"/>
      <c r="H206" s="12"/>
      <c r="I206" s="12"/>
      <c r="J206" s="12"/>
      <c r="K206" s="12"/>
      <c r="L206" s="12"/>
      <c r="M206" s="12"/>
      <c r="N206" s="16"/>
      <c r="O206" s="16"/>
      <c r="P206" s="12"/>
      <c r="Q206" s="12"/>
      <c r="R206" s="41"/>
      <c r="S206" s="41"/>
      <c r="T206" s="41"/>
      <c r="U206" s="41"/>
      <c r="V206" s="41"/>
      <c r="W206" s="41"/>
      <c r="X206" s="41"/>
      <c r="Y206" s="41"/>
      <c r="Z206" s="41"/>
    </row>
    <row r="207" spans="1:26" ht="15.75" customHeight="1" x14ac:dyDescent="0.2">
      <c r="A207" s="16"/>
      <c r="B207" s="43"/>
      <c r="C207" s="43"/>
      <c r="D207" s="16"/>
      <c r="E207" s="16"/>
      <c r="F207" s="16"/>
      <c r="G207" s="12"/>
      <c r="H207" s="12"/>
      <c r="I207" s="12"/>
      <c r="J207" s="12"/>
      <c r="K207" s="12"/>
      <c r="L207" s="12"/>
      <c r="M207" s="12"/>
      <c r="N207" s="16"/>
      <c r="O207" s="16"/>
      <c r="P207" s="12"/>
      <c r="Q207" s="12"/>
      <c r="R207" s="41"/>
      <c r="S207" s="41"/>
      <c r="T207" s="41"/>
      <c r="U207" s="41"/>
      <c r="V207" s="41"/>
      <c r="W207" s="41"/>
      <c r="X207" s="41"/>
      <c r="Y207" s="41"/>
      <c r="Z207" s="41"/>
    </row>
    <row r="208" spans="1:26" ht="15.75" customHeight="1" x14ac:dyDescent="0.2">
      <c r="A208" s="16"/>
      <c r="B208" s="43"/>
      <c r="C208" s="43"/>
      <c r="D208" s="16"/>
      <c r="E208" s="16"/>
      <c r="F208" s="16"/>
      <c r="G208" s="12"/>
      <c r="H208" s="12"/>
      <c r="I208" s="12"/>
      <c r="J208" s="12"/>
      <c r="K208" s="12"/>
      <c r="L208" s="12"/>
      <c r="M208" s="12"/>
      <c r="N208" s="16"/>
      <c r="O208" s="16"/>
      <c r="P208" s="12"/>
      <c r="Q208" s="12"/>
      <c r="R208" s="41"/>
      <c r="S208" s="41"/>
      <c r="T208" s="41"/>
      <c r="U208" s="41"/>
      <c r="V208" s="41"/>
      <c r="W208" s="41"/>
      <c r="X208" s="41"/>
      <c r="Y208" s="41"/>
      <c r="Z208" s="41"/>
    </row>
    <row r="209" spans="1:26" ht="15.75" customHeight="1" x14ac:dyDescent="0.2">
      <c r="A209" s="16"/>
      <c r="B209" s="43"/>
      <c r="C209" s="43"/>
      <c r="D209" s="16"/>
      <c r="E209" s="16"/>
      <c r="F209" s="16"/>
      <c r="G209" s="12"/>
      <c r="H209" s="12"/>
      <c r="I209" s="12"/>
      <c r="J209" s="12"/>
      <c r="K209" s="12"/>
      <c r="L209" s="12"/>
      <c r="M209" s="12"/>
      <c r="N209" s="16"/>
      <c r="O209" s="16"/>
      <c r="P209" s="12"/>
      <c r="Q209" s="12"/>
      <c r="R209" s="41"/>
      <c r="S209" s="41"/>
      <c r="T209" s="41"/>
      <c r="U209" s="41"/>
      <c r="V209" s="41"/>
      <c r="W209" s="41"/>
      <c r="X209" s="41"/>
      <c r="Y209" s="41"/>
      <c r="Z209" s="41"/>
    </row>
    <row r="210" spans="1:26" ht="15.75" customHeight="1" x14ac:dyDescent="0.2">
      <c r="A210" s="16"/>
      <c r="B210" s="43"/>
      <c r="C210" s="43"/>
      <c r="D210" s="16"/>
      <c r="E210" s="16"/>
      <c r="F210" s="16"/>
      <c r="G210" s="12"/>
      <c r="H210" s="12"/>
      <c r="I210" s="12"/>
      <c r="J210" s="12"/>
      <c r="K210" s="12"/>
      <c r="L210" s="12"/>
      <c r="M210" s="12"/>
      <c r="N210" s="16"/>
      <c r="O210" s="16"/>
      <c r="P210" s="12"/>
      <c r="Q210" s="12"/>
      <c r="R210" s="41"/>
      <c r="S210" s="41"/>
      <c r="T210" s="41"/>
      <c r="U210" s="41"/>
      <c r="V210" s="41"/>
      <c r="W210" s="41"/>
      <c r="X210" s="41"/>
      <c r="Y210" s="41"/>
      <c r="Z210" s="41"/>
    </row>
    <row r="211" spans="1:26" ht="15.75" customHeight="1" x14ac:dyDescent="0.2">
      <c r="A211" s="16"/>
      <c r="B211" s="43"/>
      <c r="C211" s="43"/>
      <c r="D211" s="16"/>
      <c r="E211" s="16"/>
      <c r="F211" s="16"/>
      <c r="G211" s="12"/>
      <c r="H211" s="12"/>
      <c r="I211" s="12"/>
      <c r="J211" s="12"/>
      <c r="K211" s="12"/>
      <c r="L211" s="12"/>
      <c r="M211" s="12"/>
      <c r="N211" s="16"/>
      <c r="O211" s="16"/>
      <c r="P211" s="12"/>
      <c r="Q211" s="12"/>
      <c r="R211" s="41"/>
      <c r="S211" s="41"/>
      <c r="T211" s="41"/>
      <c r="U211" s="41"/>
      <c r="V211" s="41"/>
      <c r="W211" s="41"/>
      <c r="X211" s="41"/>
      <c r="Y211" s="41"/>
      <c r="Z211" s="41"/>
    </row>
    <row r="212" spans="1:26" ht="15.75" customHeight="1" x14ac:dyDescent="0.2">
      <c r="A212" s="16"/>
      <c r="B212" s="43"/>
      <c r="C212" s="43"/>
      <c r="D212" s="16"/>
      <c r="E212" s="16"/>
      <c r="F212" s="16"/>
      <c r="G212" s="12"/>
      <c r="H212" s="12"/>
      <c r="I212" s="12"/>
      <c r="J212" s="12"/>
      <c r="K212" s="12"/>
      <c r="L212" s="12"/>
      <c r="M212" s="12"/>
      <c r="N212" s="16"/>
      <c r="O212" s="16"/>
      <c r="P212" s="12"/>
      <c r="Q212" s="12"/>
      <c r="R212" s="41"/>
      <c r="S212" s="41"/>
      <c r="T212" s="41"/>
      <c r="U212" s="41"/>
      <c r="V212" s="41"/>
      <c r="W212" s="41"/>
      <c r="X212" s="41"/>
      <c r="Y212" s="41"/>
      <c r="Z212" s="41"/>
    </row>
    <row r="213" spans="1:26" ht="15.75" customHeight="1" x14ac:dyDescent="0.2">
      <c r="A213" s="16"/>
      <c r="B213" s="43"/>
      <c r="C213" s="43"/>
      <c r="D213" s="16"/>
      <c r="E213" s="16"/>
      <c r="F213" s="16"/>
      <c r="G213" s="12"/>
      <c r="H213" s="12"/>
      <c r="I213" s="12"/>
      <c r="J213" s="12"/>
      <c r="K213" s="12"/>
      <c r="L213" s="12"/>
      <c r="M213" s="12"/>
      <c r="N213" s="16"/>
      <c r="O213" s="16"/>
      <c r="P213" s="12"/>
      <c r="Q213" s="12"/>
      <c r="R213" s="41"/>
      <c r="S213" s="41"/>
      <c r="T213" s="41"/>
      <c r="U213" s="41"/>
      <c r="V213" s="41"/>
      <c r="W213" s="41"/>
      <c r="X213" s="41"/>
      <c r="Y213" s="41"/>
      <c r="Z213" s="41"/>
    </row>
    <row r="214" spans="1:26" ht="15.75" customHeight="1" x14ac:dyDescent="0.2">
      <c r="A214" s="16"/>
      <c r="B214" s="43"/>
      <c r="C214" s="43"/>
      <c r="D214" s="16"/>
      <c r="E214" s="16"/>
      <c r="F214" s="16"/>
      <c r="G214" s="12"/>
      <c r="H214" s="12"/>
      <c r="I214" s="12"/>
      <c r="J214" s="12"/>
      <c r="K214" s="12"/>
      <c r="L214" s="12"/>
      <c r="M214" s="12"/>
      <c r="N214" s="16"/>
      <c r="O214" s="16"/>
      <c r="P214" s="12"/>
      <c r="Q214" s="12"/>
      <c r="R214" s="41"/>
      <c r="S214" s="41"/>
      <c r="T214" s="41"/>
      <c r="U214" s="41"/>
      <c r="V214" s="41"/>
      <c r="W214" s="41"/>
      <c r="X214" s="41"/>
      <c r="Y214" s="41"/>
      <c r="Z214" s="41"/>
    </row>
    <row r="215" spans="1:26" ht="15.75" customHeight="1" x14ac:dyDescent="0.2">
      <c r="A215" s="16"/>
      <c r="B215" s="43"/>
      <c r="C215" s="43"/>
      <c r="D215" s="16"/>
      <c r="E215" s="16"/>
      <c r="F215" s="16"/>
      <c r="G215" s="12"/>
      <c r="H215" s="12"/>
      <c r="I215" s="12"/>
      <c r="J215" s="12"/>
      <c r="K215" s="12"/>
      <c r="L215" s="12"/>
      <c r="M215" s="12"/>
      <c r="N215" s="16"/>
      <c r="O215" s="16"/>
      <c r="P215" s="12"/>
      <c r="Q215" s="12"/>
      <c r="R215" s="41"/>
      <c r="S215" s="41"/>
      <c r="T215" s="41"/>
      <c r="U215" s="41"/>
      <c r="V215" s="41"/>
      <c r="W215" s="41"/>
      <c r="X215" s="41"/>
      <c r="Y215" s="41"/>
      <c r="Z215" s="41"/>
    </row>
    <row r="216" spans="1:26" ht="15.75" customHeight="1" x14ac:dyDescent="0.2">
      <c r="A216" s="16"/>
      <c r="B216" s="43"/>
      <c r="C216" s="43"/>
      <c r="D216" s="16"/>
      <c r="E216" s="16"/>
      <c r="F216" s="16"/>
      <c r="G216" s="12"/>
      <c r="H216" s="12"/>
      <c r="I216" s="12"/>
      <c r="J216" s="12"/>
      <c r="K216" s="12"/>
      <c r="L216" s="12"/>
      <c r="M216" s="12"/>
      <c r="N216" s="16"/>
      <c r="O216" s="16"/>
      <c r="P216" s="12"/>
      <c r="Q216" s="12"/>
      <c r="R216" s="41"/>
      <c r="S216" s="41"/>
      <c r="T216" s="41"/>
      <c r="U216" s="41"/>
      <c r="V216" s="41"/>
      <c r="W216" s="41"/>
      <c r="X216" s="41"/>
      <c r="Y216" s="41"/>
      <c r="Z216" s="41"/>
    </row>
    <row r="217" spans="1:26" ht="15.75" customHeight="1" x14ac:dyDescent="0.2">
      <c r="A217" s="16"/>
      <c r="B217" s="43"/>
      <c r="C217" s="43"/>
      <c r="D217" s="16"/>
      <c r="E217" s="16"/>
      <c r="F217" s="16"/>
      <c r="G217" s="12"/>
      <c r="H217" s="12"/>
      <c r="I217" s="12"/>
      <c r="J217" s="12"/>
      <c r="K217" s="12"/>
      <c r="L217" s="12"/>
      <c r="M217" s="12"/>
      <c r="N217" s="16"/>
      <c r="O217" s="16"/>
      <c r="P217" s="12"/>
      <c r="Q217" s="12"/>
      <c r="R217" s="41"/>
      <c r="S217" s="41"/>
      <c r="T217" s="41"/>
      <c r="U217" s="41"/>
      <c r="V217" s="41"/>
      <c r="W217" s="41"/>
      <c r="X217" s="41"/>
      <c r="Y217" s="41"/>
      <c r="Z217" s="41"/>
    </row>
    <row r="218" spans="1:26" ht="15.75" customHeight="1" x14ac:dyDescent="0.2">
      <c r="A218" s="16"/>
      <c r="B218" s="43"/>
      <c r="C218" s="43"/>
      <c r="D218" s="16"/>
      <c r="E218" s="16"/>
      <c r="F218" s="16"/>
      <c r="G218" s="12"/>
      <c r="H218" s="12"/>
      <c r="I218" s="12"/>
      <c r="J218" s="12"/>
      <c r="K218" s="12"/>
      <c r="L218" s="12"/>
      <c r="M218" s="12"/>
      <c r="N218" s="16"/>
      <c r="O218" s="16"/>
      <c r="P218" s="12"/>
      <c r="Q218" s="12"/>
      <c r="R218" s="41"/>
      <c r="S218" s="41"/>
      <c r="T218" s="41"/>
      <c r="U218" s="41"/>
      <c r="V218" s="41"/>
      <c r="W218" s="41"/>
      <c r="X218" s="41"/>
      <c r="Y218" s="41"/>
      <c r="Z218" s="41"/>
    </row>
    <row r="219" spans="1:26" ht="15.75" customHeight="1" x14ac:dyDescent="0.2">
      <c r="A219" s="16"/>
      <c r="B219" s="43"/>
      <c r="C219" s="43"/>
      <c r="D219" s="16"/>
      <c r="E219" s="16"/>
      <c r="F219" s="16"/>
      <c r="G219" s="12"/>
      <c r="H219" s="12"/>
      <c r="I219" s="12"/>
      <c r="J219" s="12"/>
      <c r="K219" s="12"/>
      <c r="L219" s="12"/>
      <c r="M219" s="12"/>
      <c r="N219" s="16"/>
      <c r="O219" s="16"/>
      <c r="P219" s="12"/>
      <c r="Q219" s="12"/>
      <c r="R219" s="41"/>
      <c r="S219" s="41"/>
      <c r="T219" s="41"/>
      <c r="U219" s="41"/>
      <c r="V219" s="41"/>
      <c r="W219" s="41"/>
      <c r="X219" s="41"/>
      <c r="Y219" s="41"/>
      <c r="Z219" s="41"/>
    </row>
    <row r="220" spans="1:26" ht="15.75" customHeight="1" x14ac:dyDescent="0.2">
      <c r="A220" s="16"/>
      <c r="B220" s="43"/>
      <c r="C220" s="43"/>
      <c r="D220" s="16"/>
      <c r="E220" s="16"/>
      <c r="F220" s="16"/>
      <c r="G220" s="12"/>
      <c r="H220" s="12"/>
      <c r="I220" s="12"/>
      <c r="J220" s="12"/>
      <c r="K220" s="12"/>
      <c r="L220" s="12"/>
      <c r="M220" s="12"/>
      <c r="N220" s="16"/>
      <c r="O220" s="16"/>
      <c r="P220" s="12"/>
      <c r="Q220" s="12"/>
      <c r="R220" s="41"/>
      <c r="S220" s="41"/>
      <c r="T220" s="41"/>
      <c r="U220" s="41"/>
      <c r="V220" s="41"/>
      <c r="W220" s="41"/>
      <c r="X220" s="41"/>
      <c r="Y220" s="41"/>
      <c r="Z220" s="41"/>
    </row>
    <row r="221" spans="1:26" ht="15.75" customHeight="1" x14ac:dyDescent="0.2">
      <c r="A221" s="16"/>
      <c r="B221" s="43"/>
      <c r="C221" s="43"/>
      <c r="D221" s="16"/>
      <c r="E221" s="16"/>
      <c r="F221" s="16"/>
      <c r="G221" s="12"/>
      <c r="H221" s="12"/>
      <c r="I221" s="12"/>
      <c r="J221" s="12"/>
      <c r="K221" s="12"/>
      <c r="L221" s="12"/>
      <c r="M221" s="12"/>
      <c r="N221" s="16"/>
      <c r="O221" s="16"/>
      <c r="P221" s="12"/>
      <c r="Q221" s="12"/>
      <c r="R221" s="41"/>
      <c r="S221" s="41"/>
      <c r="T221" s="41"/>
      <c r="U221" s="41"/>
      <c r="V221" s="41"/>
      <c r="W221" s="41"/>
      <c r="X221" s="41"/>
      <c r="Y221" s="41"/>
      <c r="Z221" s="41"/>
    </row>
    <row r="222" spans="1:26" ht="15.75" customHeight="1" x14ac:dyDescent="0.2">
      <c r="A222" s="16"/>
      <c r="B222" s="43"/>
      <c r="C222" s="43"/>
      <c r="D222" s="16"/>
      <c r="E222" s="16"/>
      <c r="F222" s="16"/>
      <c r="G222" s="12"/>
      <c r="H222" s="12"/>
      <c r="I222" s="12"/>
      <c r="J222" s="12"/>
      <c r="K222" s="12"/>
      <c r="L222" s="12"/>
      <c r="M222" s="12"/>
      <c r="N222" s="16"/>
      <c r="O222" s="16"/>
      <c r="P222" s="12"/>
      <c r="Q222" s="12"/>
      <c r="R222" s="41"/>
      <c r="S222" s="41"/>
      <c r="T222" s="41"/>
      <c r="U222" s="41"/>
      <c r="V222" s="41"/>
      <c r="W222" s="41"/>
      <c r="X222" s="41"/>
      <c r="Y222" s="41"/>
      <c r="Z222" s="41"/>
    </row>
    <row r="223" spans="1:26" ht="15.75" customHeight="1" x14ac:dyDescent="0.2">
      <c r="A223" s="16"/>
      <c r="B223" s="43"/>
      <c r="C223" s="43"/>
      <c r="D223" s="16"/>
      <c r="E223" s="16"/>
      <c r="F223" s="16"/>
      <c r="G223" s="12"/>
      <c r="H223" s="12"/>
      <c r="I223" s="12"/>
      <c r="J223" s="12"/>
      <c r="K223" s="12"/>
      <c r="L223" s="12"/>
      <c r="M223" s="12"/>
      <c r="N223" s="16"/>
      <c r="O223" s="16"/>
      <c r="P223" s="12"/>
      <c r="Q223" s="12"/>
      <c r="R223" s="41"/>
      <c r="S223" s="41"/>
      <c r="T223" s="41"/>
      <c r="U223" s="41"/>
      <c r="V223" s="41"/>
      <c r="W223" s="41"/>
      <c r="X223" s="41"/>
      <c r="Y223" s="41"/>
      <c r="Z223" s="41"/>
    </row>
    <row r="224" spans="1:26" ht="15.75" customHeight="1" x14ac:dyDescent="0.2">
      <c r="A224" s="16"/>
      <c r="B224" s="43"/>
      <c r="C224" s="43"/>
      <c r="D224" s="16"/>
      <c r="E224" s="16"/>
      <c r="F224" s="16"/>
      <c r="G224" s="12"/>
      <c r="H224" s="12"/>
      <c r="I224" s="12"/>
      <c r="J224" s="12"/>
      <c r="K224" s="12"/>
      <c r="L224" s="12"/>
      <c r="M224" s="12"/>
      <c r="N224" s="16"/>
      <c r="O224" s="16"/>
      <c r="P224" s="12"/>
      <c r="Q224" s="12"/>
      <c r="R224" s="41"/>
      <c r="S224" s="41"/>
      <c r="T224" s="41"/>
      <c r="U224" s="41"/>
      <c r="V224" s="41"/>
      <c r="W224" s="41"/>
      <c r="X224" s="41"/>
      <c r="Y224" s="41"/>
      <c r="Z224" s="41"/>
    </row>
    <row r="225" spans="1:26" ht="15.75" customHeight="1" x14ac:dyDescent="0.2">
      <c r="A225" s="16"/>
      <c r="B225" s="43"/>
      <c r="C225" s="43"/>
      <c r="D225" s="16"/>
      <c r="E225" s="16"/>
      <c r="F225" s="16"/>
      <c r="G225" s="12"/>
      <c r="H225" s="12"/>
      <c r="I225" s="12"/>
      <c r="J225" s="12"/>
      <c r="K225" s="12"/>
      <c r="L225" s="12"/>
      <c r="M225" s="12"/>
      <c r="N225" s="16"/>
      <c r="O225" s="16"/>
      <c r="P225" s="12"/>
      <c r="Q225" s="12"/>
      <c r="R225" s="41"/>
      <c r="S225" s="41"/>
      <c r="T225" s="41"/>
      <c r="U225" s="41"/>
      <c r="V225" s="41"/>
      <c r="W225" s="41"/>
      <c r="X225" s="41"/>
      <c r="Y225" s="41"/>
      <c r="Z225" s="41"/>
    </row>
    <row r="226" spans="1:26" ht="15.75" customHeight="1" x14ac:dyDescent="0.2">
      <c r="A226" s="16"/>
      <c r="B226" s="43"/>
      <c r="C226" s="43"/>
      <c r="D226" s="16"/>
      <c r="E226" s="16"/>
      <c r="F226" s="16"/>
      <c r="G226" s="12"/>
      <c r="H226" s="12"/>
      <c r="I226" s="12"/>
      <c r="J226" s="12"/>
      <c r="K226" s="12"/>
      <c r="L226" s="12"/>
      <c r="M226" s="12"/>
      <c r="N226" s="16"/>
      <c r="O226" s="16"/>
      <c r="P226" s="12"/>
      <c r="Q226" s="12"/>
      <c r="R226" s="41"/>
      <c r="S226" s="41"/>
      <c r="T226" s="41"/>
      <c r="U226" s="41"/>
      <c r="V226" s="41"/>
      <c r="W226" s="41"/>
      <c r="X226" s="41"/>
      <c r="Y226" s="41"/>
      <c r="Z226" s="41"/>
    </row>
    <row r="227" spans="1:26" ht="15.75" customHeight="1" x14ac:dyDescent="0.2">
      <c r="A227" s="16"/>
      <c r="B227" s="43"/>
      <c r="C227" s="43"/>
      <c r="D227" s="16"/>
      <c r="E227" s="16"/>
      <c r="F227" s="16"/>
      <c r="G227" s="12"/>
      <c r="H227" s="12"/>
      <c r="I227" s="12"/>
      <c r="J227" s="12"/>
      <c r="K227" s="12"/>
      <c r="L227" s="12"/>
      <c r="M227" s="12"/>
      <c r="N227" s="16"/>
      <c r="O227" s="16"/>
      <c r="P227" s="12"/>
      <c r="Q227" s="12"/>
      <c r="R227" s="41"/>
      <c r="S227" s="41"/>
      <c r="T227" s="41"/>
      <c r="U227" s="41"/>
      <c r="V227" s="41"/>
      <c r="W227" s="41"/>
      <c r="X227" s="41"/>
      <c r="Y227" s="41"/>
      <c r="Z227" s="41"/>
    </row>
    <row r="228" spans="1:26" ht="15.75" customHeight="1" x14ac:dyDescent="0.2">
      <c r="A228" s="16"/>
      <c r="B228" s="43"/>
      <c r="C228" s="43"/>
      <c r="D228" s="16"/>
      <c r="E228" s="16"/>
      <c r="F228" s="16"/>
      <c r="G228" s="12"/>
      <c r="H228" s="12"/>
      <c r="I228" s="12"/>
      <c r="J228" s="12"/>
      <c r="K228" s="12"/>
      <c r="L228" s="12"/>
      <c r="M228" s="12"/>
      <c r="N228" s="16"/>
      <c r="O228" s="16"/>
      <c r="P228" s="12"/>
      <c r="Q228" s="12"/>
      <c r="R228" s="41"/>
      <c r="S228" s="41"/>
      <c r="T228" s="41"/>
      <c r="U228" s="41"/>
      <c r="V228" s="41"/>
      <c r="W228" s="41"/>
      <c r="X228" s="41"/>
      <c r="Y228" s="41"/>
      <c r="Z228" s="41"/>
    </row>
    <row r="229" spans="1:26" ht="15.75" customHeight="1" x14ac:dyDescent="0.2">
      <c r="A229" s="16"/>
      <c r="B229" s="43"/>
      <c r="C229" s="43"/>
      <c r="D229" s="16"/>
      <c r="E229" s="16"/>
      <c r="F229" s="16"/>
      <c r="G229" s="12"/>
      <c r="H229" s="12"/>
      <c r="I229" s="12"/>
      <c r="J229" s="12"/>
      <c r="K229" s="12"/>
      <c r="L229" s="12"/>
      <c r="M229" s="12"/>
      <c r="N229" s="16"/>
      <c r="O229" s="16"/>
      <c r="P229" s="12"/>
      <c r="Q229" s="12"/>
      <c r="R229" s="41"/>
      <c r="S229" s="41"/>
      <c r="T229" s="41"/>
      <c r="U229" s="41"/>
      <c r="V229" s="41"/>
      <c r="W229" s="41"/>
      <c r="X229" s="41"/>
      <c r="Y229" s="41"/>
      <c r="Z229" s="41"/>
    </row>
    <row r="230" spans="1:26" ht="15.75" customHeight="1" x14ac:dyDescent="0.2">
      <c r="A230" s="16"/>
      <c r="B230" s="43"/>
      <c r="C230" s="43"/>
      <c r="D230" s="16"/>
      <c r="E230" s="16"/>
      <c r="F230" s="16"/>
      <c r="G230" s="12"/>
      <c r="H230" s="12"/>
      <c r="I230" s="12"/>
      <c r="J230" s="12"/>
      <c r="K230" s="12"/>
      <c r="L230" s="12"/>
      <c r="M230" s="12"/>
      <c r="N230" s="16"/>
      <c r="O230" s="16"/>
      <c r="P230" s="12"/>
      <c r="Q230" s="12"/>
      <c r="R230" s="41"/>
      <c r="S230" s="41"/>
      <c r="T230" s="41"/>
      <c r="U230" s="41"/>
      <c r="V230" s="41"/>
      <c r="W230" s="41"/>
      <c r="X230" s="41"/>
      <c r="Y230" s="41"/>
      <c r="Z230" s="41"/>
    </row>
    <row r="231" spans="1:26" ht="15.75" customHeight="1" x14ac:dyDescent="0.2">
      <c r="A231" s="16"/>
      <c r="B231" s="43"/>
      <c r="C231" s="43"/>
      <c r="D231" s="16"/>
      <c r="E231" s="16"/>
      <c r="F231" s="16"/>
      <c r="G231" s="12"/>
      <c r="H231" s="12"/>
      <c r="I231" s="12"/>
      <c r="J231" s="12"/>
      <c r="K231" s="12"/>
      <c r="L231" s="12"/>
      <c r="M231" s="12"/>
      <c r="N231" s="16"/>
      <c r="O231" s="16"/>
      <c r="P231" s="12"/>
      <c r="Q231" s="12"/>
      <c r="R231" s="41"/>
      <c r="S231" s="41"/>
      <c r="T231" s="41"/>
      <c r="U231" s="41"/>
      <c r="V231" s="41"/>
      <c r="W231" s="41"/>
      <c r="X231" s="41"/>
      <c r="Y231" s="41"/>
      <c r="Z231" s="41"/>
    </row>
    <row r="232" spans="1:26" ht="15.75" customHeight="1" x14ac:dyDescent="0.2">
      <c r="A232" s="16"/>
      <c r="B232" s="43"/>
      <c r="C232" s="43"/>
      <c r="D232" s="16"/>
      <c r="E232" s="16"/>
      <c r="F232" s="16"/>
      <c r="G232" s="12"/>
      <c r="H232" s="12"/>
      <c r="I232" s="12"/>
      <c r="J232" s="12"/>
      <c r="K232" s="12"/>
      <c r="L232" s="12"/>
      <c r="M232" s="12"/>
      <c r="N232" s="16"/>
      <c r="O232" s="16"/>
      <c r="P232" s="12"/>
      <c r="Q232" s="12"/>
      <c r="R232" s="41"/>
      <c r="S232" s="41"/>
      <c r="T232" s="41"/>
      <c r="U232" s="41"/>
      <c r="V232" s="41"/>
      <c r="W232" s="41"/>
      <c r="X232" s="41"/>
      <c r="Y232" s="41"/>
      <c r="Z232" s="41"/>
    </row>
    <row r="233" spans="1:26" ht="15.75" customHeight="1" x14ac:dyDescent="0.2">
      <c r="A233" s="16"/>
      <c r="B233" s="43"/>
      <c r="C233" s="43"/>
      <c r="D233" s="16"/>
      <c r="E233" s="16"/>
      <c r="F233" s="16"/>
      <c r="G233" s="12"/>
      <c r="H233" s="12"/>
      <c r="I233" s="12"/>
      <c r="J233" s="12"/>
      <c r="K233" s="12"/>
      <c r="L233" s="12"/>
      <c r="M233" s="12"/>
      <c r="N233" s="16"/>
      <c r="O233" s="16"/>
      <c r="P233" s="12"/>
      <c r="Q233" s="12"/>
      <c r="R233" s="41"/>
      <c r="S233" s="41"/>
      <c r="T233" s="41"/>
      <c r="U233" s="41"/>
      <c r="V233" s="41"/>
      <c r="W233" s="41"/>
      <c r="X233" s="41"/>
      <c r="Y233" s="41"/>
      <c r="Z233" s="41"/>
    </row>
    <row r="234" spans="1:26" ht="15.75" customHeight="1" x14ac:dyDescent="0.2">
      <c r="A234" s="16"/>
      <c r="B234" s="43"/>
      <c r="C234" s="43"/>
      <c r="D234" s="16"/>
      <c r="E234" s="16"/>
      <c r="F234" s="16"/>
      <c r="G234" s="12"/>
      <c r="H234" s="12"/>
      <c r="I234" s="12"/>
      <c r="J234" s="12"/>
      <c r="K234" s="12"/>
      <c r="L234" s="12"/>
      <c r="M234" s="12"/>
      <c r="N234" s="16"/>
      <c r="O234" s="16"/>
      <c r="P234" s="12"/>
      <c r="Q234" s="12"/>
      <c r="R234" s="41"/>
      <c r="S234" s="41"/>
      <c r="T234" s="41"/>
      <c r="U234" s="41"/>
      <c r="V234" s="41"/>
      <c r="W234" s="41"/>
      <c r="X234" s="41"/>
      <c r="Y234" s="41"/>
      <c r="Z234" s="41"/>
    </row>
    <row r="235" spans="1:26" ht="15.75" customHeight="1" x14ac:dyDescent="0.2">
      <c r="A235" s="16"/>
      <c r="B235" s="43"/>
      <c r="C235" s="43"/>
      <c r="D235" s="16"/>
      <c r="E235" s="16"/>
      <c r="F235" s="16"/>
      <c r="G235" s="12"/>
      <c r="H235" s="12"/>
      <c r="I235" s="12"/>
      <c r="J235" s="12"/>
      <c r="K235" s="12"/>
      <c r="L235" s="12"/>
      <c r="M235" s="12"/>
      <c r="N235" s="16"/>
      <c r="O235" s="16"/>
      <c r="P235" s="12"/>
      <c r="Q235" s="12"/>
      <c r="R235" s="41"/>
      <c r="S235" s="41"/>
      <c r="T235" s="41"/>
      <c r="U235" s="41"/>
      <c r="V235" s="41"/>
      <c r="W235" s="41"/>
      <c r="X235" s="41"/>
      <c r="Y235" s="41"/>
      <c r="Z235" s="41"/>
    </row>
    <row r="236" spans="1:26" ht="15.75" customHeight="1" x14ac:dyDescent="0.2">
      <c r="A236" s="16"/>
      <c r="B236" s="43"/>
      <c r="C236" s="43"/>
      <c r="D236" s="16"/>
      <c r="E236" s="16"/>
      <c r="F236" s="16"/>
      <c r="G236" s="12"/>
      <c r="H236" s="12"/>
      <c r="I236" s="12"/>
      <c r="J236" s="12"/>
      <c r="K236" s="12"/>
      <c r="L236" s="12"/>
      <c r="M236" s="12"/>
      <c r="N236" s="16"/>
      <c r="O236" s="16"/>
      <c r="P236" s="12"/>
      <c r="Q236" s="12"/>
      <c r="R236" s="41"/>
      <c r="S236" s="41"/>
      <c r="T236" s="41"/>
      <c r="U236" s="41"/>
      <c r="V236" s="41"/>
      <c r="W236" s="41"/>
      <c r="X236" s="41"/>
      <c r="Y236" s="41"/>
      <c r="Z236" s="41"/>
    </row>
    <row r="237" spans="1:26" ht="15.75" customHeight="1" x14ac:dyDescent="0.2">
      <c r="A237" s="16"/>
      <c r="B237" s="43"/>
      <c r="C237" s="43"/>
      <c r="D237" s="16"/>
      <c r="E237" s="16"/>
      <c r="F237" s="16"/>
      <c r="G237" s="12"/>
      <c r="H237" s="12"/>
      <c r="I237" s="12"/>
      <c r="J237" s="12"/>
      <c r="K237" s="12"/>
      <c r="L237" s="12"/>
      <c r="M237" s="12"/>
      <c r="N237" s="16"/>
      <c r="O237" s="16"/>
      <c r="P237" s="12"/>
      <c r="Q237" s="12"/>
      <c r="R237" s="41"/>
      <c r="S237" s="41"/>
      <c r="T237" s="41"/>
      <c r="U237" s="41"/>
      <c r="V237" s="41"/>
      <c r="W237" s="41"/>
      <c r="X237" s="41"/>
      <c r="Y237" s="41"/>
      <c r="Z237" s="41"/>
    </row>
    <row r="238" spans="1:26" ht="15.75" customHeight="1" x14ac:dyDescent="0.2">
      <c r="A238" s="16"/>
      <c r="B238" s="43"/>
      <c r="C238" s="43"/>
      <c r="D238" s="16"/>
      <c r="E238" s="16"/>
      <c r="F238" s="16"/>
      <c r="G238" s="12"/>
      <c r="H238" s="12"/>
      <c r="I238" s="12"/>
      <c r="J238" s="12"/>
      <c r="K238" s="12"/>
      <c r="L238" s="12"/>
      <c r="M238" s="12"/>
      <c r="N238" s="16"/>
      <c r="O238" s="16"/>
      <c r="P238" s="12"/>
      <c r="Q238" s="12"/>
      <c r="R238" s="41"/>
      <c r="S238" s="41"/>
      <c r="T238" s="41"/>
      <c r="U238" s="41"/>
      <c r="V238" s="41"/>
      <c r="W238" s="41"/>
      <c r="X238" s="41"/>
      <c r="Y238" s="41"/>
      <c r="Z238" s="41"/>
    </row>
    <row r="239" spans="1:26" ht="15.75" customHeight="1" x14ac:dyDescent="0.2">
      <c r="A239" s="16"/>
      <c r="B239" s="43"/>
      <c r="C239" s="43"/>
      <c r="D239" s="16"/>
      <c r="E239" s="16"/>
      <c r="F239" s="16"/>
      <c r="G239" s="12"/>
      <c r="H239" s="12"/>
      <c r="I239" s="12"/>
      <c r="J239" s="12"/>
      <c r="K239" s="12"/>
      <c r="L239" s="12"/>
      <c r="M239" s="12"/>
      <c r="N239" s="16"/>
      <c r="O239" s="16"/>
      <c r="P239" s="12"/>
      <c r="Q239" s="12"/>
      <c r="R239" s="41"/>
      <c r="S239" s="41"/>
      <c r="T239" s="41"/>
      <c r="U239" s="41"/>
      <c r="V239" s="41"/>
      <c r="W239" s="41"/>
      <c r="X239" s="41"/>
      <c r="Y239" s="41"/>
      <c r="Z239" s="41"/>
    </row>
    <row r="240" spans="1:26" ht="15.75" customHeight="1" x14ac:dyDescent="0.2">
      <c r="A240" s="16"/>
      <c r="B240" s="43"/>
      <c r="C240" s="43"/>
      <c r="D240" s="16"/>
      <c r="E240" s="16"/>
      <c r="F240" s="16"/>
      <c r="G240" s="12"/>
      <c r="H240" s="12"/>
      <c r="I240" s="12"/>
      <c r="J240" s="12"/>
      <c r="K240" s="12"/>
      <c r="L240" s="12"/>
      <c r="M240" s="12"/>
      <c r="N240" s="16"/>
      <c r="O240" s="16"/>
      <c r="P240" s="12"/>
      <c r="Q240" s="12"/>
      <c r="R240" s="41"/>
      <c r="S240" s="41"/>
      <c r="T240" s="41"/>
      <c r="U240" s="41"/>
      <c r="V240" s="41"/>
      <c r="W240" s="41"/>
      <c r="X240" s="41"/>
      <c r="Y240" s="41"/>
      <c r="Z240" s="41"/>
    </row>
    <row r="241" spans="1:26" ht="15.75" customHeight="1" x14ac:dyDescent="0.2">
      <c r="A241" s="16"/>
      <c r="B241" s="43"/>
      <c r="C241" s="43"/>
      <c r="D241" s="16"/>
      <c r="E241" s="16"/>
      <c r="F241" s="16"/>
      <c r="G241" s="12"/>
      <c r="H241" s="12"/>
      <c r="I241" s="12"/>
      <c r="J241" s="12"/>
      <c r="K241" s="12"/>
      <c r="L241" s="12"/>
      <c r="M241" s="12"/>
      <c r="N241" s="16"/>
      <c r="O241" s="16"/>
      <c r="P241" s="12"/>
      <c r="Q241" s="12"/>
      <c r="R241" s="41"/>
      <c r="S241" s="41"/>
      <c r="T241" s="41"/>
      <c r="U241" s="41"/>
      <c r="V241" s="41"/>
      <c r="W241" s="41"/>
      <c r="X241" s="41"/>
      <c r="Y241" s="41"/>
      <c r="Z241" s="41"/>
    </row>
    <row r="242" spans="1:26" ht="15.75" customHeight="1" x14ac:dyDescent="0.2">
      <c r="A242" s="16"/>
      <c r="B242" s="43"/>
      <c r="C242" s="43"/>
      <c r="D242" s="16"/>
      <c r="E242" s="16"/>
      <c r="F242" s="16"/>
      <c r="G242" s="12"/>
      <c r="H242" s="12"/>
      <c r="I242" s="12"/>
      <c r="J242" s="12"/>
      <c r="K242" s="12"/>
      <c r="L242" s="12"/>
      <c r="M242" s="12"/>
      <c r="N242" s="16"/>
      <c r="O242" s="16"/>
      <c r="P242" s="12"/>
      <c r="Q242" s="12"/>
      <c r="R242" s="41"/>
      <c r="S242" s="41"/>
      <c r="T242" s="41"/>
      <c r="U242" s="41"/>
      <c r="V242" s="41"/>
      <c r="W242" s="41"/>
      <c r="X242" s="41"/>
      <c r="Y242" s="41"/>
      <c r="Z242" s="41"/>
    </row>
    <row r="243" spans="1:26" ht="15.75" customHeight="1" x14ac:dyDescent="0.2">
      <c r="A243" s="16"/>
      <c r="B243" s="43"/>
      <c r="C243" s="43"/>
      <c r="D243" s="16"/>
      <c r="E243" s="16"/>
      <c r="F243" s="16"/>
      <c r="G243" s="12"/>
      <c r="H243" s="12"/>
      <c r="I243" s="12"/>
      <c r="J243" s="12"/>
      <c r="K243" s="12"/>
      <c r="L243" s="12"/>
      <c r="M243" s="12"/>
      <c r="N243" s="16"/>
      <c r="O243" s="16"/>
      <c r="P243" s="12"/>
      <c r="Q243" s="12"/>
      <c r="R243" s="41"/>
      <c r="S243" s="41"/>
      <c r="T243" s="41"/>
      <c r="U243" s="41"/>
      <c r="V243" s="41"/>
      <c r="W243" s="41"/>
      <c r="X243" s="41"/>
      <c r="Y243" s="41"/>
      <c r="Z243" s="41"/>
    </row>
    <row r="244" spans="1:26" ht="15.75" customHeight="1" x14ac:dyDescent="0.2">
      <c r="A244" s="16"/>
      <c r="B244" s="43"/>
      <c r="C244" s="43"/>
      <c r="D244" s="16"/>
      <c r="E244" s="16"/>
      <c r="F244" s="16"/>
      <c r="G244" s="12"/>
      <c r="H244" s="12"/>
      <c r="I244" s="12"/>
      <c r="J244" s="12"/>
      <c r="K244" s="12"/>
      <c r="L244" s="12"/>
      <c r="M244" s="12"/>
      <c r="N244" s="16"/>
      <c r="O244" s="16"/>
      <c r="P244" s="12"/>
      <c r="Q244" s="12"/>
      <c r="R244" s="41"/>
      <c r="S244" s="41"/>
      <c r="T244" s="41"/>
      <c r="U244" s="41"/>
      <c r="V244" s="41"/>
      <c r="W244" s="41"/>
      <c r="X244" s="41"/>
      <c r="Y244" s="41"/>
      <c r="Z244" s="41"/>
    </row>
    <row r="245" spans="1:26" ht="15.75" customHeight="1" x14ac:dyDescent="0.2">
      <c r="A245" s="16"/>
      <c r="B245" s="43"/>
      <c r="C245" s="43"/>
      <c r="D245" s="16"/>
      <c r="E245" s="16"/>
      <c r="F245" s="16"/>
      <c r="G245" s="12"/>
      <c r="H245" s="12"/>
      <c r="I245" s="12"/>
      <c r="J245" s="12"/>
      <c r="K245" s="12"/>
      <c r="L245" s="12"/>
      <c r="M245" s="12"/>
      <c r="N245" s="16"/>
      <c r="O245" s="16"/>
      <c r="P245" s="12"/>
      <c r="Q245" s="12"/>
      <c r="R245" s="41"/>
      <c r="S245" s="41"/>
      <c r="T245" s="41"/>
      <c r="U245" s="41"/>
      <c r="V245" s="41"/>
      <c r="W245" s="41"/>
      <c r="X245" s="41"/>
      <c r="Y245" s="41"/>
      <c r="Z245" s="41"/>
    </row>
    <row r="246" spans="1:26" ht="15.75" customHeight="1" x14ac:dyDescent="0.2">
      <c r="A246" s="16"/>
      <c r="B246" s="43"/>
      <c r="C246" s="43"/>
      <c r="D246" s="16"/>
      <c r="E246" s="16"/>
      <c r="F246" s="16"/>
      <c r="G246" s="12"/>
      <c r="H246" s="12"/>
      <c r="I246" s="12"/>
      <c r="J246" s="12"/>
      <c r="K246" s="12"/>
      <c r="L246" s="12"/>
      <c r="M246" s="12"/>
      <c r="N246" s="16"/>
      <c r="O246" s="16"/>
      <c r="P246" s="12"/>
      <c r="Q246" s="12"/>
      <c r="R246" s="41"/>
      <c r="S246" s="41"/>
      <c r="T246" s="41"/>
      <c r="U246" s="41"/>
      <c r="V246" s="41"/>
      <c r="W246" s="41"/>
      <c r="X246" s="41"/>
      <c r="Y246" s="41"/>
      <c r="Z246" s="41"/>
    </row>
    <row r="247" spans="1:26" ht="15.75" customHeight="1" x14ac:dyDescent="0.2">
      <c r="A247" s="16"/>
      <c r="B247" s="43"/>
      <c r="C247" s="43"/>
      <c r="D247" s="16"/>
      <c r="E247" s="16"/>
      <c r="F247" s="16"/>
      <c r="G247" s="12"/>
      <c r="H247" s="12"/>
      <c r="I247" s="12"/>
      <c r="J247" s="12"/>
      <c r="K247" s="12"/>
      <c r="L247" s="12"/>
      <c r="M247" s="12"/>
      <c r="N247" s="16"/>
      <c r="O247" s="16"/>
      <c r="P247" s="12"/>
      <c r="Q247" s="12"/>
      <c r="R247" s="41"/>
      <c r="S247" s="41"/>
      <c r="T247" s="41"/>
      <c r="U247" s="41"/>
      <c r="V247" s="41"/>
      <c r="W247" s="41"/>
      <c r="X247" s="41"/>
      <c r="Y247" s="41"/>
      <c r="Z247" s="41"/>
    </row>
    <row r="248" spans="1:26" ht="15.75" customHeight="1" x14ac:dyDescent="0.2">
      <c r="A248" s="16"/>
      <c r="B248" s="43"/>
      <c r="C248" s="43"/>
      <c r="D248" s="16"/>
      <c r="E248" s="16"/>
      <c r="F248" s="16"/>
      <c r="G248" s="12"/>
      <c r="H248" s="12"/>
      <c r="I248" s="12"/>
      <c r="J248" s="12"/>
      <c r="K248" s="12"/>
      <c r="L248" s="12"/>
      <c r="M248" s="12"/>
      <c r="N248" s="16"/>
      <c r="O248" s="16"/>
      <c r="P248" s="12"/>
      <c r="Q248" s="12"/>
      <c r="R248" s="41"/>
      <c r="S248" s="41"/>
      <c r="T248" s="41"/>
      <c r="U248" s="41"/>
      <c r="V248" s="41"/>
      <c r="W248" s="41"/>
      <c r="X248" s="41"/>
      <c r="Y248" s="41"/>
      <c r="Z248" s="41"/>
    </row>
    <row r="249" spans="1:26" ht="15.75" customHeight="1" x14ac:dyDescent="0.2">
      <c r="A249" s="16"/>
      <c r="B249" s="43"/>
      <c r="C249" s="43"/>
      <c r="D249" s="16"/>
      <c r="E249" s="16"/>
      <c r="F249" s="16"/>
      <c r="G249" s="12"/>
      <c r="H249" s="12"/>
      <c r="I249" s="12"/>
      <c r="J249" s="12"/>
      <c r="K249" s="12"/>
      <c r="L249" s="12"/>
      <c r="M249" s="12"/>
      <c r="N249" s="16"/>
      <c r="O249" s="16"/>
      <c r="P249" s="12"/>
      <c r="Q249" s="12"/>
      <c r="R249" s="41"/>
      <c r="S249" s="41"/>
      <c r="T249" s="41"/>
      <c r="U249" s="41"/>
      <c r="V249" s="41"/>
      <c r="W249" s="41"/>
      <c r="X249" s="41"/>
      <c r="Y249" s="41"/>
      <c r="Z249" s="41"/>
    </row>
    <row r="250" spans="1:26" ht="15.75" customHeight="1" x14ac:dyDescent="0.2">
      <c r="A250" s="16"/>
      <c r="B250" s="43"/>
      <c r="C250" s="43"/>
      <c r="D250" s="16"/>
      <c r="E250" s="16"/>
      <c r="F250" s="16"/>
      <c r="G250" s="12"/>
      <c r="H250" s="12"/>
      <c r="I250" s="12"/>
      <c r="J250" s="12"/>
      <c r="K250" s="12"/>
      <c r="L250" s="12"/>
      <c r="M250" s="12"/>
      <c r="N250" s="16"/>
      <c r="O250" s="16"/>
      <c r="P250" s="12"/>
      <c r="Q250" s="12"/>
      <c r="R250" s="41"/>
      <c r="S250" s="41"/>
      <c r="T250" s="41"/>
      <c r="U250" s="41"/>
      <c r="V250" s="41"/>
      <c r="W250" s="41"/>
      <c r="X250" s="41"/>
      <c r="Y250" s="41"/>
      <c r="Z250" s="41"/>
    </row>
    <row r="251" spans="1:26" ht="15.75" customHeight="1" x14ac:dyDescent="0.2">
      <c r="A251" s="16"/>
      <c r="B251" s="43"/>
      <c r="C251" s="43"/>
      <c r="D251" s="16"/>
      <c r="E251" s="16"/>
      <c r="F251" s="16"/>
      <c r="G251" s="12"/>
      <c r="H251" s="12"/>
      <c r="I251" s="12"/>
      <c r="J251" s="12"/>
      <c r="K251" s="12"/>
      <c r="L251" s="12"/>
      <c r="M251" s="12"/>
      <c r="N251" s="16"/>
      <c r="O251" s="16"/>
      <c r="P251" s="12"/>
      <c r="Q251" s="12"/>
      <c r="R251" s="41"/>
      <c r="S251" s="41"/>
      <c r="T251" s="41"/>
      <c r="U251" s="41"/>
      <c r="V251" s="41"/>
      <c r="W251" s="41"/>
      <c r="X251" s="41"/>
      <c r="Y251" s="41"/>
      <c r="Z251" s="41"/>
    </row>
    <row r="252" spans="1:26" ht="15.75" customHeight="1" x14ac:dyDescent="0.2">
      <c r="A252" s="16"/>
      <c r="B252" s="43"/>
      <c r="C252" s="43"/>
      <c r="D252" s="16"/>
      <c r="E252" s="16"/>
      <c r="F252" s="16"/>
      <c r="G252" s="12"/>
      <c r="H252" s="12"/>
      <c r="I252" s="12"/>
      <c r="J252" s="12"/>
      <c r="K252" s="12"/>
      <c r="L252" s="12"/>
      <c r="M252" s="12"/>
      <c r="N252" s="16"/>
      <c r="O252" s="16"/>
      <c r="P252" s="12"/>
      <c r="Q252" s="12"/>
      <c r="R252" s="41"/>
      <c r="S252" s="41"/>
      <c r="T252" s="41"/>
      <c r="U252" s="41"/>
      <c r="V252" s="41"/>
      <c r="W252" s="41"/>
      <c r="X252" s="41"/>
      <c r="Y252" s="41"/>
      <c r="Z252" s="41"/>
    </row>
    <row r="253" spans="1:26" ht="15.75" customHeight="1" x14ac:dyDescent="0.2">
      <c r="A253" s="16"/>
      <c r="B253" s="43"/>
      <c r="C253" s="43"/>
      <c r="D253" s="16"/>
      <c r="E253" s="16"/>
      <c r="F253" s="16"/>
      <c r="G253" s="12"/>
      <c r="H253" s="12"/>
      <c r="I253" s="12"/>
      <c r="J253" s="12"/>
      <c r="K253" s="12"/>
      <c r="L253" s="12"/>
      <c r="M253" s="12"/>
      <c r="N253" s="16"/>
      <c r="O253" s="16"/>
      <c r="P253" s="12"/>
      <c r="Q253" s="12"/>
      <c r="R253" s="41"/>
      <c r="S253" s="41"/>
      <c r="T253" s="41"/>
      <c r="U253" s="41"/>
      <c r="V253" s="41"/>
      <c r="W253" s="41"/>
      <c r="X253" s="41"/>
      <c r="Y253" s="41"/>
      <c r="Z253" s="41"/>
    </row>
    <row r="254" spans="1:26" ht="15.75" customHeight="1" x14ac:dyDescent="0.2">
      <c r="A254" s="16"/>
      <c r="B254" s="43"/>
      <c r="C254" s="43"/>
      <c r="D254" s="16"/>
      <c r="E254" s="16"/>
      <c r="F254" s="16"/>
      <c r="G254" s="12"/>
      <c r="H254" s="12"/>
      <c r="I254" s="12"/>
      <c r="J254" s="12"/>
      <c r="K254" s="12"/>
      <c r="L254" s="12"/>
      <c r="M254" s="12"/>
      <c r="N254" s="16"/>
      <c r="O254" s="16"/>
      <c r="P254" s="12"/>
      <c r="Q254" s="12"/>
      <c r="R254" s="41"/>
      <c r="S254" s="41"/>
      <c r="T254" s="41"/>
      <c r="U254" s="41"/>
      <c r="V254" s="41"/>
      <c r="W254" s="41"/>
      <c r="X254" s="41"/>
      <c r="Y254" s="41"/>
      <c r="Z254" s="41"/>
    </row>
    <row r="255" spans="1:26" ht="15.75" customHeight="1" x14ac:dyDescent="0.2">
      <c r="A255" s="16"/>
      <c r="B255" s="43"/>
      <c r="C255" s="43"/>
      <c r="D255" s="16"/>
      <c r="E255" s="16"/>
      <c r="F255" s="16"/>
      <c r="G255" s="12"/>
      <c r="H255" s="12"/>
      <c r="I255" s="12"/>
      <c r="J255" s="12"/>
      <c r="K255" s="12"/>
      <c r="L255" s="12"/>
      <c r="M255" s="12"/>
      <c r="N255" s="16"/>
      <c r="O255" s="16"/>
      <c r="P255" s="12"/>
      <c r="Q255" s="12"/>
      <c r="R255" s="41"/>
      <c r="S255" s="41"/>
      <c r="T255" s="41"/>
      <c r="U255" s="41"/>
      <c r="V255" s="41"/>
      <c r="W255" s="41"/>
      <c r="X255" s="41"/>
      <c r="Y255" s="41"/>
      <c r="Z255" s="41"/>
    </row>
    <row r="256" spans="1:26" ht="15.75" customHeight="1" x14ac:dyDescent="0.2">
      <c r="A256" s="16"/>
      <c r="B256" s="43"/>
      <c r="C256" s="43"/>
      <c r="D256" s="16"/>
      <c r="E256" s="16"/>
      <c r="F256" s="16"/>
      <c r="G256" s="12"/>
      <c r="H256" s="12"/>
      <c r="I256" s="12"/>
      <c r="J256" s="12"/>
      <c r="K256" s="12"/>
      <c r="L256" s="12"/>
      <c r="M256" s="12"/>
      <c r="N256" s="16"/>
      <c r="O256" s="16"/>
      <c r="P256" s="12"/>
      <c r="Q256" s="12"/>
      <c r="R256" s="41"/>
      <c r="S256" s="41"/>
      <c r="T256" s="41"/>
      <c r="U256" s="41"/>
      <c r="V256" s="41"/>
      <c r="W256" s="41"/>
      <c r="X256" s="41"/>
      <c r="Y256" s="41"/>
      <c r="Z256" s="41"/>
    </row>
    <row r="257" spans="1:26" ht="15.75" customHeight="1" x14ac:dyDescent="0.2">
      <c r="A257" s="16"/>
      <c r="B257" s="43"/>
      <c r="C257" s="43"/>
      <c r="D257" s="16"/>
      <c r="E257" s="16"/>
      <c r="F257" s="16"/>
      <c r="G257" s="12"/>
      <c r="H257" s="12"/>
      <c r="I257" s="12"/>
      <c r="J257" s="12"/>
      <c r="K257" s="12"/>
      <c r="L257" s="12"/>
      <c r="M257" s="12"/>
      <c r="N257" s="16"/>
      <c r="O257" s="16"/>
      <c r="P257" s="12"/>
      <c r="Q257" s="12"/>
      <c r="R257" s="41"/>
      <c r="S257" s="41"/>
      <c r="T257" s="41"/>
      <c r="U257" s="41"/>
      <c r="V257" s="41"/>
      <c r="W257" s="41"/>
      <c r="X257" s="41"/>
      <c r="Y257" s="41"/>
      <c r="Z257" s="41"/>
    </row>
    <row r="258" spans="1:26" ht="15.75" customHeight="1" x14ac:dyDescent="0.2">
      <c r="A258" s="16"/>
      <c r="B258" s="43"/>
      <c r="C258" s="43"/>
      <c r="D258" s="16"/>
      <c r="E258" s="16"/>
      <c r="F258" s="16"/>
      <c r="G258" s="12"/>
      <c r="H258" s="12"/>
      <c r="I258" s="12"/>
      <c r="J258" s="12"/>
      <c r="K258" s="12"/>
      <c r="L258" s="12"/>
      <c r="M258" s="12"/>
      <c r="N258" s="16"/>
      <c r="O258" s="16"/>
      <c r="P258" s="12"/>
      <c r="Q258" s="12"/>
      <c r="R258" s="41"/>
      <c r="S258" s="41"/>
      <c r="T258" s="41"/>
      <c r="U258" s="41"/>
      <c r="V258" s="41"/>
      <c r="W258" s="41"/>
      <c r="X258" s="41"/>
      <c r="Y258" s="41"/>
      <c r="Z258" s="41"/>
    </row>
    <row r="259" spans="1:26" ht="15.75" customHeight="1" x14ac:dyDescent="0.2">
      <c r="A259" s="16"/>
      <c r="B259" s="43"/>
      <c r="C259" s="43"/>
      <c r="D259" s="16"/>
      <c r="E259" s="16"/>
      <c r="F259" s="16"/>
      <c r="G259" s="12"/>
      <c r="H259" s="12"/>
      <c r="I259" s="12"/>
      <c r="J259" s="12"/>
      <c r="K259" s="12"/>
      <c r="L259" s="12"/>
      <c r="M259" s="12"/>
      <c r="N259" s="16"/>
      <c r="O259" s="16"/>
      <c r="P259" s="12"/>
      <c r="Q259" s="12"/>
      <c r="R259" s="41"/>
      <c r="S259" s="41"/>
      <c r="T259" s="41"/>
      <c r="U259" s="41"/>
      <c r="V259" s="41"/>
      <c r="W259" s="41"/>
      <c r="X259" s="41"/>
      <c r="Y259" s="41"/>
      <c r="Z259" s="41"/>
    </row>
    <row r="260" spans="1:26" ht="15.75" customHeight="1" x14ac:dyDescent="0.2">
      <c r="A260" s="16"/>
      <c r="B260" s="43"/>
      <c r="C260" s="43"/>
      <c r="D260" s="16"/>
      <c r="E260" s="16"/>
      <c r="F260" s="16"/>
      <c r="G260" s="12"/>
      <c r="H260" s="12"/>
      <c r="I260" s="12"/>
      <c r="J260" s="12"/>
      <c r="K260" s="12"/>
      <c r="L260" s="12"/>
      <c r="M260" s="12"/>
      <c r="N260" s="16"/>
      <c r="O260" s="16"/>
      <c r="P260" s="12"/>
      <c r="Q260" s="12"/>
      <c r="R260" s="41"/>
      <c r="S260" s="41"/>
      <c r="T260" s="41"/>
      <c r="U260" s="41"/>
      <c r="V260" s="41"/>
      <c r="W260" s="41"/>
      <c r="X260" s="41"/>
      <c r="Y260" s="41"/>
      <c r="Z260" s="41"/>
    </row>
    <row r="261" spans="1:26" ht="15.75" customHeight="1" x14ac:dyDescent="0.2">
      <c r="A261" s="16"/>
      <c r="B261" s="43"/>
      <c r="C261" s="43"/>
      <c r="D261" s="16"/>
      <c r="E261" s="16"/>
      <c r="F261" s="16"/>
      <c r="G261" s="12"/>
      <c r="H261" s="12"/>
      <c r="I261" s="12"/>
      <c r="J261" s="12"/>
      <c r="K261" s="12"/>
      <c r="L261" s="12"/>
      <c r="M261" s="12"/>
      <c r="N261" s="16"/>
      <c r="O261" s="16"/>
      <c r="P261" s="12"/>
      <c r="Q261" s="12"/>
      <c r="R261" s="41"/>
      <c r="S261" s="41"/>
      <c r="T261" s="41"/>
      <c r="U261" s="41"/>
      <c r="V261" s="41"/>
      <c r="W261" s="41"/>
      <c r="X261" s="41"/>
      <c r="Y261" s="41"/>
      <c r="Z261" s="41"/>
    </row>
    <row r="262" spans="1:26" ht="15.75" customHeight="1" x14ac:dyDescent="0.2">
      <c r="A262" s="16"/>
      <c r="B262" s="43"/>
      <c r="C262" s="43"/>
      <c r="D262" s="16"/>
      <c r="E262" s="16"/>
      <c r="F262" s="16"/>
      <c r="G262" s="12"/>
      <c r="H262" s="12"/>
      <c r="I262" s="12"/>
      <c r="J262" s="12"/>
      <c r="K262" s="12"/>
      <c r="L262" s="12"/>
      <c r="M262" s="12"/>
      <c r="N262" s="16"/>
      <c r="O262" s="16"/>
      <c r="P262" s="12"/>
      <c r="Q262" s="12"/>
      <c r="R262" s="41"/>
      <c r="S262" s="41"/>
      <c r="T262" s="41"/>
      <c r="U262" s="41"/>
      <c r="V262" s="41"/>
      <c r="W262" s="41"/>
      <c r="X262" s="41"/>
      <c r="Y262" s="41"/>
      <c r="Z262" s="41"/>
    </row>
    <row r="263" spans="1:26" ht="15.75" customHeight="1" x14ac:dyDescent="0.2">
      <c r="A263" s="16"/>
      <c r="B263" s="43"/>
      <c r="C263" s="43"/>
      <c r="D263" s="16"/>
      <c r="E263" s="16"/>
      <c r="F263" s="16"/>
      <c r="G263" s="12"/>
      <c r="H263" s="12"/>
      <c r="I263" s="12"/>
      <c r="J263" s="12"/>
      <c r="K263" s="12"/>
      <c r="L263" s="12"/>
      <c r="M263" s="12"/>
      <c r="N263" s="16"/>
      <c r="O263" s="16"/>
      <c r="P263" s="12"/>
      <c r="Q263" s="12"/>
      <c r="R263" s="41"/>
      <c r="S263" s="41"/>
      <c r="T263" s="41"/>
      <c r="U263" s="41"/>
      <c r="V263" s="41"/>
      <c r="W263" s="41"/>
      <c r="X263" s="41"/>
      <c r="Y263" s="41"/>
      <c r="Z263" s="41"/>
    </row>
    <row r="264" spans="1:26" ht="15.75" customHeight="1" x14ac:dyDescent="0.2">
      <c r="A264" s="16"/>
      <c r="B264" s="43"/>
      <c r="C264" s="43"/>
      <c r="D264" s="16"/>
      <c r="E264" s="16"/>
      <c r="F264" s="16"/>
      <c r="G264" s="12"/>
      <c r="H264" s="12"/>
      <c r="I264" s="12"/>
      <c r="J264" s="12"/>
      <c r="K264" s="12"/>
      <c r="L264" s="12"/>
      <c r="M264" s="12"/>
      <c r="N264" s="16"/>
      <c r="O264" s="16"/>
      <c r="P264" s="12"/>
      <c r="Q264" s="12"/>
      <c r="R264" s="41"/>
      <c r="S264" s="41"/>
      <c r="T264" s="41"/>
      <c r="U264" s="41"/>
      <c r="V264" s="41"/>
      <c r="W264" s="41"/>
      <c r="X264" s="41"/>
      <c r="Y264" s="41"/>
      <c r="Z264" s="41"/>
    </row>
    <row r="265" spans="1:26" ht="15.75" customHeight="1" x14ac:dyDescent="0.2">
      <c r="A265" s="16"/>
      <c r="B265" s="43"/>
      <c r="C265" s="43"/>
      <c r="D265" s="16"/>
      <c r="E265" s="16"/>
      <c r="F265" s="16"/>
      <c r="G265" s="12"/>
      <c r="H265" s="12"/>
      <c r="I265" s="12"/>
      <c r="J265" s="12"/>
      <c r="K265" s="12"/>
      <c r="L265" s="12"/>
      <c r="M265" s="12"/>
      <c r="N265" s="16"/>
      <c r="O265" s="16"/>
      <c r="P265" s="12"/>
      <c r="Q265" s="12"/>
      <c r="R265" s="41"/>
      <c r="S265" s="41"/>
      <c r="T265" s="41"/>
      <c r="U265" s="41"/>
      <c r="V265" s="41"/>
      <c r="W265" s="41"/>
      <c r="X265" s="41"/>
      <c r="Y265" s="41"/>
      <c r="Z265" s="41"/>
    </row>
    <row r="266" spans="1:26" ht="15.75" customHeight="1" x14ac:dyDescent="0.2">
      <c r="A266" s="16"/>
      <c r="B266" s="43"/>
      <c r="C266" s="43"/>
      <c r="D266" s="16"/>
      <c r="E266" s="16"/>
      <c r="F266" s="16"/>
      <c r="G266" s="12"/>
      <c r="H266" s="12"/>
      <c r="I266" s="12"/>
      <c r="J266" s="12"/>
      <c r="K266" s="12"/>
      <c r="L266" s="12"/>
      <c r="M266" s="12"/>
      <c r="N266" s="16"/>
      <c r="O266" s="16"/>
      <c r="P266" s="12"/>
      <c r="Q266" s="12"/>
      <c r="R266" s="41"/>
      <c r="S266" s="41"/>
      <c r="T266" s="41"/>
      <c r="U266" s="41"/>
      <c r="V266" s="41"/>
      <c r="W266" s="41"/>
      <c r="X266" s="41"/>
      <c r="Y266" s="41"/>
      <c r="Z266" s="41"/>
    </row>
    <row r="267" spans="1:26" ht="15.75" customHeight="1" x14ac:dyDescent="0.2">
      <c r="A267" s="16"/>
      <c r="B267" s="43"/>
      <c r="C267" s="43"/>
      <c r="D267" s="16"/>
      <c r="E267" s="16"/>
      <c r="F267" s="16"/>
      <c r="G267" s="12"/>
      <c r="H267" s="12"/>
      <c r="I267" s="12"/>
      <c r="J267" s="12"/>
      <c r="K267" s="12"/>
      <c r="L267" s="12"/>
      <c r="M267" s="12"/>
      <c r="N267" s="16"/>
      <c r="O267" s="16"/>
      <c r="P267" s="12"/>
      <c r="Q267" s="12"/>
      <c r="R267" s="41"/>
      <c r="S267" s="41"/>
      <c r="T267" s="41"/>
      <c r="U267" s="41"/>
      <c r="V267" s="41"/>
      <c r="W267" s="41"/>
      <c r="X267" s="41"/>
      <c r="Y267" s="41"/>
      <c r="Z267" s="41"/>
    </row>
    <row r="268" spans="1:26" ht="15.75" customHeight="1" x14ac:dyDescent="0.2">
      <c r="A268" s="16"/>
      <c r="B268" s="43"/>
      <c r="C268" s="43"/>
      <c r="D268" s="16"/>
      <c r="E268" s="16"/>
      <c r="F268" s="16"/>
      <c r="G268" s="12"/>
      <c r="H268" s="12"/>
      <c r="I268" s="12"/>
      <c r="J268" s="12"/>
      <c r="K268" s="12"/>
      <c r="L268" s="12"/>
      <c r="M268" s="12"/>
      <c r="N268" s="16"/>
      <c r="O268" s="16"/>
      <c r="P268" s="12"/>
      <c r="Q268" s="12"/>
      <c r="R268" s="41"/>
      <c r="S268" s="41"/>
      <c r="T268" s="41"/>
      <c r="U268" s="41"/>
      <c r="V268" s="41"/>
      <c r="W268" s="41"/>
      <c r="X268" s="41"/>
      <c r="Y268" s="41"/>
      <c r="Z268" s="41"/>
    </row>
    <row r="269" spans="1:26" ht="15.75" customHeight="1" x14ac:dyDescent="0.2">
      <c r="A269" s="16"/>
      <c r="B269" s="43"/>
      <c r="C269" s="43"/>
      <c r="D269" s="16"/>
      <c r="E269" s="16"/>
      <c r="F269" s="16"/>
      <c r="G269" s="12"/>
      <c r="H269" s="12"/>
      <c r="I269" s="12"/>
      <c r="J269" s="12"/>
      <c r="K269" s="12"/>
      <c r="L269" s="12"/>
      <c r="M269" s="12"/>
      <c r="N269" s="16"/>
      <c r="O269" s="16"/>
      <c r="P269" s="12"/>
      <c r="Q269" s="12"/>
      <c r="R269" s="41"/>
      <c r="S269" s="41"/>
      <c r="T269" s="41"/>
      <c r="U269" s="41"/>
      <c r="V269" s="41"/>
      <c r="W269" s="41"/>
      <c r="X269" s="41"/>
      <c r="Y269" s="41"/>
      <c r="Z269" s="41"/>
    </row>
    <row r="270" spans="1:26" ht="15.75" customHeight="1" x14ac:dyDescent="0.2">
      <c r="A270" s="16"/>
      <c r="B270" s="43"/>
      <c r="C270" s="43"/>
      <c r="D270" s="16"/>
      <c r="E270" s="16"/>
      <c r="F270" s="16"/>
      <c r="G270" s="12"/>
      <c r="H270" s="12"/>
      <c r="I270" s="12"/>
      <c r="J270" s="12"/>
      <c r="K270" s="12"/>
      <c r="L270" s="12"/>
      <c r="M270" s="12"/>
      <c r="N270" s="16"/>
      <c r="O270" s="16"/>
      <c r="P270" s="12"/>
      <c r="Q270" s="12"/>
      <c r="R270" s="41"/>
      <c r="S270" s="41"/>
      <c r="T270" s="41"/>
      <c r="U270" s="41"/>
      <c r="V270" s="41"/>
      <c r="W270" s="41"/>
      <c r="X270" s="41"/>
      <c r="Y270" s="41"/>
      <c r="Z270" s="41"/>
    </row>
    <row r="271" spans="1:26" ht="15.75" customHeight="1" x14ac:dyDescent="0.2">
      <c r="A271" s="16"/>
      <c r="B271" s="43"/>
      <c r="C271" s="43"/>
      <c r="D271" s="16"/>
      <c r="E271" s="16"/>
      <c r="F271" s="16"/>
      <c r="G271" s="12"/>
      <c r="H271" s="12"/>
      <c r="I271" s="12"/>
      <c r="J271" s="12"/>
      <c r="K271" s="12"/>
      <c r="L271" s="12"/>
      <c r="M271" s="12"/>
      <c r="N271" s="16"/>
      <c r="O271" s="16"/>
      <c r="P271" s="12"/>
      <c r="Q271" s="12"/>
      <c r="R271" s="41"/>
      <c r="S271" s="41"/>
      <c r="T271" s="41"/>
      <c r="U271" s="41"/>
      <c r="V271" s="41"/>
      <c r="W271" s="41"/>
      <c r="X271" s="41"/>
      <c r="Y271" s="41"/>
      <c r="Z271" s="41"/>
    </row>
    <row r="272" spans="1:26" ht="15.75" customHeight="1" x14ac:dyDescent="0.2">
      <c r="A272" s="16"/>
      <c r="B272" s="43"/>
      <c r="C272" s="43"/>
      <c r="D272" s="16"/>
      <c r="E272" s="16"/>
      <c r="F272" s="16"/>
      <c r="G272" s="12"/>
      <c r="H272" s="12"/>
      <c r="I272" s="12"/>
      <c r="J272" s="12"/>
      <c r="K272" s="12"/>
      <c r="L272" s="12"/>
      <c r="M272" s="12"/>
      <c r="N272" s="16"/>
      <c r="O272" s="16"/>
      <c r="P272" s="12"/>
      <c r="Q272" s="12"/>
      <c r="R272" s="41"/>
      <c r="S272" s="41"/>
      <c r="T272" s="41"/>
      <c r="U272" s="41"/>
      <c r="V272" s="41"/>
      <c r="W272" s="41"/>
      <c r="X272" s="41"/>
      <c r="Y272" s="41"/>
      <c r="Z272" s="41"/>
    </row>
    <row r="273" spans="1:26" ht="15.75" customHeight="1" x14ac:dyDescent="0.2">
      <c r="A273" s="16"/>
      <c r="B273" s="43"/>
      <c r="C273" s="43"/>
      <c r="D273" s="16"/>
      <c r="E273" s="16"/>
      <c r="F273" s="16"/>
      <c r="G273" s="12"/>
      <c r="H273" s="12"/>
      <c r="I273" s="12"/>
      <c r="J273" s="12"/>
      <c r="K273" s="12"/>
      <c r="L273" s="12"/>
      <c r="M273" s="12"/>
      <c r="N273" s="16"/>
      <c r="O273" s="16"/>
      <c r="P273" s="12"/>
      <c r="Q273" s="12"/>
      <c r="R273" s="41"/>
      <c r="S273" s="41"/>
      <c r="T273" s="41"/>
      <c r="U273" s="41"/>
      <c r="V273" s="41"/>
      <c r="W273" s="41"/>
      <c r="X273" s="41"/>
      <c r="Y273" s="41"/>
      <c r="Z273" s="41"/>
    </row>
    <row r="274" spans="1:26" ht="15.75" customHeight="1" x14ac:dyDescent="0.2">
      <c r="A274" s="16"/>
      <c r="B274" s="43"/>
      <c r="C274" s="43"/>
      <c r="D274" s="16"/>
      <c r="E274" s="16"/>
      <c r="F274" s="16"/>
      <c r="G274" s="12"/>
      <c r="H274" s="12"/>
      <c r="I274" s="12"/>
      <c r="J274" s="12"/>
      <c r="K274" s="12"/>
      <c r="L274" s="12"/>
      <c r="M274" s="12"/>
      <c r="N274" s="16"/>
      <c r="O274" s="16"/>
      <c r="P274" s="12"/>
      <c r="Q274" s="12"/>
      <c r="R274" s="41"/>
      <c r="S274" s="41"/>
      <c r="T274" s="41"/>
      <c r="U274" s="41"/>
      <c r="V274" s="41"/>
      <c r="W274" s="41"/>
      <c r="X274" s="41"/>
      <c r="Y274" s="41"/>
      <c r="Z274" s="41"/>
    </row>
    <row r="275" spans="1:26" ht="15.75" customHeight="1" x14ac:dyDescent="0.2">
      <c r="A275" s="16"/>
      <c r="B275" s="43"/>
      <c r="C275" s="43"/>
      <c r="D275" s="16"/>
      <c r="E275" s="16"/>
      <c r="F275" s="16"/>
      <c r="G275" s="12"/>
      <c r="H275" s="12"/>
      <c r="I275" s="12"/>
      <c r="J275" s="12"/>
      <c r="K275" s="12"/>
      <c r="L275" s="12"/>
      <c r="M275" s="12"/>
      <c r="N275" s="16"/>
      <c r="O275" s="16"/>
      <c r="P275" s="12"/>
      <c r="Q275" s="12"/>
      <c r="R275" s="41"/>
      <c r="S275" s="41"/>
      <c r="T275" s="41"/>
      <c r="U275" s="41"/>
      <c r="V275" s="41"/>
      <c r="W275" s="41"/>
      <c r="X275" s="41"/>
      <c r="Y275" s="41"/>
      <c r="Z275" s="41"/>
    </row>
    <row r="276" spans="1:26" ht="15.75" customHeight="1" x14ac:dyDescent="0.2">
      <c r="A276" s="16"/>
      <c r="B276" s="43"/>
      <c r="C276" s="43"/>
      <c r="D276" s="16"/>
      <c r="E276" s="16"/>
      <c r="F276" s="16"/>
      <c r="G276" s="12"/>
      <c r="H276" s="12"/>
      <c r="I276" s="12"/>
      <c r="J276" s="12"/>
      <c r="K276" s="12"/>
      <c r="L276" s="12"/>
      <c r="M276" s="12"/>
      <c r="N276" s="16"/>
      <c r="O276" s="16"/>
      <c r="P276" s="12"/>
      <c r="Q276" s="12"/>
      <c r="R276" s="41"/>
      <c r="S276" s="41"/>
      <c r="T276" s="41"/>
      <c r="U276" s="41"/>
      <c r="V276" s="41"/>
      <c r="W276" s="41"/>
      <c r="X276" s="41"/>
      <c r="Y276" s="41"/>
      <c r="Z276" s="41"/>
    </row>
    <row r="277" spans="1:26" ht="15.75" customHeight="1" x14ac:dyDescent="0.2">
      <c r="A277" s="16"/>
      <c r="B277" s="43"/>
      <c r="C277" s="43"/>
      <c r="D277" s="16"/>
      <c r="E277" s="16"/>
      <c r="F277" s="16"/>
      <c r="G277" s="12"/>
      <c r="H277" s="12"/>
      <c r="I277" s="12"/>
      <c r="J277" s="12"/>
      <c r="K277" s="12"/>
      <c r="L277" s="12"/>
      <c r="M277" s="12"/>
      <c r="N277" s="16"/>
      <c r="O277" s="16"/>
      <c r="P277" s="12"/>
      <c r="Q277" s="12"/>
      <c r="R277" s="41"/>
      <c r="S277" s="41"/>
      <c r="T277" s="41"/>
      <c r="U277" s="41"/>
      <c r="V277" s="41"/>
      <c r="W277" s="41"/>
      <c r="X277" s="41"/>
      <c r="Y277" s="41"/>
      <c r="Z277" s="41"/>
    </row>
    <row r="278" spans="1:26" ht="15.75" customHeight="1" x14ac:dyDescent="0.2">
      <c r="A278" s="16"/>
      <c r="B278" s="43"/>
      <c r="C278" s="43"/>
      <c r="D278" s="16"/>
      <c r="E278" s="16"/>
      <c r="F278" s="16"/>
      <c r="G278" s="12"/>
      <c r="H278" s="12"/>
      <c r="I278" s="12"/>
      <c r="J278" s="12"/>
      <c r="K278" s="12"/>
      <c r="L278" s="12"/>
      <c r="M278" s="12"/>
      <c r="N278" s="16"/>
      <c r="O278" s="16"/>
      <c r="P278" s="12"/>
      <c r="Q278" s="12"/>
      <c r="R278" s="41"/>
      <c r="S278" s="41"/>
      <c r="T278" s="41"/>
      <c r="U278" s="41"/>
      <c r="V278" s="41"/>
      <c r="W278" s="41"/>
      <c r="X278" s="41"/>
      <c r="Y278" s="41"/>
      <c r="Z278" s="41"/>
    </row>
    <row r="279" spans="1:26" ht="15.75" customHeight="1" x14ac:dyDescent="0.2">
      <c r="A279" s="16"/>
      <c r="B279" s="43"/>
      <c r="C279" s="43"/>
      <c r="D279" s="16"/>
      <c r="E279" s="16"/>
      <c r="F279" s="16"/>
      <c r="G279" s="12"/>
      <c r="H279" s="12"/>
      <c r="I279" s="12"/>
      <c r="J279" s="12"/>
      <c r="K279" s="12"/>
      <c r="L279" s="12"/>
      <c r="M279" s="12"/>
      <c r="N279" s="16"/>
      <c r="O279" s="16"/>
      <c r="P279" s="12"/>
      <c r="Q279" s="12"/>
      <c r="R279" s="41"/>
      <c r="S279" s="41"/>
      <c r="T279" s="41"/>
      <c r="U279" s="41"/>
      <c r="V279" s="41"/>
      <c r="W279" s="41"/>
      <c r="X279" s="41"/>
      <c r="Y279" s="41"/>
      <c r="Z279" s="41"/>
    </row>
    <row r="280" spans="1:26" ht="15.75" customHeight="1" x14ac:dyDescent="0.2">
      <c r="A280" s="16"/>
      <c r="B280" s="43"/>
      <c r="C280" s="43"/>
      <c r="D280" s="16"/>
      <c r="E280" s="16"/>
      <c r="F280" s="16"/>
      <c r="G280" s="12"/>
      <c r="H280" s="12"/>
      <c r="I280" s="12"/>
      <c r="J280" s="12"/>
      <c r="K280" s="12"/>
      <c r="L280" s="12"/>
      <c r="M280" s="12"/>
      <c r="N280" s="16"/>
      <c r="O280" s="16"/>
      <c r="P280" s="12"/>
      <c r="Q280" s="12"/>
      <c r="R280" s="41"/>
      <c r="S280" s="41"/>
      <c r="T280" s="41"/>
      <c r="U280" s="41"/>
      <c r="V280" s="41"/>
      <c r="W280" s="41"/>
      <c r="X280" s="41"/>
      <c r="Y280" s="41"/>
      <c r="Z280" s="41"/>
    </row>
    <row r="281" spans="1:26" ht="15.75" customHeight="1" x14ac:dyDescent="0.2">
      <c r="A281" s="16"/>
      <c r="B281" s="43"/>
      <c r="C281" s="43"/>
      <c r="D281" s="16"/>
      <c r="E281" s="16"/>
      <c r="F281" s="16"/>
      <c r="G281" s="12"/>
      <c r="H281" s="12"/>
      <c r="I281" s="12"/>
      <c r="J281" s="12"/>
      <c r="K281" s="12"/>
      <c r="L281" s="12"/>
      <c r="M281" s="12"/>
      <c r="N281" s="16"/>
      <c r="O281" s="16"/>
      <c r="P281" s="12"/>
      <c r="Q281" s="12"/>
      <c r="R281" s="41"/>
      <c r="S281" s="41"/>
      <c r="T281" s="41"/>
      <c r="U281" s="41"/>
      <c r="V281" s="41"/>
      <c r="W281" s="41"/>
      <c r="X281" s="41"/>
      <c r="Y281" s="41"/>
      <c r="Z281" s="41"/>
    </row>
    <row r="282" spans="1:26" ht="15.75" customHeight="1" x14ac:dyDescent="0.2">
      <c r="A282" s="16"/>
      <c r="B282" s="43"/>
      <c r="C282" s="43"/>
      <c r="D282" s="16"/>
      <c r="E282" s="16"/>
      <c r="F282" s="16"/>
      <c r="G282" s="12"/>
      <c r="H282" s="12"/>
      <c r="I282" s="12"/>
      <c r="J282" s="12"/>
      <c r="K282" s="12"/>
      <c r="L282" s="12"/>
      <c r="M282" s="12"/>
      <c r="N282" s="16"/>
      <c r="O282" s="16"/>
      <c r="P282" s="12"/>
      <c r="Q282" s="12"/>
      <c r="R282" s="41"/>
      <c r="S282" s="41"/>
      <c r="T282" s="41"/>
      <c r="U282" s="41"/>
      <c r="V282" s="41"/>
      <c r="W282" s="41"/>
      <c r="X282" s="41"/>
      <c r="Y282" s="41"/>
      <c r="Z282" s="41"/>
    </row>
    <row r="283" spans="1:26" ht="15.75" customHeight="1" x14ac:dyDescent="0.2">
      <c r="A283" s="16"/>
      <c r="B283" s="43"/>
      <c r="C283" s="43"/>
      <c r="D283" s="16"/>
      <c r="E283" s="16"/>
      <c r="F283" s="16"/>
      <c r="G283" s="12"/>
      <c r="H283" s="12"/>
      <c r="I283" s="12"/>
      <c r="J283" s="12"/>
      <c r="K283" s="12"/>
      <c r="L283" s="12"/>
      <c r="M283" s="12"/>
      <c r="N283" s="16"/>
      <c r="O283" s="16"/>
      <c r="P283" s="12"/>
      <c r="Q283" s="12"/>
      <c r="R283" s="41"/>
      <c r="S283" s="41"/>
      <c r="T283" s="41"/>
      <c r="U283" s="41"/>
      <c r="V283" s="41"/>
      <c r="W283" s="41"/>
      <c r="X283" s="41"/>
      <c r="Y283" s="41"/>
      <c r="Z283" s="41"/>
    </row>
    <row r="284" spans="1:26" ht="15.75" customHeight="1" x14ac:dyDescent="0.2">
      <c r="A284" s="16"/>
      <c r="B284" s="43"/>
      <c r="C284" s="43"/>
      <c r="D284" s="16"/>
      <c r="E284" s="16"/>
      <c r="F284" s="16"/>
      <c r="G284" s="12"/>
      <c r="H284" s="12"/>
      <c r="I284" s="12"/>
      <c r="J284" s="12"/>
      <c r="K284" s="12"/>
      <c r="L284" s="12"/>
      <c r="M284" s="12"/>
      <c r="N284" s="16"/>
      <c r="O284" s="16"/>
      <c r="P284" s="12"/>
      <c r="Q284" s="12"/>
      <c r="R284" s="41"/>
      <c r="S284" s="41"/>
      <c r="T284" s="41"/>
      <c r="U284" s="41"/>
      <c r="V284" s="41"/>
      <c r="W284" s="41"/>
      <c r="X284" s="41"/>
      <c r="Y284" s="41"/>
      <c r="Z284" s="41"/>
    </row>
    <row r="285" spans="1:26" ht="15.75" customHeight="1" x14ac:dyDescent="0.2">
      <c r="A285" s="16"/>
      <c r="B285" s="43"/>
      <c r="C285" s="43"/>
      <c r="D285" s="16"/>
      <c r="E285" s="16"/>
      <c r="F285" s="16"/>
      <c r="G285" s="12"/>
      <c r="H285" s="12"/>
      <c r="I285" s="12"/>
      <c r="J285" s="12"/>
      <c r="K285" s="12"/>
      <c r="L285" s="12"/>
      <c r="M285" s="12"/>
      <c r="N285" s="16"/>
      <c r="O285" s="16"/>
      <c r="P285" s="12"/>
      <c r="Q285" s="12"/>
      <c r="R285" s="41"/>
      <c r="S285" s="41"/>
      <c r="T285" s="41"/>
      <c r="U285" s="41"/>
      <c r="V285" s="41"/>
      <c r="W285" s="41"/>
      <c r="X285" s="41"/>
      <c r="Y285" s="41"/>
      <c r="Z285" s="41"/>
    </row>
    <row r="286" spans="1:26" ht="15.75" customHeight="1" x14ac:dyDescent="0.2">
      <c r="A286" s="16"/>
      <c r="B286" s="43"/>
      <c r="C286" s="43"/>
      <c r="D286" s="16"/>
      <c r="E286" s="16"/>
      <c r="F286" s="16"/>
      <c r="G286" s="12"/>
      <c r="H286" s="12"/>
      <c r="I286" s="12"/>
      <c r="J286" s="12"/>
      <c r="K286" s="12"/>
      <c r="L286" s="12"/>
      <c r="M286" s="12"/>
      <c r="N286" s="16"/>
      <c r="O286" s="16"/>
      <c r="P286" s="12"/>
      <c r="Q286" s="12"/>
      <c r="R286" s="41"/>
      <c r="S286" s="41"/>
      <c r="T286" s="41"/>
      <c r="U286" s="41"/>
      <c r="V286" s="41"/>
      <c r="W286" s="41"/>
      <c r="X286" s="41"/>
      <c r="Y286" s="41"/>
      <c r="Z286" s="41"/>
    </row>
    <row r="287" spans="1:26" ht="15.75" customHeight="1" x14ac:dyDescent="0.2">
      <c r="A287" s="16"/>
      <c r="B287" s="43"/>
      <c r="C287" s="43"/>
      <c r="D287" s="16"/>
      <c r="E287" s="16"/>
      <c r="F287" s="16"/>
      <c r="G287" s="12"/>
      <c r="H287" s="12"/>
      <c r="I287" s="12"/>
      <c r="J287" s="12"/>
      <c r="K287" s="12"/>
      <c r="L287" s="12"/>
      <c r="M287" s="12"/>
      <c r="N287" s="16"/>
      <c r="O287" s="16"/>
      <c r="P287" s="12"/>
      <c r="Q287" s="12"/>
      <c r="R287" s="41"/>
      <c r="S287" s="41"/>
      <c r="T287" s="41"/>
      <c r="U287" s="41"/>
      <c r="V287" s="41"/>
      <c r="W287" s="41"/>
      <c r="X287" s="41"/>
      <c r="Y287" s="41"/>
      <c r="Z287" s="41"/>
    </row>
    <row r="288" spans="1:26" ht="15.75" customHeight="1" x14ac:dyDescent="0.2">
      <c r="A288" s="16"/>
      <c r="B288" s="43"/>
      <c r="C288" s="43"/>
      <c r="D288" s="16"/>
      <c r="E288" s="16"/>
      <c r="F288" s="16"/>
      <c r="G288" s="12"/>
      <c r="H288" s="12"/>
      <c r="I288" s="12"/>
      <c r="J288" s="12"/>
      <c r="K288" s="12"/>
      <c r="L288" s="12"/>
      <c r="M288" s="12"/>
      <c r="N288" s="16"/>
      <c r="O288" s="16"/>
      <c r="P288" s="12"/>
      <c r="Q288" s="12"/>
      <c r="R288" s="41"/>
      <c r="S288" s="41"/>
      <c r="T288" s="41"/>
      <c r="U288" s="41"/>
      <c r="V288" s="41"/>
      <c r="W288" s="41"/>
      <c r="X288" s="41"/>
      <c r="Y288" s="41"/>
      <c r="Z288" s="41"/>
    </row>
    <row r="289" spans="1:26" ht="15.75" customHeight="1" x14ac:dyDescent="0.2">
      <c r="A289" s="16"/>
      <c r="B289" s="43"/>
      <c r="C289" s="43"/>
      <c r="D289" s="16"/>
      <c r="E289" s="16"/>
      <c r="F289" s="16"/>
      <c r="G289" s="12"/>
      <c r="H289" s="12"/>
      <c r="I289" s="12"/>
      <c r="J289" s="12"/>
      <c r="K289" s="12"/>
      <c r="L289" s="12"/>
      <c r="M289" s="12"/>
      <c r="N289" s="16"/>
      <c r="O289" s="16"/>
      <c r="P289" s="12"/>
      <c r="Q289" s="12"/>
      <c r="R289" s="41"/>
      <c r="S289" s="41"/>
      <c r="T289" s="41"/>
      <c r="U289" s="41"/>
      <c r="V289" s="41"/>
      <c r="W289" s="41"/>
      <c r="X289" s="41"/>
      <c r="Y289" s="41"/>
      <c r="Z289" s="41"/>
    </row>
    <row r="290" spans="1:26" ht="15.75" customHeight="1" x14ac:dyDescent="0.2">
      <c r="A290" s="16"/>
      <c r="B290" s="43"/>
      <c r="C290" s="43"/>
      <c r="D290" s="16"/>
      <c r="E290" s="16"/>
      <c r="F290" s="16"/>
      <c r="G290" s="12"/>
      <c r="H290" s="12"/>
      <c r="I290" s="12"/>
      <c r="J290" s="12"/>
      <c r="K290" s="12"/>
      <c r="L290" s="12"/>
      <c r="M290" s="12"/>
      <c r="N290" s="16"/>
      <c r="O290" s="16"/>
      <c r="P290" s="12"/>
      <c r="Q290" s="12"/>
      <c r="R290" s="41"/>
      <c r="S290" s="41"/>
      <c r="T290" s="41"/>
      <c r="U290" s="41"/>
      <c r="V290" s="41"/>
      <c r="W290" s="41"/>
      <c r="X290" s="41"/>
      <c r="Y290" s="41"/>
      <c r="Z290" s="41"/>
    </row>
    <row r="291" spans="1:26" ht="15.75" customHeight="1" x14ac:dyDescent="0.2">
      <c r="A291" s="16"/>
      <c r="B291" s="43"/>
      <c r="C291" s="43"/>
      <c r="D291" s="16"/>
      <c r="E291" s="16"/>
      <c r="F291" s="16"/>
      <c r="G291" s="12"/>
      <c r="H291" s="12"/>
      <c r="I291" s="12"/>
      <c r="J291" s="12"/>
      <c r="K291" s="12"/>
      <c r="L291" s="12"/>
      <c r="M291" s="12"/>
      <c r="N291" s="16"/>
      <c r="O291" s="16"/>
      <c r="P291" s="12"/>
      <c r="Q291" s="12"/>
      <c r="R291" s="41"/>
      <c r="S291" s="41"/>
      <c r="T291" s="41"/>
      <c r="U291" s="41"/>
      <c r="V291" s="41"/>
      <c r="W291" s="41"/>
      <c r="X291" s="41"/>
      <c r="Y291" s="41"/>
      <c r="Z291" s="41"/>
    </row>
    <row r="292" spans="1:26" ht="15.75" customHeight="1" x14ac:dyDescent="0.2">
      <c r="A292" s="16"/>
      <c r="B292" s="43"/>
      <c r="C292" s="43"/>
      <c r="D292" s="16"/>
      <c r="E292" s="16"/>
      <c r="F292" s="16"/>
      <c r="G292" s="12"/>
      <c r="H292" s="12"/>
      <c r="I292" s="12"/>
      <c r="J292" s="12"/>
      <c r="K292" s="12"/>
      <c r="L292" s="12"/>
      <c r="M292" s="12"/>
      <c r="N292" s="16"/>
      <c r="O292" s="16"/>
      <c r="P292" s="12"/>
      <c r="Q292" s="12"/>
      <c r="R292" s="41"/>
      <c r="S292" s="41"/>
      <c r="T292" s="41"/>
      <c r="U292" s="41"/>
      <c r="V292" s="41"/>
      <c r="W292" s="41"/>
      <c r="X292" s="41"/>
      <c r="Y292" s="41"/>
      <c r="Z292" s="41"/>
    </row>
    <row r="293" spans="1:26" ht="15.75" customHeight="1" x14ac:dyDescent="0.2">
      <c r="A293" s="16"/>
      <c r="B293" s="43"/>
      <c r="C293" s="43"/>
      <c r="D293" s="16"/>
      <c r="E293" s="16"/>
      <c r="F293" s="16"/>
      <c r="G293" s="12"/>
      <c r="H293" s="12"/>
      <c r="I293" s="12"/>
      <c r="J293" s="12"/>
      <c r="K293" s="12"/>
      <c r="L293" s="12"/>
      <c r="M293" s="12"/>
      <c r="N293" s="16"/>
      <c r="O293" s="16"/>
      <c r="P293" s="12"/>
      <c r="Q293" s="12"/>
      <c r="R293" s="41"/>
      <c r="S293" s="41"/>
      <c r="T293" s="41"/>
      <c r="U293" s="41"/>
      <c r="V293" s="41"/>
      <c r="W293" s="41"/>
      <c r="X293" s="41"/>
      <c r="Y293" s="41"/>
      <c r="Z293" s="41"/>
    </row>
    <row r="294" spans="1:26" ht="15.75" customHeight="1" x14ac:dyDescent="0.2">
      <c r="A294" s="16"/>
      <c r="B294" s="43"/>
      <c r="C294" s="43"/>
      <c r="D294" s="16"/>
      <c r="E294" s="16"/>
      <c r="F294" s="16"/>
      <c r="G294" s="12"/>
      <c r="H294" s="12"/>
      <c r="I294" s="12"/>
      <c r="J294" s="12"/>
      <c r="K294" s="12"/>
      <c r="L294" s="12"/>
      <c r="M294" s="12"/>
      <c r="N294" s="16"/>
      <c r="O294" s="16"/>
      <c r="P294" s="12"/>
      <c r="Q294" s="12"/>
      <c r="R294" s="41"/>
      <c r="S294" s="41"/>
      <c r="T294" s="41"/>
      <c r="U294" s="41"/>
      <c r="V294" s="41"/>
      <c r="W294" s="41"/>
      <c r="X294" s="41"/>
      <c r="Y294" s="41"/>
      <c r="Z294" s="41"/>
    </row>
    <row r="295" spans="1:26" ht="15.75" customHeight="1" x14ac:dyDescent="0.2">
      <c r="A295" s="16"/>
      <c r="B295" s="43"/>
      <c r="C295" s="43"/>
      <c r="D295" s="16"/>
      <c r="E295" s="16"/>
      <c r="F295" s="16"/>
      <c r="G295" s="12"/>
      <c r="H295" s="12"/>
      <c r="I295" s="12"/>
      <c r="J295" s="12"/>
      <c r="K295" s="12"/>
      <c r="L295" s="12"/>
      <c r="M295" s="12"/>
      <c r="N295" s="16"/>
      <c r="O295" s="16"/>
      <c r="P295" s="12"/>
      <c r="Q295" s="12"/>
      <c r="R295" s="41"/>
      <c r="S295" s="41"/>
      <c r="T295" s="41"/>
      <c r="U295" s="41"/>
      <c r="V295" s="41"/>
      <c r="W295" s="41"/>
      <c r="X295" s="41"/>
      <c r="Y295" s="41"/>
      <c r="Z295" s="41"/>
    </row>
    <row r="296" spans="1:26" ht="15.75" customHeight="1" x14ac:dyDescent="0.2">
      <c r="A296" s="16"/>
      <c r="B296" s="43"/>
      <c r="C296" s="43"/>
      <c r="D296" s="16"/>
      <c r="E296" s="16"/>
      <c r="F296" s="16"/>
      <c r="G296" s="12"/>
      <c r="H296" s="12"/>
      <c r="I296" s="12"/>
      <c r="J296" s="12"/>
      <c r="K296" s="12"/>
      <c r="L296" s="12"/>
      <c r="M296" s="12"/>
      <c r="N296" s="16"/>
      <c r="O296" s="16"/>
      <c r="P296" s="12"/>
      <c r="Q296" s="12"/>
      <c r="R296" s="41"/>
      <c r="S296" s="41"/>
      <c r="T296" s="41"/>
      <c r="U296" s="41"/>
      <c r="V296" s="41"/>
      <c r="W296" s="41"/>
      <c r="X296" s="41"/>
      <c r="Y296" s="41"/>
      <c r="Z296" s="41"/>
    </row>
    <row r="297" spans="1:26" ht="15.75" customHeight="1" x14ac:dyDescent="0.2">
      <c r="A297" s="16"/>
      <c r="B297" s="43"/>
      <c r="C297" s="43"/>
      <c r="D297" s="16"/>
      <c r="E297" s="16"/>
      <c r="F297" s="16"/>
      <c r="G297" s="12"/>
      <c r="H297" s="12"/>
      <c r="I297" s="12"/>
      <c r="J297" s="12"/>
      <c r="K297" s="12"/>
      <c r="L297" s="12"/>
      <c r="M297" s="12"/>
      <c r="N297" s="16"/>
      <c r="O297" s="16"/>
      <c r="P297" s="12"/>
      <c r="Q297" s="12"/>
      <c r="R297" s="41"/>
      <c r="S297" s="41"/>
      <c r="T297" s="41"/>
      <c r="U297" s="41"/>
      <c r="V297" s="41"/>
      <c r="W297" s="41"/>
      <c r="X297" s="41"/>
      <c r="Y297" s="41"/>
      <c r="Z297" s="41"/>
    </row>
    <row r="298" spans="1:26" ht="15.75" customHeight="1" x14ac:dyDescent="0.2">
      <c r="A298" s="16"/>
      <c r="B298" s="43"/>
      <c r="C298" s="43"/>
      <c r="D298" s="16"/>
      <c r="E298" s="16"/>
      <c r="F298" s="16"/>
      <c r="G298" s="12"/>
      <c r="H298" s="12"/>
      <c r="I298" s="12"/>
      <c r="J298" s="12"/>
      <c r="K298" s="12"/>
      <c r="L298" s="12"/>
      <c r="M298" s="12"/>
      <c r="N298" s="16"/>
      <c r="O298" s="16"/>
      <c r="P298" s="12"/>
      <c r="Q298" s="12"/>
      <c r="R298" s="41"/>
      <c r="S298" s="41"/>
      <c r="T298" s="41"/>
      <c r="U298" s="41"/>
      <c r="V298" s="41"/>
      <c r="W298" s="41"/>
      <c r="X298" s="41"/>
      <c r="Y298" s="41"/>
      <c r="Z298" s="41"/>
    </row>
    <row r="299" spans="1:26" ht="15.75" customHeight="1" x14ac:dyDescent="0.2">
      <c r="A299" s="16"/>
      <c r="B299" s="43"/>
      <c r="C299" s="43"/>
      <c r="D299" s="16"/>
      <c r="E299" s="16"/>
      <c r="F299" s="16"/>
      <c r="G299" s="12"/>
      <c r="H299" s="12"/>
      <c r="I299" s="12"/>
      <c r="J299" s="12"/>
      <c r="K299" s="12"/>
      <c r="L299" s="12"/>
      <c r="M299" s="12"/>
      <c r="N299" s="16"/>
      <c r="O299" s="16"/>
      <c r="P299" s="12"/>
      <c r="Q299" s="12"/>
      <c r="R299" s="41"/>
      <c r="S299" s="41"/>
      <c r="T299" s="41"/>
      <c r="U299" s="41"/>
      <c r="V299" s="41"/>
      <c r="W299" s="41"/>
      <c r="X299" s="41"/>
      <c r="Y299" s="41"/>
      <c r="Z299" s="41"/>
    </row>
    <row r="300" spans="1:26" ht="15.75" customHeight="1" x14ac:dyDescent="0.2">
      <c r="A300" s="16"/>
      <c r="B300" s="43"/>
      <c r="C300" s="43"/>
      <c r="D300" s="16"/>
      <c r="E300" s="16"/>
      <c r="F300" s="16"/>
      <c r="G300" s="12"/>
      <c r="H300" s="12"/>
      <c r="I300" s="12"/>
      <c r="J300" s="12"/>
      <c r="K300" s="12"/>
      <c r="L300" s="12"/>
      <c r="M300" s="12"/>
      <c r="N300" s="16"/>
      <c r="O300" s="16"/>
      <c r="P300" s="12"/>
      <c r="Q300" s="12"/>
      <c r="R300" s="41"/>
      <c r="S300" s="41"/>
      <c r="T300" s="41"/>
      <c r="U300" s="41"/>
      <c r="V300" s="41"/>
      <c r="W300" s="41"/>
      <c r="X300" s="41"/>
      <c r="Y300" s="41"/>
      <c r="Z300" s="41"/>
    </row>
    <row r="301" spans="1:26" ht="15.75" customHeight="1" x14ac:dyDescent="0.2">
      <c r="A301" s="16"/>
      <c r="B301" s="43"/>
      <c r="C301" s="43"/>
      <c r="D301" s="16"/>
      <c r="E301" s="16"/>
      <c r="F301" s="16"/>
      <c r="G301" s="12"/>
      <c r="H301" s="12"/>
      <c r="I301" s="12"/>
      <c r="J301" s="12"/>
      <c r="K301" s="12"/>
      <c r="L301" s="12"/>
      <c r="M301" s="12"/>
      <c r="N301" s="16"/>
      <c r="O301" s="16"/>
      <c r="P301" s="12"/>
      <c r="Q301" s="12"/>
      <c r="R301" s="41"/>
      <c r="S301" s="41"/>
      <c r="T301" s="41"/>
      <c r="U301" s="41"/>
      <c r="V301" s="41"/>
      <c r="W301" s="41"/>
      <c r="X301" s="41"/>
      <c r="Y301" s="41"/>
      <c r="Z301" s="41"/>
    </row>
    <row r="302" spans="1:26" ht="15.75" customHeight="1" x14ac:dyDescent="0.2">
      <c r="A302" s="16"/>
      <c r="B302" s="43"/>
      <c r="C302" s="43"/>
      <c r="D302" s="16"/>
      <c r="E302" s="16"/>
      <c r="F302" s="16"/>
      <c r="G302" s="12"/>
      <c r="H302" s="12"/>
      <c r="I302" s="12"/>
      <c r="J302" s="12"/>
      <c r="K302" s="12"/>
      <c r="L302" s="12"/>
      <c r="M302" s="12"/>
      <c r="N302" s="16"/>
      <c r="O302" s="16"/>
      <c r="P302" s="12"/>
      <c r="Q302" s="12"/>
      <c r="R302" s="41"/>
      <c r="S302" s="41"/>
      <c r="T302" s="41"/>
      <c r="U302" s="41"/>
      <c r="V302" s="41"/>
      <c r="W302" s="41"/>
      <c r="X302" s="41"/>
      <c r="Y302" s="41"/>
      <c r="Z302" s="41"/>
    </row>
    <row r="303" spans="1:26" ht="15.75" customHeight="1" x14ac:dyDescent="0.2">
      <c r="A303" s="16"/>
      <c r="B303" s="43"/>
      <c r="C303" s="43"/>
      <c r="D303" s="16"/>
      <c r="E303" s="16"/>
      <c r="F303" s="16"/>
      <c r="G303" s="12"/>
      <c r="H303" s="12"/>
      <c r="I303" s="12"/>
      <c r="J303" s="12"/>
      <c r="K303" s="12"/>
      <c r="L303" s="12"/>
      <c r="M303" s="12"/>
      <c r="N303" s="16"/>
      <c r="O303" s="16"/>
      <c r="P303" s="12"/>
      <c r="Q303" s="12"/>
      <c r="R303" s="41"/>
      <c r="S303" s="41"/>
      <c r="T303" s="41"/>
      <c r="U303" s="41"/>
      <c r="V303" s="41"/>
      <c r="W303" s="41"/>
      <c r="X303" s="41"/>
      <c r="Y303" s="41"/>
      <c r="Z303" s="41"/>
    </row>
    <row r="304" spans="1:26" ht="15.75" customHeight="1" x14ac:dyDescent="0.2">
      <c r="A304" s="16"/>
      <c r="B304" s="43"/>
      <c r="C304" s="43"/>
      <c r="D304" s="16"/>
      <c r="E304" s="16"/>
      <c r="F304" s="16"/>
      <c r="G304" s="12"/>
      <c r="H304" s="12"/>
      <c r="I304" s="12"/>
      <c r="J304" s="12"/>
      <c r="K304" s="12"/>
      <c r="L304" s="12"/>
      <c r="M304" s="12"/>
      <c r="N304" s="16"/>
      <c r="O304" s="16"/>
      <c r="P304" s="12"/>
      <c r="Q304" s="12"/>
      <c r="R304" s="41"/>
      <c r="S304" s="41"/>
      <c r="T304" s="41"/>
      <c r="U304" s="41"/>
      <c r="V304" s="41"/>
      <c r="W304" s="41"/>
      <c r="X304" s="41"/>
      <c r="Y304" s="41"/>
      <c r="Z304" s="41"/>
    </row>
    <row r="305" spans="1:26" ht="15.75" customHeight="1" x14ac:dyDescent="0.2">
      <c r="A305" s="16"/>
      <c r="B305" s="43"/>
      <c r="C305" s="43"/>
      <c r="D305" s="16"/>
      <c r="E305" s="16"/>
      <c r="F305" s="16"/>
      <c r="G305" s="12"/>
      <c r="H305" s="12"/>
      <c r="I305" s="12"/>
      <c r="J305" s="12"/>
      <c r="K305" s="12"/>
      <c r="L305" s="12"/>
      <c r="M305" s="12"/>
      <c r="N305" s="16"/>
      <c r="O305" s="16"/>
      <c r="P305" s="12"/>
      <c r="Q305" s="12"/>
      <c r="R305" s="41"/>
      <c r="S305" s="41"/>
      <c r="T305" s="41"/>
      <c r="U305" s="41"/>
      <c r="V305" s="41"/>
      <c r="W305" s="41"/>
      <c r="X305" s="41"/>
      <c r="Y305" s="41"/>
      <c r="Z305" s="41"/>
    </row>
    <row r="306" spans="1:26" ht="15.75"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2">
    <mergeCell ref="N8:O8"/>
    <mergeCell ref="N12:O12"/>
  </mergeCells>
  <hyperlinks>
    <hyperlink ref="A2" r:id="rId1" xr:uid="{00000000-0004-0000-1300-000000000000}"/>
    <hyperlink ref="Q3" r:id="rId2" xr:uid="{00000000-0004-0000-1300-000001000000}"/>
    <hyperlink ref="Q4" r:id="rId3" xr:uid="{00000000-0004-0000-1300-000002000000}"/>
  </hyperlinks>
  <pageMargins left="0.7" right="0.7" top="0.75" bottom="0.75" header="0" footer="0"/>
  <pageSetup orientation="landscape"/>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Z1000"/>
  <sheetViews>
    <sheetView workbookViewId="0"/>
  </sheetViews>
  <sheetFormatPr baseColWidth="10" defaultColWidth="14.5" defaultRowHeight="15" customHeight="1" x14ac:dyDescent="0.15"/>
  <cols>
    <col min="1" max="1" width="16.6640625" customWidth="1"/>
    <col min="2" max="3" width="21.5" customWidth="1"/>
    <col min="4" max="4" width="13.5" customWidth="1"/>
    <col min="5" max="6" width="14.5" customWidth="1"/>
    <col min="7" max="7" width="9.1640625" customWidth="1"/>
    <col min="8" max="8" width="35.5" customWidth="1"/>
    <col min="9" max="9" width="17.1640625" customWidth="1"/>
    <col min="10" max="10" width="4.83203125" customWidth="1"/>
    <col min="11" max="11" width="31.5" customWidth="1"/>
    <col min="12" max="12" width="17.1640625" customWidth="1"/>
    <col min="13" max="13" width="7" customWidth="1"/>
    <col min="14" max="15" width="23.6640625" customWidth="1"/>
    <col min="16" max="16" width="7" customWidth="1"/>
    <col min="17" max="17" width="154.1640625" customWidth="1"/>
  </cols>
  <sheetData>
    <row r="1" spans="1:26" ht="15.75" customHeight="1" x14ac:dyDescent="0.2">
      <c r="A1" s="38" t="s">
        <v>1008</v>
      </c>
      <c r="B1" s="39"/>
      <c r="C1" s="39"/>
      <c r="D1" s="131"/>
      <c r="E1" s="131"/>
      <c r="F1" s="3"/>
      <c r="G1" s="40"/>
      <c r="H1" s="38" t="s">
        <v>1009</v>
      </c>
      <c r="I1" s="40"/>
      <c r="J1" s="40"/>
      <c r="K1" s="40"/>
      <c r="L1" s="40"/>
      <c r="M1" s="40"/>
      <c r="N1" s="40"/>
      <c r="O1" s="40"/>
      <c r="P1" s="40"/>
      <c r="Q1" s="2"/>
      <c r="R1" s="41"/>
      <c r="S1" s="41"/>
      <c r="T1" s="41"/>
      <c r="U1" s="41"/>
      <c r="V1" s="41"/>
      <c r="W1" s="41"/>
      <c r="X1" s="41"/>
      <c r="Y1" s="41"/>
      <c r="Z1" s="41"/>
    </row>
    <row r="2" spans="1:26" ht="28.5" customHeight="1" x14ac:dyDescent="0.2">
      <c r="A2" s="42" t="s">
        <v>1010</v>
      </c>
      <c r="B2" s="43"/>
      <c r="C2" s="43"/>
      <c r="D2" s="15"/>
      <c r="E2" s="15"/>
      <c r="F2" s="16"/>
      <c r="G2" s="12"/>
      <c r="H2" s="44" t="s">
        <v>73</v>
      </c>
      <c r="I2" s="154"/>
      <c r="J2" s="12"/>
      <c r="K2" s="44" t="s">
        <v>413</v>
      </c>
      <c r="L2" s="154"/>
      <c r="M2" s="12"/>
      <c r="N2" s="173" t="s">
        <v>1011</v>
      </c>
      <c r="O2" s="173"/>
      <c r="P2" s="12"/>
      <c r="Q2" s="44" t="s">
        <v>76</v>
      </c>
      <c r="R2" s="41"/>
      <c r="S2" s="41"/>
      <c r="T2" s="41"/>
      <c r="U2" s="41"/>
      <c r="V2" s="41"/>
      <c r="W2" s="41"/>
      <c r="X2" s="41"/>
      <c r="Y2" s="41"/>
      <c r="Z2" s="41"/>
    </row>
    <row r="3" spans="1:26" ht="28.5" customHeight="1" x14ac:dyDescent="0.2">
      <c r="A3" s="7" t="s">
        <v>18</v>
      </c>
      <c r="B3" s="7" t="s">
        <v>77</v>
      </c>
      <c r="C3" s="7" t="s">
        <v>78</v>
      </c>
      <c r="D3" s="132" t="s">
        <v>79</v>
      </c>
      <c r="E3" s="132" t="s">
        <v>80</v>
      </c>
      <c r="F3" s="48" t="s">
        <v>81</v>
      </c>
      <c r="G3" s="12"/>
      <c r="H3" s="49" t="s">
        <v>82</v>
      </c>
      <c r="I3" s="85" t="s">
        <v>366</v>
      </c>
      <c r="J3" s="12"/>
      <c r="K3" s="49" t="s">
        <v>351</v>
      </c>
      <c r="L3" s="85" t="s">
        <v>1012</v>
      </c>
      <c r="M3" s="12"/>
      <c r="N3" s="155" t="s">
        <v>800</v>
      </c>
      <c r="O3" s="161" t="s">
        <v>746</v>
      </c>
      <c r="P3" s="12"/>
      <c r="Q3" s="174" t="s">
        <v>1013</v>
      </c>
      <c r="R3" s="41"/>
      <c r="S3" s="41"/>
      <c r="T3" s="41"/>
      <c r="U3" s="41"/>
      <c r="V3" s="41"/>
      <c r="W3" s="41"/>
      <c r="X3" s="41"/>
      <c r="Y3" s="41"/>
      <c r="Z3" s="41"/>
    </row>
    <row r="4" spans="1:26" ht="28.5" customHeight="1" x14ac:dyDescent="0.2">
      <c r="A4" s="16">
        <v>0</v>
      </c>
      <c r="B4" s="43" t="s">
        <v>1014</v>
      </c>
      <c r="C4" s="175" t="s">
        <v>1015</v>
      </c>
      <c r="D4" s="15">
        <f>3*L6</f>
        <v>2.9699999999999998</v>
      </c>
      <c r="E4" s="15">
        <f>L81</f>
        <v>9.5047619047619047</v>
      </c>
      <c r="F4" s="15">
        <f t="shared" ref="F4:F84" si="0">IFERROR(D4+E4,"error")</f>
        <v>12.474761904761905</v>
      </c>
      <c r="G4" s="12"/>
      <c r="H4" s="52" t="s">
        <v>91</v>
      </c>
      <c r="I4" s="77">
        <v>1050</v>
      </c>
      <c r="J4" s="12"/>
      <c r="K4" s="52" t="s">
        <v>92</v>
      </c>
      <c r="L4" s="77">
        <v>1</v>
      </c>
      <c r="M4" s="12"/>
      <c r="N4" s="43" t="s">
        <v>1016</v>
      </c>
      <c r="O4" s="176">
        <f>10000*I16</f>
        <v>8.7126984126984137E-4</v>
      </c>
      <c r="P4" s="12"/>
      <c r="Q4" s="177" t="s">
        <v>1017</v>
      </c>
      <c r="R4" s="41"/>
      <c r="S4" s="41"/>
      <c r="T4" s="41"/>
      <c r="U4" s="41"/>
      <c r="V4" s="41"/>
      <c r="W4" s="41"/>
      <c r="X4" s="41"/>
      <c r="Y4" s="41"/>
      <c r="Z4" s="41"/>
    </row>
    <row r="5" spans="1:26" ht="28.5" customHeight="1" x14ac:dyDescent="0.2">
      <c r="A5" s="16">
        <v>1</v>
      </c>
      <c r="B5" s="175" t="s">
        <v>1018</v>
      </c>
      <c r="C5" s="43" t="s">
        <v>1019</v>
      </c>
      <c r="D5" s="147">
        <v>0</v>
      </c>
      <c r="E5" s="15">
        <f>L26</f>
        <v>5.7028571428571428</v>
      </c>
      <c r="F5" s="15">
        <f t="shared" si="0"/>
        <v>5.7028571428571428</v>
      </c>
      <c r="G5" s="12"/>
      <c r="H5" s="106" t="s">
        <v>500</v>
      </c>
      <c r="I5" s="54">
        <v>4.99</v>
      </c>
      <c r="J5" s="12"/>
      <c r="K5" s="55" t="s">
        <v>979</v>
      </c>
      <c r="L5" s="87">
        <v>0.99</v>
      </c>
      <c r="M5" s="12"/>
      <c r="N5" s="16" t="s">
        <v>1020</v>
      </c>
      <c r="O5" s="176">
        <f>10000*I16</f>
        <v>8.7126984126984137E-4</v>
      </c>
      <c r="P5" s="12"/>
      <c r="Q5" s="178" t="s">
        <v>1021</v>
      </c>
      <c r="R5" s="41"/>
      <c r="S5" s="41"/>
      <c r="T5" s="41"/>
      <c r="U5" s="41"/>
      <c r="V5" s="41"/>
      <c r="W5" s="41"/>
      <c r="X5" s="41"/>
      <c r="Y5" s="41"/>
      <c r="Z5" s="41"/>
    </row>
    <row r="6" spans="1:26" ht="28.5" customHeight="1" x14ac:dyDescent="0.2">
      <c r="A6" s="16">
        <v>2</v>
      </c>
      <c r="B6" s="43" t="s">
        <v>1022</v>
      </c>
      <c r="C6" s="43" t="s">
        <v>1023</v>
      </c>
      <c r="D6" s="15">
        <f>(2*L31)*0.25</f>
        <v>8.5542857142857143E-2</v>
      </c>
      <c r="E6" s="15">
        <f>(5*L31)*0.25</f>
        <v>0.21385714285714286</v>
      </c>
      <c r="F6" s="15">
        <f t="shared" si="0"/>
        <v>0.2994</v>
      </c>
      <c r="G6" s="12"/>
      <c r="H6" s="139" t="s">
        <v>104</v>
      </c>
      <c r="I6" s="59">
        <f>I5/I4</f>
        <v>4.7523809523809524E-3</v>
      </c>
      <c r="J6" s="12"/>
      <c r="K6" s="58" t="s">
        <v>104</v>
      </c>
      <c r="L6" s="60">
        <f>L5</f>
        <v>0.99</v>
      </c>
      <c r="M6" s="12"/>
      <c r="N6" s="16" t="s">
        <v>1024</v>
      </c>
      <c r="O6" s="15">
        <f>7500*I21</f>
        <v>0.78414285714285703</v>
      </c>
      <c r="P6" s="12"/>
      <c r="Q6" s="177" t="s">
        <v>1025</v>
      </c>
      <c r="R6" s="41"/>
      <c r="S6" s="41"/>
      <c r="T6" s="41"/>
      <c r="U6" s="41"/>
      <c r="V6" s="41"/>
      <c r="W6" s="41"/>
      <c r="X6" s="41"/>
      <c r="Y6" s="41"/>
      <c r="Z6" s="41"/>
    </row>
    <row r="7" spans="1:26" ht="28.5" customHeight="1" x14ac:dyDescent="0.2">
      <c r="A7" s="16">
        <v>3</v>
      </c>
      <c r="B7" s="43" t="s">
        <v>1026</v>
      </c>
      <c r="C7" s="43" t="s">
        <v>1027</v>
      </c>
      <c r="D7" s="15">
        <f>L36/3</f>
        <v>0.71285714285714297</v>
      </c>
      <c r="E7" s="15">
        <f>L41*2</f>
        <v>2.3761904761904762</v>
      </c>
      <c r="F7" s="15">
        <f t="shared" si="0"/>
        <v>3.0890476190476193</v>
      </c>
      <c r="G7" s="12"/>
      <c r="H7" s="164"/>
      <c r="I7" s="90"/>
      <c r="J7" s="12"/>
      <c r="K7" s="12"/>
      <c r="L7" s="12"/>
      <c r="M7" s="12"/>
      <c r="N7" s="16" t="s">
        <v>1028</v>
      </c>
      <c r="O7" s="15">
        <f>3000*I11</f>
        <v>0.11880952380952381</v>
      </c>
      <c r="P7" s="12"/>
      <c r="Q7" s="174" t="s">
        <v>1029</v>
      </c>
      <c r="R7" s="41"/>
      <c r="S7" s="41"/>
      <c r="T7" s="41"/>
      <c r="U7" s="41"/>
      <c r="V7" s="41"/>
      <c r="W7" s="41"/>
      <c r="X7" s="41"/>
      <c r="Y7" s="41"/>
      <c r="Z7" s="41"/>
    </row>
    <row r="8" spans="1:26" ht="28.5" customHeight="1" x14ac:dyDescent="0.2">
      <c r="A8" s="16">
        <v>4</v>
      </c>
      <c r="B8" s="43" t="s">
        <v>1030</v>
      </c>
      <c r="C8" s="175" t="s">
        <v>1031</v>
      </c>
      <c r="D8" s="15">
        <f>L21</f>
        <v>1.4257142857142857</v>
      </c>
      <c r="E8" s="15">
        <f>L46</f>
        <v>3.5642857142857141</v>
      </c>
      <c r="F8" s="15">
        <f t="shared" si="0"/>
        <v>4.99</v>
      </c>
      <c r="G8" s="12"/>
      <c r="H8" s="49" t="s">
        <v>110</v>
      </c>
      <c r="I8" s="85" t="s">
        <v>765</v>
      </c>
      <c r="J8" s="12"/>
      <c r="K8" s="49" t="s">
        <v>367</v>
      </c>
      <c r="L8" s="85" t="s">
        <v>1032</v>
      </c>
      <c r="M8" s="12"/>
      <c r="N8" s="28" t="s">
        <v>426</v>
      </c>
      <c r="O8" s="34">
        <f>AVERAGE(O4:O7)</f>
        <v>0.22617373015873013</v>
      </c>
      <c r="P8" s="12"/>
      <c r="Q8" s="177" t="s">
        <v>1033</v>
      </c>
      <c r="R8" s="41"/>
      <c r="S8" s="41"/>
      <c r="T8" s="41"/>
      <c r="U8" s="41"/>
      <c r="V8" s="41"/>
      <c r="W8" s="41"/>
      <c r="X8" s="41"/>
      <c r="Y8" s="41"/>
      <c r="Z8" s="41"/>
    </row>
    <row r="9" spans="1:26" ht="28.5" customHeight="1" x14ac:dyDescent="0.2">
      <c r="A9" s="16">
        <v>5</v>
      </c>
      <c r="B9" s="43" t="s">
        <v>1022</v>
      </c>
      <c r="C9" s="43" t="s">
        <v>1034</v>
      </c>
      <c r="D9" s="15">
        <f>(2*L31)*0.25</f>
        <v>8.5542857142857143E-2</v>
      </c>
      <c r="E9" s="15">
        <f>(3*L31)*0.25</f>
        <v>0.12831428571428571</v>
      </c>
      <c r="F9" s="15">
        <f t="shared" si="0"/>
        <v>0.21385714285714286</v>
      </c>
      <c r="G9" s="12"/>
      <c r="H9" s="52" t="s">
        <v>91</v>
      </c>
      <c r="I9" s="77">
        <v>3000</v>
      </c>
      <c r="J9" s="12"/>
      <c r="K9" s="52" t="s">
        <v>92</v>
      </c>
      <c r="L9" s="77">
        <v>1</v>
      </c>
      <c r="M9" s="12"/>
      <c r="N9" s="16"/>
      <c r="O9" s="15"/>
      <c r="P9" s="12"/>
      <c r="Q9" s="178" t="s">
        <v>1035</v>
      </c>
      <c r="R9" s="41"/>
      <c r="S9" s="41"/>
      <c r="T9" s="41"/>
      <c r="U9" s="41"/>
      <c r="V9" s="41"/>
      <c r="W9" s="41"/>
      <c r="X9" s="41"/>
      <c r="Y9" s="41"/>
      <c r="Z9" s="41"/>
    </row>
    <row r="10" spans="1:26" ht="28.5" customHeight="1" x14ac:dyDescent="0.2">
      <c r="A10" s="16">
        <v>6</v>
      </c>
      <c r="B10" s="43" t="s">
        <v>1036</v>
      </c>
      <c r="C10" s="175" t="s">
        <v>1037</v>
      </c>
      <c r="D10" s="15">
        <f>2*50000*I16</f>
        <v>8.7126984126984133E-3</v>
      </c>
      <c r="E10" s="15">
        <f>5*O8</f>
        <v>1.1308686507936507</v>
      </c>
      <c r="F10" s="15">
        <f t="shared" si="0"/>
        <v>1.1395813492063491</v>
      </c>
      <c r="G10" s="12"/>
      <c r="H10" s="52" t="s">
        <v>139</v>
      </c>
      <c r="I10" s="79">
        <v>25</v>
      </c>
      <c r="J10" s="12"/>
      <c r="K10" s="55" t="s">
        <v>979</v>
      </c>
      <c r="L10" s="87">
        <v>1.99</v>
      </c>
      <c r="M10" s="12"/>
      <c r="N10" s="173" t="s">
        <v>1038</v>
      </c>
      <c r="O10" s="173"/>
      <c r="P10" s="12"/>
      <c r="Q10" s="178" t="s">
        <v>1039</v>
      </c>
      <c r="R10" s="41"/>
      <c r="S10" s="41"/>
      <c r="T10" s="41"/>
      <c r="U10" s="41"/>
      <c r="V10" s="41"/>
      <c r="W10" s="41"/>
      <c r="X10" s="41"/>
      <c r="Y10" s="41"/>
      <c r="Z10" s="41"/>
    </row>
    <row r="11" spans="1:26" ht="28.5" customHeight="1" x14ac:dyDescent="0.2">
      <c r="A11" s="16">
        <v>7</v>
      </c>
      <c r="B11" s="43" t="s">
        <v>1040</v>
      </c>
      <c r="C11" s="175" t="s">
        <v>1041</v>
      </c>
      <c r="D11" s="15">
        <f>2*50000*I16</f>
        <v>8.7126984126984133E-3</v>
      </c>
      <c r="E11" s="15">
        <f>5*L56</f>
        <v>1.7425396825396824E-4</v>
      </c>
      <c r="F11" s="15">
        <f t="shared" si="0"/>
        <v>8.8869523809523808E-3</v>
      </c>
      <c r="G11" s="12"/>
      <c r="H11" s="139" t="s">
        <v>104</v>
      </c>
      <c r="I11" s="162">
        <f>(I10/I9)*$I$6</f>
        <v>3.9603174603174604E-5</v>
      </c>
      <c r="J11" s="12"/>
      <c r="K11" s="58" t="s">
        <v>104</v>
      </c>
      <c r="L11" s="60">
        <f>L10</f>
        <v>1.99</v>
      </c>
      <c r="M11" s="12"/>
      <c r="N11" s="155" t="s">
        <v>800</v>
      </c>
      <c r="O11" s="161" t="s">
        <v>746</v>
      </c>
      <c r="P11" s="12"/>
      <c r="Q11" s="177" t="s">
        <v>1042</v>
      </c>
      <c r="R11" s="41"/>
      <c r="S11" s="41"/>
      <c r="T11" s="41"/>
      <c r="U11" s="41"/>
      <c r="V11" s="41"/>
      <c r="W11" s="41"/>
      <c r="X11" s="41"/>
      <c r="Y11" s="41"/>
      <c r="Z11" s="41"/>
    </row>
    <row r="12" spans="1:26" ht="28.5" customHeight="1" x14ac:dyDescent="0.2">
      <c r="A12" s="16">
        <v>8</v>
      </c>
      <c r="B12" s="43" t="s">
        <v>1043</v>
      </c>
      <c r="C12" s="43" t="s">
        <v>1044</v>
      </c>
      <c r="D12" s="15">
        <f>2*37500*I22</f>
        <v>0</v>
      </c>
      <c r="E12" s="15">
        <f>(5*L31)*0.25</f>
        <v>0.21385714285714286</v>
      </c>
      <c r="F12" s="15">
        <f t="shared" si="0"/>
        <v>0.21385714285714286</v>
      </c>
      <c r="G12" s="12"/>
      <c r="H12" s="12"/>
      <c r="I12" s="82"/>
      <c r="J12" s="12"/>
      <c r="K12" s="12"/>
      <c r="L12" s="90"/>
      <c r="M12" s="12"/>
      <c r="N12" s="16" t="s">
        <v>1045</v>
      </c>
      <c r="O12" s="179">
        <f>50000*I16</f>
        <v>4.3563492063492066E-3</v>
      </c>
      <c r="P12" s="12"/>
      <c r="Q12" s="174" t="s">
        <v>1046</v>
      </c>
      <c r="R12" s="41"/>
      <c r="S12" s="41"/>
      <c r="T12" s="41"/>
      <c r="U12" s="41"/>
      <c r="V12" s="41"/>
      <c r="W12" s="41"/>
      <c r="X12" s="41"/>
      <c r="Y12" s="41"/>
      <c r="Z12" s="41"/>
    </row>
    <row r="13" spans="1:26" ht="45" customHeight="1" x14ac:dyDescent="0.2">
      <c r="A13" s="16">
        <v>9</v>
      </c>
      <c r="B13" s="43" t="s">
        <v>1047</v>
      </c>
      <c r="C13" s="175" t="s">
        <v>1048</v>
      </c>
      <c r="D13" s="15">
        <f>20*L51</f>
        <v>0.95047619047619047</v>
      </c>
      <c r="E13" s="147">
        <f>L81</f>
        <v>9.5047619047619047</v>
      </c>
      <c r="F13" s="15">
        <f t="shared" si="0"/>
        <v>10.455238095238094</v>
      </c>
      <c r="G13" s="12"/>
      <c r="H13" s="49" t="s">
        <v>386</v>
      </c>
      <c r="I13" s="83" t="s">
        <v>1049</v>
      </c>
      <c r="J13" s="12"/>
      <c r="K13" s="49" t="s">
        <v>376</v>
      </c>
      <c r="L13" s="85" t="s">
        <v>1050</v>
      </c>
      <c r="M13" s="12"/>
      <c r="N13" s="16" t="s">
        <v>1051</v>
      </c>
      <c r="O13" s="179">
        <f>50000*I16</f>
        <v>4.3563492063492066E-3</v>
      </c>
      <c r="P13" s="12"/>
      <c r="Q13" s="174" t="s">
        <v>1052</v>
      </c>
      <c r="R13" s="41"/>
      <c r="S13" s="41"/>
      <c r="T13" s="41"/>
      <c r="U13" s="41"/>
      <c r="V13" s="41"/>
      <c r="W13" s="41"/>
      <c r="X13" s="41"/>
      <c r="Y13" s="41"/>
      <c r="Z13" s="41"/>
    </row>
    <row r="14" spans="1:26" ht="28.5" customHeight="1" x14ac:dyDescent="0.2">
      <c r="A14" s="16">
        <v>10</v>
      </c>
      <c r="B14" s="43" t="s">
        <v>1041</v>
      </c>
      <c r="C14" s="175" t="s">
        <v>1053</v>
      </c>
      <c r="D14" s="15">
        <f>5*L56</f>
        <v>1.7425396825396824E-4</v>
      </c>
      <c r="E14" s="15">
        <f>(2*O8)</f>
        <v>0.45234746031746026</v>
      </c>
      <c r="F14" s="15">
        <f t="shared" si="0"/>
        <v>0.45252171428571425</v>
      </c>
      <c r="G14" s="12"/>
      <c r="H14" s="52" t="s">
        <v>92</v>
      </c>
      <c r="I14" s="77">
        <v>50000</v>
      </c>
      <c r="J14" s="12"/>
      <c r="K14" s="52" t="s">
        <v>92</v>
      </c>
      <c r="L14" s="77">
        <v>1</v>
      </c>
      <c r="M14" s="12"/>
      <c r="N14" s="16" t="s">
        <v>1054</v>
      </c>
      <c r="O14" s="15">
        <f>37500*I21</f>
        <v>3.9207142857142854</v>
      </c>
      <c r="P14" s="12"/>
      <c r="Q14" s="16"/>
      <c r="R14" s="41"/>
      <c r="S14" s="41"/>
      <c r="T14" s="41"/>
      <c r="U14" s="41"/>
      <c r="V14" s="41"/>
      <c r="W14" s="41"/>
      <c r="X14" s="41"/>
      <c r="Y14" s="41"/>
      <c r="Z14" s="41"/>
    </row>
    <row r="15" spans="1:26" ht="28.5" customHeight="1" x14ac:dyDescent="0.2">
      <c r="A15" s="16">
        <v>11</v>
      </c>
      <c r="B15" s="175" t="s">
        <v>1055</v>
      </c>
      <c r="C15" s="175" t="s">
        <v>1056</v>
      </c>
      <c r="D15" s="147">
        <v>0</v>
      </c>
      <c r="E15" s="147">
        <v>0</v>
      </c>
      <c r="F15" s="15">
        <f t="shared" si="0"/>
        <v>0</v>
      </c>
      <c r="G15" s="12"/>
      <c r="H15" s="55" t="s">
        <v>358</v>
      </c>
      <c r="I15" s="79">
        <v>110</v>
      </c>
      <c r="J15" s="12"/>
      <c r="K15" s="55" t="s">
        <v>979</v>
      </c>
      <c r="L15" s="87">
        <v>2.99</v>
      </c>
      <c r="M15" s="12"/>
      <c r="N15" s="16" t="s">
        <v>1057</v>
      </c>
      <c r="O15" s="15">
        <f>15000*I11</f>
        <v>0.59404761904761905</v>
      </c>
      <c r="P15" s="12"/>
      <c r="Q15" s="159" t="s">
        <v>361</v>
      </c>
      <c r="R15" s="41"/>
      <c r="S15" s="41"/>
      <c r="T15" s="41"/>
      <c r="U15" s="41"/>
      <c r="V15" s="41"/>
      <c r="W15" s="41"/>
      <c r="X15" s="41"/>
      <c r="Y15" s="41"/>
      <c r="Z15" s="41"/>
    </row>
    <row r="16" spans="1:26" ht="28.5" customHeight="1" x14ac:dyDescent="0.2">
      <c r="A16" s="16">
        <v>12</v>
      </c>
      <c r="B16" s="175" t="s">
        <v>1056</v>
      </c>
      <c r="C16" s="43" t="s">
        <v>1058</v>
      </c>
      <c r="D16" s="147">
        <v>0</v>
      </c>
      <c r="E16" s="15">
        <f>L36</f>
        <v>2.1385714285714288</v>
      </c>
      <c r="F16" s="15">
        <f t="shared" si="0"/>
        <v>2.1385714285714288</v>
      </c>
      <c r="G16" s="12"/>
      <c r="H16" s="58" t="s">
        <v>104</v>
      </c>
      <c r="I16" s="180">
        <f>(I15/I14)*$I$11</f>
        <v>8.712698412698414E-8</v>
      </c>
      <c r="J16" s="12"/>
      <c r="K16" s="58" t="s">
        <v>104</v>
      </c>
      <c r="L16" s="60">
        <f>L15</f>
        <v>2.99</v>
      </c>
      <c r="M16" s="12"/>
      <c r="N16" s="28" t="s">
        <v>426</v>
      </c>
      <c r="O16" s="34">
        <f>AVERAGE(O12:O15)</f>
        <v>1.1308686507936507</v>
      </c>
      <c r="P16" s="12"/>
      <c r="Q16" s="12" t="s">
        <v>1059</v>
      </c>
      <c r="R16" s="41"/>
      <c r="S16" s="41"/>
      <c r="T16" s="41"/>
      <c r="U16" s="41"/>
      <c r="V16" s="41"/>
      <c r="W16" s="41"/>
      <c r="X16" s="41"/>
      <c r="Y16" s="41"/>
      <c r="Z16" s="41"/>
    </row>
    <row r="17" spans="1:26" ht="28.5" customHeight="1" x14ac:dyDescent="0.2">
      <c r="A17" s="16">
        <v>13</v>
      </c>
      <c r="B17" s="43" t="s">
        <v>1060</v>
      </c>
      <c r="C17" s="43" t="s">
        <v>1044</v>
      </c>
      <c r="D17" s="15">
        <f>5*I26*100</f>
        <v>2.3761904761904762</v>
      </c>
      <c r="E17" s="15">
        <f>(5*L31)*0.25</f>
        <v>0.21385714285714286</v>
      </c>
      <c r="F17" s="15">
        <f t="shared" si="0"/>
        <v>2.5900476190476192</v>
      </c>
      <c r="G17" s="12"/>
      <c r="H17" s="12"/>
      <c r="I17" s="90"/>
      <c r="J17" s="12"/>
      <c r="K17" s="12"/>
      <c r="L17" s="181"/>
      <c r="M17" s="12"/>
      <c r="N17" s="12"/>
      <c r="O17" s="12"/>
      <c r="P17" s="12"/>
      <c r="Q17" s="12" t="s">
        <v>1061</v>
      </c>
      <c r="R17" s="41"/>
      <c r="S17" s="41"/>
      <c r="T17" s="41"/>
      <c r="U17" s="41"/>
      <c r="V17" s="41"/>
      <c r="W17" s="41"/>
      <c r="X17" s="41"/>
      <c r="Y17" s="41"/>
      <c r="Z17" s="41"/>
    </row>
    <row r="18" spans="1:26" ht="28.5" customHeight="1" x14ac:dyDescent="0.2">
      <c r="A18" s="16">
        <v>14</v>
      </c>
      <c r="B18" s="43" t="s">
        <v>1044</v>
      </c>
      <c r="C18" s="43" t="s">
        <v>1062</v>
      </c>
      <c r="D18" s="15">
        <f>(5*L31)*0.25</f>
        <v>0.21385714285714286</v>
      </c>
      <c r="E18" s="15">
        <f>2*L26</f>
        <v>11.405714285714286</v>
      </c>
      <c r="F18" s="15">
        <f t="shared" si="0"/>
        <v>11.619571428571428</v>
      </c>
      <c r="G18" s="12"/>
      <c r="H18" s="49" t="s">
        <v>386</v>
      </c>
      <c r="I18" s="83" t="s">
        <v>1063</v>
      </c>
      <c r="J18" s="12"/>
      <c r="K18" s="49" t="s">
        <v>386</v>
      </c>
      <c r="L18" s="85" t="s">
        <v>1064</v>
      </c>
      <c r="M18" s="12"/>
      <c r="N18" s="173" t="s">
        <v>1065</v>
      </c>
      <c r="O18" s="173"/>
      <c r="P18" s="12"/>
      <c r="Q18" s="12" t="s">
        <v>1066</v>
      </c>
      <c r="R18" s="41"/>
      <c r="S18" s="41"/>
      <c r="T18" s="41"/>
      <c r="U18" s="41"/>
      <c r="V18" s="41"/>
      <c r="W18" s="41"/>
      <c r="X18" s="41"/>
      <c r="Y18" s="41"/>
      <c r="Z18" s="41"/>
    </row>
    <row r="19" spans="1:26" ht="28.5" customHeight="1" x14ac:dyDescent="0.2">
      <c r="A19" s="16">
        <v>15</v>
      </c>
      <c r="B19" s="43" t="s">
        <v>1067</v>
      </c>
      <c r="C19" s="43" t="s">
        <v>1068</v>
      </c>
      <c r="D19" s="15">
        <f>5*50000*I16</f>
        <v>2.1781746031746034E-2</v>
      </c>
      <c r="E19" s="15">
        <f>8*L56</f>
        <v>2.7880634920634921E-4</v>
      </c>
      <c r="F19" s="15">
        <f t="shared" si="0"/>
        <v>2.2060552380952385E-2</v>
      </c>
      <c r="G19" s="12"/>
      <c r="H19" s="52" t="s">
        <v>92</v>
      </c>
      <c r="I19" s="77">
        <v>37500</v>
      </c>
      <c r="J19" s="12"/>
      <c r="K19" s="52" t="s">
        <v>92</v>
      </c>
      <c r="L19" s="77">
        <v>1</v>
      </c>
      <c r="M19" s="12"/>
      <c r="N19" s="155" t="s">
        <v>800</v>
      </c>
      <c r="O19" s="161" t="s">
        <v>746</v>
      </c>
      <c r="P19" s="12"/>
      <c r="Q19" s="12"/>
      <c r="R19" s="41"/>
      <c r="S19" s="41"/>
      <c r="T19" s="41"/>
      <c r="U19" s="41"/>
      <c r="V19" s="41"/>
      <c r="W19" s="41"/>
      <c r="X19" s="41"/>
      <c r="Y19" s="41"/>
      <c r="Z19" s="41"/>
    </row>
    <row r="20" spans="1:26" ht="28.5" customHeight="1" x14ac:dyDescent="0.2">
      <c r="A20" s="16">
        <v>16</v>
      </c>
      <c r="B20" s="43" t="s">
        <v>1069</v>
      </c>
      <c r="C20" s="175" t="s">
        <v>1070</v>
      </c>
      <c r="D20" s="15">
        <f>250000*I16</f>
        <v>2.1781746031746034E-2</v>
      </c>
      <c r="E20" s="15">
        <f>10*O8</f>
        <v>2.2617373015873015</v>
      </c>
      <c r="F20" s="15">
        <f t="shared" si="0"/>
        <v>2.2835190476190474</v>
      </c>
      <c r="G20" s="12"/>
      <c r="H20" s="55" t="s">
        <v>98</v>
      </c>
      <c r="I20" s="79">
        <v>825</v>
      </c>
      <c r="J20" s="12"/>
      <c r="K20" s="55" t="s">
        <v>98</v>
      </c>
      <c r="L20" s="79">
        <v>300</v>
      </c>
      <c r="M20" s="12"/>
      <c r="N20" s="16" t="s">
        <v>1071</v>
      </c>
      <c r="O20" s="15">
        <f>150000*I16</f>
        <v>1.3069047619047621E-2</v>
      </c>
      <c r="P20" s="12"/>
      <c r="Q20" s="12"/>
      <c r="R20" s="41"/>
      <c r="S20" s="41"/>
      <c r="T20" s="41"/>
      <c r="U20" s="41"/>
      <c r="V20" s="41"/>
      <c r="W20" s="41"/>
      <c r="X20" s="41"/>
      <c r="Y20" s="41"/>
      <c r="Z20" s="41"/>
    </row>
    <row r="21" spans="1:26" ht="28.5" customHeight="1" x14ac:dyDescent="0.2">
      <c r="A21" s="16">
        <v>17</v>
      </c>
      <c r="B21" s="43" t="s">
        <v>1072</v>
      </c>
      <c r="C21" s="43" t="s">
        <v>1073</v>
      </c>
      <c r="D21" s="15">
        <f>5*37500*I22</f>
        <v>0</v>
      </c>
      <c r="E21" s="15">
        <v>0</v>
      </c>
      <c r="F21" s="15">
        <f t="shared" si="0"/>
        <v>0</v>
      </c>
      <c r="G21" s="12"/>
      <c r="H21" s="58" t="s">
        <v>104</v>
      </c>
      <c r="I21" s="182">
        <f>(I20/I19)*$I$6</f>
        <v>1.0455238095238094E-4</v>
      </c>
      <c r="J21" s="12"/>
      <c r="K21" s="58" t="s">
        <v>104</v>
      </c>
      <c r="L21" s="60">
        <f>(L20/L19)*$I$6</f>
        <v>1.4257142857142857</v>
      </c>
      <c r="M21" s="68"/>
      <c r="N21" s="16" t="s">
        <v>1074</v>
      </c>
      <c r="O21" s="15">
        <f>150000*I16</f>
        <v>1.3069047619047621E-2</v>
      </c>
      <c r="P21" s="68"/>
      <c r="Q21" s="12"/>
      <c r="R21" s="41"/>
      <c r="S21" s="41"/>
      <c r="T21" s="41"/>
      <c r="U21" s="41"/>
      <c r="V21" s="41"/>
      <c r="W21" s="41"/>
      <c r="X21" s="41"/>
      <c r="Y21" s="41"/>
      <c r="Z21" s="41"/>
    </row>
    <row r="22" spans="1:26" ht="28.5" customHeight="1" x14ac:dyDescent="0.2">
      <c r="A22" s="16">
        <v>18</v>
      </c>
      <c r="B22" s="43" t="s">
        <v>1057</v>
      </c>
      <c r="C22" s="43" t="s">
        <v>1075</v>
      </c>
      <c r="D22" s="15">
        <f>15000*I11</f>
        <v>0.59404761904761905</v>
      </c>
      <c r="E22" s="15">
        <f>2*(60000*I16)</f>
        <v>1.0455238095238097E-2</v>
      </c>
      <c r="F22" s="15">
        <f t="shared" si="0"/>
        <v>0.60450285714285712</v>
      </c>
      <c r="G22" s="12"/>
      <c r="H22" s="12"/>
      <c r="I22" s="183"/>
      <c r="J22" s="12"/>
      <c r="K22" s="64"/>
      <c r="L22" s="69"/>
      <c r="M22" s="68"/>
      <c r="N22" s="16" t="s">
        <v>1076</v>
      </c>
      <c r="O22" s="15">
        <f>112500*I21</f>
        <v>11.762142857142855</v>
      </c>
      <c r="P22" s="68"/>
      <c r="Q22" s="16"/>
      <c r="R22" s="41"/>
      <c r="S22" s="41"/>
      <c r="T22" s="41"/>
      <c r="U22" s="41"/>
      <c r="V22" s="41"/>
      <c r="W22" s="41"/>
      <c r="X22" s="41"/>
      <c r="Y22" s="41"/>
      <c r="Z22" s="41"/>
    </row>
    <row r="23" spans="1:26" ht="28.5" customHeight="1" x14ac:dyDescent="0.2">
      <c r="A23" s="16">
        <v>19</v>
      </c>
      <c r="B23" s="43" t="s">
        <v>1075</v>
      </c>
      <c r="C23" s="43" t="s">
        <v>1077</v>
      </c>
      <c r="D23" s="15">
        <f>2*(60000*I16)</f>
        <v>1.0455238095238097E-2</v>
      </c>
      <c r="E23" s="15">
        <v>0</v>
      </c>
      <c r="F23" s="15">
        <f t="shared" si="0"/>
        <v>1.0455238095238097E-2</v>
      </c>
      <c r="G23" s="12"/>
      <c r="H23" s="49" t="s">
        <v>236</v>
      </c>
      <c r="I23" s="50" t="s">
        <v>766</v>
      </c>
      <c r="J23" s="12"/>
      <c r="K23" s="49" t="s">
        <v>393</v>
      </c>
      <c r="L23" s="85" t="s">
        <v>1078</v>
      </c>
      <c r="M23" s="68"/>
      <c r="N23" s="16" t="s">
        <v>1079</v>
      </c>
      <c r="O23" s="15">
        <f>50000*I11</f>
        <v>1.9801587301587302</v>
      </c>
      <c r="P23" s="68"/>
      <c r="Q23" s="16"/>
      <c r="R23" s="41"/>
      <c r="S23" s="41"/>
      <c r="T23" s="41"/>
      <c r="U23" s="41"/>
      <c r="V23" s="41"/>
      <c r="W23" s="41"/>
      <c r="X23" s="41"/>
      <c r="Y23" s="41"/>
      <c r="Z23" s="41"/>
    </row>
    <row r="24" spans="1:26" ht="28.5" customHeight="1" x14ac:dyDescent="0.2">
      <c r="A24" s="16">
        <v>20</v>
      </c>
      <c r="B24" s="43" t="s">
        <v>1044</v>
      </c>
      <c r="C24" s="43" t="s">
        <v>1080</v>
      </c>
      <c r="D24" s="15">
        <f>(5*L31)*0.25</f>
        <v>0.21385714285714286</v>
      </c>
      <c r="E24" s="15">
        <f>(2*L31)</f>
        <v>0.34217142857142857</v>
      </c>
      <c r="F24" s="15">
        <f t="shared" si="0"/>
        <v>0.55602857142857143</v>
      </c>
      <c r="G24" s="12"/>
      <c r="H24" s="52" t="s">
        <v>117</v>
      </c>
      <c r="I24" s="53">
        <v>100</v>
      </c>
      <c r="J24" s="12"/>
      <c r="K24" s="52" t="s">
        <v>92</v>
      </c>
      <c r="L24" s="77">
        <v>1</v>
      </c>
      <c r="M24" s="68"/>
      <c r="N24" s="28" t="s">
        <v>426</v>
      </c>
      <c r="O24" s="34">
        <f>AVERAGE(O20:O23)</f>
        <v>3.4421099206349206</v>
      </c>
      <c r="P24" s="68"/>
      <c r="Q24" s="16"/>
      <c r="R24" s="41"/>
      <c r="S24" s="41"/>
      <c r="T24" s="41"/>
      <c r="U24" s="41"/>
      <c r="V24" s="41"/>
      <c r="W24" s="41"/>
      <c r="X24" s="41"/>
      <c r="Y24" s="41"/>
      <c r="Z24" s="41"/>
    </row>
    <row r="25" spans="1:26" ht="28.5" customHeight="1" x14ac:dyDescent="0.2">
      <c r="A25" s="16">
        <v>21</v>
      </c>
      <c r="B25" s="43" t="s">
        <v>1044</v>
      </c>
      <c r="C25" s="43" t="s">
        <v>1081</v>
      </c>
      <c r="D25" s="15">
        <f>(5*L31)*0.25</f>
        <v>0.21385714285714286</v>
      </c>
      <c r="E25" s="15">
        <f>2*L41</f>
        <v>2.3761904761904762</v>
      </c>
      <c r="F25" s="15">
        <f t="shared" si="0"/>
        <v>2.5900476190476192</v>
      </c>
      <c r="G25" s="12"/>
      <c r="H25" s="55" t="s">
        <v>139</v>
      </c>
      <c r="I25" s="56">
        <v>100</v>
      </c>
      <c r="J25" s="12"/>
      <c r="K25" s="55" t="s">
        <v>98</v>
      </c>
      <c r="L25" s="79">
        <v>1200</v>
      </c>
      <c r="M25" s="68"/>
      <c r="N25" s="68"/>
      <c r="O25" s="68"/>
      <c r="P25" s="68"/>
      <c r="Q25" s="16"/>
      <c r="R25" s="41"/>
      <c r="S25" s="41"/>
      <c r="T25" s="41"/>
      <c r="U25" s="41"/>
      <c r="V25" s="41"/>
      <c r="W25" s="41"/>
      <c r="X25" s="41"/>
      <c r="Y25" s="41"/>
      <c r="Z25" s="41"/>
    </row>
    <row r="26" spans="1:26" ht="28.5" customHeight="1" x14ac:dyDescent="0.2">
      <c r="A26" s="16">
        <v>22</v>
      </c>
      <c r="B26" s="43" t="s">
        <v>1044</v>
      </c>
      <c r="C26" s="175" t="s">
        <v>1082</v>
      </c>
      <c r="D26" s="15">
        <f>(5*L31)*0.25</f>
        <v>0.21385714285714286</v>
      </c>
      <c r="E26" s="147">
        <f>(8*L56)</f>
        <v>2.7880634920634921E-4</v>
      </c>
      <c r="F26" s="15">
        <f t="shared" si="0"/>
        <v>0.21413594920634921</v>
      </c>
      <c r="G26" s="12"/>
      <c r="H26" s="58" t="s">
        <v>104</v>
      </c>
      <c r="I26" s="59">
        <f>(I25/I24)*$I$6</f>
        <v>4.7523809523809524E-3</v>
      </c>
      <c r="J26" s="12"/>
      <c r="K26" s="58" t="s">
        <v>104</v>
      </c>
      <c r="L26" s="60">
        <f>(L25/L24)*$I$6</f>
        <v>5.7028571428571428</v>
      </c>
      <c r="M26" s="12"/>
      <c r="N26" s="68"/>
      <c r="O26" s="68"/>
      <c r="P26" s="12"/>
      <c r="Q26" s="184"/>
      <c r="R26" s="41"/>
      <c r="S26" s="41"/>
      <c r="T26" s="41"/>
      <c r="U26" s="41"/>
      <c r="V26" s="41"/>
      <c r="W26" s="41"/>
      <c r="X26" s="41"/>
      <c r="Y26" s="41"/>
      <c r="Z26" s="41"/>
    </row>
    <row r="27" spans="1:26" ht="28.5" customHeight="1" x14ac:dyDescent="0.2">
      <c r="A27" s="16">
        <v>23</v>
      </c>
      <c r="B27" s="43" t="s">
        <v>1034</v>
      </c>
      <c r="C27" s="43" t="s">
        <v>1062</v>
      </c>
      <c r="D27" s="15">
        <f>(3*L31)*0.25</f>
        <v>0.12831428571428571</v>
      </c>
      <c r="E27" s="15">
        <f>2*L26</f>
        <v>11.405714285714286</v>
      </c>
      <c r="F27" s="15">
        <f t="shared" si="0"/>
        <v>11.534028571428571</v>
      </c>
      <c r="G27" s="12"/>
      <c r="H27" s="64"/>
      <c r="I27" s="92"/>
      <c r="J27" s="12"/>
      <c r="K27" s="12"/>
      <c r="L27" s="82"/>
      <c r="M27" s="12"/>
      <c r="N27" s="68"/>
      <c r="O27" s="68"/>
      <c r="P27" s="12"/>
      <c r="Q27" s="185"/>
      <c r="R27" s="41"/>
      <c r="S27" s="41"/>
      <c r="T27" s="41"/>
      <c r="U27" s="41"/>
      <c r="V27" s="41"/>
      <c r="W27" s="41"/>
      <c r="X27" s="41"/>
      <c r="Y27" s="41"/>
      <c r="Z27" s="41"/>
    </row>
    <row r="28" spans="1:26" ht="28.5" customHeight="1" x14ac:dyDescent="0.2">
      <c r="A28" s="16">
        <v>24</v>
      </c>
      <c r="B28" s="175" t="s">
        <v>1083</v>
      </c>
      <c r="C28" s="43" t="s">
        <v>1084</v>
      </c>
      <c r="D28" s="147">
        <f>2*L71</f>
        <v>0.57028571428571428</v>
      </c>
      <c r="E28" s="15">
        <f>L111</f>
        <v>13.201058201058203</v>
      </c>
      <c r="F28" s="15">
        <f t="shared" si="0"/>
        <v>13.771343915343916</v>
      </c>
      <c r="G28" s="12"/>
      <c r="H28" s="49" t="s">
        <v>236</v>
      </c>
      <c r="I28" s="50" t="s">
        <v>1085</v>
      </c>
      <c r="J28" s="12"/>
      <c r="K28" s="49" t="s">
        <v>399</v>
      </c>
      <c r="L28" s="85" t="s">
        <v>1086</v>
      </c>
      <c r="M28" s="12"/>
      <c r="N28" s="68"/>
      <c r="O28" s="68"/>
      <c r="P28" s="12"/>
      <c r="Q28" s="16"/>
      <c r="R28" s="41"/>
      <c r="S28" s="41"/>
      <c r="T28" s="41"/>
      <c r="U28" s="41"/>
      <c r="V28" s="41"/>
      <c r="W28" s="41"/>
      <c r="X28" s="41"/>
      <c r="Y28" s="41"/>
      <c r="Z28" s="41"/>
    </row>
    <row r="29" spans="1:26" ht="28.5" customHeight="1" x14ac:dyDescent="0.2">
      <c r="A29" s="16">
        <v>25</v>
      </c>
      <c r="B29" s="43" t="s">
        <v>1068</v>
      </c>
      <c r="C29" s="43" t="s">
        <v>1087</v>
      </c>
      <c r="D29" s="15">
        <f>8*L56</f>
        <v>2.7880634920634921E-4</v>
      </c>
      <c r="E29" s="15">
        <f>10*L56</f>
        <v>3.4850793650793648E-4</v>
      </c>
      <c r="F29" s="15">
        <f t="shared" si="0"/>
        <v>6.2731428571428569E-4</v>
      </c>
      <c r="G29" s="12"/>
      <c r="H29" s="52" t="s">
        <v>117</v>
      </c>
      <c r="I29" s="53">
        <v>30</v>
      </c>
      <c r="J29" s="12"/>
      <c r="K29" s="52" t="s">
        <v>92</v>
      </c>
      <c r="L29" s="77">
        <v>5</v>
      </c>
      <c r="M29" s="12"/>
      <c r="N29" s="12"/>
      <c r="O29" s="12"/>
      <c r="P29" s="12"/>
      <c r="Q29" s="16"/>
      <c r="R29" s="41"/>
      <c r="S29" s="41"/>
      <c r="T29" s="41"/>
      <c r="U29" s="41"/>
      <c r="V29" s="41"/>
      <c r="W29" s="41"/>
      <c r="X29" s="41"/>
      <c r="Y29" s="41"/>
      <c r="Z29" s="41"/>
    </row>
    <row r="30" spans="1:26" ht="28.5" customHeight="1" x14ac:dyDescent="0.2">
      <c r="A30" s="16">
        <v>26</v>
      </c>
      <c r="B30" s="43" t="s">
        <v>1088</v>
      </c>
      <c r="C30" s="43" t="s">
        <v>1089</v>
      </c>
      <c r="D30" s="15">
        <f>20*L61</f>
        <v>0.95047619047619047</v>
      </c>
      <c r="E30" s="15">
        <f>L36</f>
        <v>2.1385714285714288</v>
      </c>
      <c r="F30" s="15">
        <f t="shared" si="0"/>
        <v>3.0890476190476193</v>
      </c>
      <c r="G30" s="12"/>
      <c r="H30" s="55" t="s">
        <v>450</v>
      </c>
      <c r="I30" s="56">
        <v>50000</v>
      </c>
      <c r="J30" s="12"/>
      <c r="K30" s="55" t="s">
        <v>98</v>
      </c>
      <c r="L30" s="79">
        <v>180</v>
      </c>
      <c r="M30" s="12"/>
      <c r="N30" s="12"/>
      <c r="O30" s="12"/>
      <c r="P30" s="12"/>
      <c r="Q30" s="16"/>
      <c r="R30" s="41"/>
      <c r="S30" s="41"/>
      <c r="T30" s="41"/>
      <c r="U30" s="41"/>
      <c r="V30" s="41"/>
      <c r="W30" s="41"/>
      <c r="X30" s="41"/>
      <c r="Y30" s="41"/>
      <c r="Z30" s="41"/>
    </row>
    <row r="31" spans="1:26" ht="28.5" customHeight="1" x14ac:dyDescent="0.2">
      <c r="A31" s="16">
        <v>27</v>
      </c>
      <c r="B31" s="43" t="s">
        <v>1090</v>
      </c>
      <c r="C31" s="175" t="s">
        <v>1070</v>
      </c>
      <c r="D31" s="15">
        <f>L36/3</f>
        <v>0.71285714285714297</v>
      </c>
      <c r="E31" s="15">
        <f>O8*10</f>
        <v>2.2617373015873015</v>
      </c>
      <c r="F31" s="15">
        <f t="shared" si="0"/>
        <v>2.9745944444444445</v>
      </c>
      <c r="G31" s="12"/>
      <c r="H31" s="58" t="s">
        <v>104</v>
      </c>
      <c r="I31" s="59">
        <f>(I30/I29)*$I$11</f>
        <v>6.6005291005291011E-2</v>
      </c>
      <c r="J31" s="12"/>
      <c r="K31" s="58" t="s">
        <v>104</v>
      </c>
      <c r="L31" s="60">
        <f>(L30/L29)*$I$6</f>
        <v>0.17108571428571429</v>
      </c>
      <c r="M31" s="12"/>
      <c r="N31" s="12"/>
      <c r="O31" s="12"/>
      <c r="P31" s="12"/>
      <c r="Q31" s="16"/>
      <c r="R31" s="41"/>
      <c r="S31" s="41"/>
      <c r="T31" s="41"/>
      <c r="U31" s="41"/>
      <c r="V31" s="41"/>
      <c r="W31" s="41"/>
      <c r="X31" s="41"/>
      <c r="Y31" s="41"/>
      <c r="Z31" s="41"/>
    </row>
    <row r="32" spans="1:26" ht="28.5" customHeight="1" x14ac:dyDescent="0.2">
      <c r="A32" s="16">
        <v>28</v>
      </c>
      <c r="B32" s="175" t="s">
        <v>1091</v>
      </c>
      <c r="C32" s="175" t="s">
        <v>1092</v>
      </c>
      <c r="D32" s="147">
        <v>0</v>
      </c>
      <c r="E32" s="147">
        <f>4*L86</f>
        <v>3.4850793650793655E-3</v>
      </c>
      <c r="F32" s="15">
        <f t="shared" si="0"/>
        <v>3.4850793650793655E-3</v>
      </c>
      <c r="G32" s="12"/>
      <c r="H32" s="41"/>
      <c r="I32" s="41"/>
      <c r="J32" s="12"/>
      <c r="K32" s="12"/>
      <c r="L32" s="82"/>
      <c r="M32" s="12"/>
      <c r="N32" s="12"/>
      <c r="O32" s="12"/>
      <c r="P32" s="12"/>
      <c r="Q32" s="16"/>
      <c r="R32" s="41"/>
      <c r="S32" s="41"/>
      <c r="T32" s="41"/>
      <c r="U32" s="41"/>
      <c r="V32" s="41"/>
      <c r="W32" s="41"/>
      <c r="X32" s="41"/>
      <c r="Y32" s="41"/>
      <c r="Z32" s="41"/>
    </row>
    <row r="33" spans="1:26" ht="28.5" customHeight="1" x14ac:dyDescent="0.2">
      <c r="A33" s="16">
        <v>29</v>
      </c>
      <c r="B33" s="43" t="s">
        <v>1093</v>
      </c>
      <c r="C33" s="43" t="s">
        <v>1094</v>
      </c>
      <c r="D33" s="15">
        <f>3*L21</f>
        <v>4.2771428571428576</v>
      </c>
      <c r="E33" s="15">
        <f>L106</f>
        <v>132.01058201058203</v>
      </c>
      <c r="F33" s="15">
        <f t="shared" si="0"/>
        <v>136.28772486772488</v>
      </c>
      <c r="G33" s="12"/>
      <c r="H33" s="41"/>
      <c r="I33" s="41"/>
      <c r="J33" s="12"/>
      <c r="K33" s="49" t="s">
        <v>403</v>
      </c>
      <c r="L33" s="83" t="s">
        <v>1089</v>
      </c>
      <c r="M33" s="12"/>
      <c r="N33" s="12"/>
      <c r="O33" s="12"/>
      <c r="P33" s="12"/>
      <c r="Q33" s="16"/>
      <c r="R33" s="41"/>
      <c r="S33" s="41"/>
      <c r="T33" s="41"/>
      <c r="U33" s="41"/>
      <c r="V33" s="41"/>
      <c r="W33" s="41"/>
      <c r="X33" s="41"/>
      <c r="Y33" s="41"/>
      <c r="Z33" s="41"/>
    </row>
    <row r="34" spans="1:26" ht="28.5" customHeight="1" x14ac:dyDescent="0.2">
      <c r="A34" s="16">
        <v>30</v>
      </c>
      <c r="B34" s="43"/>
      <c r="C34" s="43" t="s">
        <v>1095</v>
      </c>
      <c r="D34" s="15">
        <v>0</v>
      </c>
      <c r="E34" s="15">
        <v>0</v>
      </c>
      <c r="F34" s="15">
        <f t="shared" si="0"/>
        <v>0</v>
      </c>
      <c r="G34" s="12"/>
      <c r="H34" s="41"/>
      <c r="I34" s="41"/>
      <c r="J34" s="12"/>
      <c r="K34" s="52" t="s">
        <v>92</v>
      </c>
      <c r="L34" s="77">
        <v>1</v>
      </c>
      <c r="M34" s="12"/>
      <c r="N34" s="12"/>
      <c r="O34" s="12"/>
      <c r="P34" s="12"/>
      <c r="Q34" s="16"/>
      <c r="R34" s="41"/>
      <c r="S34" s="41"/>
      <c r="T34" s="41"/>
      <c r="U34" s="41"/>
      <c r="V34" s="41"/>
      <c r="W34" s="41"/>
      <c r="X34" s="41"/>
      <c r="Y34" s="41"/>
      <c r="Z34" s="41"/>
    </row>
    <row r="35" spans="1:26" ht="28.5" customHeight="1" x14ac:dyDescent="0.2">
      <c r="A35" s="16">
        <v>31</v>
      </c>
      <c r="B35" s="43" t="s">
        <v>1096</v>
      </c>
      <c r="C35" s="43" t="s">
        <v>1097</v>
      </c>
      <c r="D35" s="15">
        <f>30*L51</f>
        <v>1.4257142857142857</v>
      </c>
      <c r="E35" s="15">
        <f>(6*L31)</f>
        <v>1.0265142857142857</v>
      </c>
      <c r="F35" s="15">
        <f t="shared" si="0"/>
        <v>2.4522285714285714</v>
      </c>
      <c r="G35" s="12"/>
      <c r="H35" s="41"/>
      <c r="I35" s="41"/>
      <c r="J35" s="12"/>
      <c r="K35" s="55" t="s">
        <v>98</v>
      </c>
      <c r="L35" s="79">
        <v>450</v>
      </c>
      <c r="M35" s="12"/>
      <c r="N35" s="12"/>
      <c r="O35" s="12"/>
      <c r="P35" s="12"/>
      <c r="Q35" s="16"/>
      <c r="R35" s="41"/>
      <c r="S35" s="41"/>
      <c r="T35" s="41"/>
      <c r="U35" s="41"/>
      <c r="V35" s="41"/>
      <c r="W35" s="41"/>
      <c r="X35" s="41"/>
      <c r="Y35" s="41"/>
      <c r="Z35" s="41"/>
    </row>
    <row r="36" spans="1:26" ht="28.5" customHeight="1" x14ac:dyDescent="0.2">
      <c r="A36" s="16">
        <v>32</v>
      </c>
      <c r="B36" s="43"/>
      <c r="C36" s="43" t="s">
        <v>1098</v>
      </c>
      <c r="D36" s="15">
        <v>0</v>
      </c>
      <c r="E36" s="15">
        <f>12*L56</f>
        <v>4.1820952380952381E-4</v>
      </c>
      <c r="F36" s="15">
        <f t="shared" si="0"/>
        <v>4.1820952380952381E-4</v>
      </c>
      <c r="G36" s="12"/>
      <c r="H36" s="41"/>
      <c r="I36" s="41"/>
      <c r="J36" s="12"/>
      <c r="K36" s="58" t="s">
        <v>104</v>
      </c>
      <c r="L36" s="60">
        <f>(L35/L34)*$I$6</f>
        <v>2.1385714285714288</v>
      </c>
      <c r="M36" s="12"/>
      <c r="N36" s="12"/>
      <c r="O36" s="12"/>
      <c r="P36" s="12"/>
      <c r="Q36" s="16"/>
      <c r="R36" s="41"/>
      <c r="S36" s="41"/>
      <c r="T36" s="41"/>
      <c r="U36" s="41"/>
      <c r="V36" s="41"/>
      <c r="W36" s="41"/>
      <c r="X36" s="41"/>
      <c r="Y36" s="41"/>
      <c r="Z36" s="41"/>
    </row>
    <row r="37" spans="1:26" ht="28.5" customHeight="1" x14ac:dyDescent="0.2">
      <c r="A37" s="16">
        <v>33</v>
      </c>
      <c r="B37" s="175" t="s">
        <v>1056</v>
      </c>
      <c r="C37" s="43" t="s">
        <v>1099</v>
      </c>
      <c r="D37" s="147">
        <v>0</v>
      </c>
      <c r="E37" s="15">
        <f>2*L41</f>
        <v>2.3761904761904762</v>
      </c>
      <c r="F37" s="15">
        <f t="shared" si="0"/>
        <v>2.3761904761904762</v>
      </c>
      <c r="G37" s="12"/>
      <c r="H37" s="41"/>
      <c r="I37" s="41"/>
      <c r="J37" s="12"/>
      <c r="K37" s="12"/>
      <c r="L37" s="12"/>
      <c r="M37" s="12"/>
      <c r="N37" s="12"/>
      <c r="O37" s="12"/>
      <c r="P37" s="12"/>
      <c r="Q37" s="16"/>
      <c r="R37" s="41"/>
      <c r="S37" s="41"/>
      <c r="T37" s="41"/>
      <c r="U37" s="41"/>
      <c r="V37" s="41"/>
      <c r="W37" s="41"/>
      <c r="X37" s="41"/>
      <c r="Y37" s="41"/>
      <c r="Z37" s="41"/>
    </row>
    <row r="38" spans="1:26" ht="28.5" customHeight="1" x14ac:dyDescent="0.2">
      <c r="A38" s="16">
        <v>34</v>
      </c>
      <c r="B38" s="43" t="s">
        <v>1075</v>
      </c>
      <c r="C38" s="175" t="s">
        <v>1100</v>
      </c>
      <c r="D38" s="15">
        <f>2*(60000*I16)</f>
        <v>1.0455238095238097E-2</v>
      </c>
      <c r="E38" s="147">
        <v>0</v>
      </c>
      <c r="F38" s="15">
        <f t="shared" si="0"/>
        <v>1.0455238095238097E-2</v>
      </c>
      <c r="G38" s="12"/>
      <c r="H38" s="41"/>
      <c r="I38" s="41"/>
      <c r="J38" s="12"/>
      <c r="K38" s="49" t="s">
        <v>405</v>
      </c>
      <c r="L38" s="83" t="s">
        <v>1101</v>
      </c>
      <c r="M38" s="12"/>
      <c r="N38" s="12"/>
      <c r="O38" s="12"/>
      <c r="P38" s="12"/>
      <c r="Q38" s="16"/>
      <c r="R38" s="41"/>
      <c r="S38" s="41"/>
      <c r="T38" s="41"/>
      <c r="U38" s="41"/>
      <c r="V38" s="41"/>
      <c r="W38" s="41"/>
      <c r="X38" s="41"/>
      <c r="Y38" s="41"/>
      <c r="Z38" s="41"/>
    </row>
    <row r="39" spans="1:26" ht="28.5" customHeight="1" x14ac:dyDescent="0.2">
      <c r="A39" s="16">
        <v>35</v>
      </c>
      <c r="B39" s="175"/>
      <c r="C39" s="175" t="s">
        <v>1102</v>
      </c>
      <c r="D39" s="15">
        <v>0</v>
      </c>
      <c r="E39" s="147">
        <f>8*L86</f>
        <v>6.970158730158731E-3</v>
      </c>
      <c r="F39" s="15">
        <f t="shared" si="0"/>
        <v>6.970158730158731E-3</v>
      </c>
      <c r="G39" s="12"/>
      <c r="H39" s="41"/>
      <c r="I39" s="41"/>
      <c r="J39" s="12"/>
      <c r="K39" s="52" t="s">
        <v>92</v>
      </c>
      <c r="L39" s="77">
        <v>1</v>
      </c>
      <c r="M39" s="12"/>
      <c r="N39" s="12"/>
      <c r="O39" s="12"/>
      <c r="P39" s="12"/>
      <c r="Q39" s="16"/>
      <c r="R39" s="41"/>
      <c r="S39" s="41"/>
      <c r="T39" s="41"/>
      <c r="U39" s="41"/>
      <c r="V39" s="41"/>
      <c r="W39" s="41"/>
      <c r="X39" s="41"/>
      <c r="Y39" s="41"/>
      <c r="Z39" s="41"/>
    </row>
    <row r="40" spans="1:26" ht="28.5" customHeight="1" x14ac:dyDescent="0.2">
      <c r="A40" s="16">
        <v>36</v>
      </c>
      <c r="B40" s="175" t="s">
        <v>1103</v>
      </c>
      <c r="C40" s="43" t="s">
        <v>1104</v>
      </c>
      <c r="D40" s="147">
        <v>0</v>
      </c>
      <c r="E40" s="15">
        <f>3*L11</f>
        <v>5.97</v>
      </c>
      <c r="F40" s="15">
        <f t="shared" si="0"/>
        <v>5.97</v>
      </c>
      <c r="G40" s="12"/>
      <c r="H40" s="41"/>
      <c r="I40" s="41"/>
      <c r="J40" s="12"/>
      <c r="K40" s="55" t="s">
        <v>98</v>
      </c>
      <c r="L40" s="79">
        <v>250</v>
      </c>
      <c r="M40" s="12"/>
      <c r="N40" s="12"/>
      <c r="O40" s="12"/>
      <c r="P40" s="12"/>
      <c r="Q40" s="16"/>
      <c r="R40" s="41"/>
      <c r="S40" s="41"/>
      <c r="T40" s="41"/>
      <c r="U40" s="41"/>
      <c r="V40" s="41"/>
      <c r="W40" s="41"/>
      <c r="X40" s="41"/>
      <c r="Y40" s="41"/>
      <c r="Z40" s="41"/>
    </row>
    <row r="41" spans="1:26" ht="28.5" customHeight="1" x14ac:dyDescent="0.2">
      <c r="A41" s="16">
        <v>37</v>
      </c>
      <c r="B41" s="43"/>
      <c r="C41" s="43" t="s">
        <v>1105</v>
      </c>
      <c r="D41" s="15">
        <v>0</v>
      </c>
      <c r="E41" s="15">
        <f>1*L26</f>
        <v>5.7028571428571428</v>
      </c>
      <c r="F41" s="15">
        <f t="shared" si="0"/>
        <v>5.7028571428571428</v>
      </c>
      <c r="G41" s="12"/>
      <c r="H41" s="41"/>
      <c r="I41" s="41"/>
      <c r="J41" s="12"/>
      <c r="K41" s="58" t="s">
        <v>104</v>
      </c>
      <c r="L41" s="60">
        <f>(L40/L39)*$I$6</f>
        <v>1.1880952380952381</v>
      </c>
      <c r="M41" s="12"/>
      <c r="N41" s="12"/>
      <c r="O41" s="12"/>
      <c r="P41" s="12"/>
      <c r="Q41" s="16"/>
      <c r="R41" s="41"/>
      <c r="S41" s="41"/>
      <c r="T41" s="41"/>
      <c r="U41" s="41"/>
      <c r="V41" s="41"/>
      <c r="W41" s="41"/>
      <c r="X41" s="41"/>
      <c r="Y41" s="41"/>
      <c r="Z41" s="41"/>
    </row>
    <row r="42" spans="1:26" ht="28.5" customHeight="1" x14ac:dyDescent="0.2">
      <c r="A42" s="16">
        <v>38</v>
      </c>
      <c r="B42" s="43" t="s">
        <v>1106</v>
      </c>
      <c r="C42" s="175" t="s">
        <v>1037</v>
      </c>
      <c r="D42" s="15">
        <f>1*L41</f>
        <v>1.1880952380952381</v>
      </c>
      <c r="E42" s="15">
        <f>5*O8</f>
        <v>1.1308686507936507</v>
      </c>
      <c r="F42" s="15">
        <f t="shared" si="0"/>
        <v>2.3189638888888888</v>
      </c>
      <c r="G42" s="12"/>
      <c r="H42" s="41"/>
      <c r="I42" s="41"/>
      <c r="J42" s="12"/>
      <c r="K42" s="12"/>
      <c r="L42" s="12"/>
      <c r="M42" s="12"/>
      <c r="N42" s="12"/>
      <c r="O42" s="12"/>
      <c r="P42" s="12"/>
      <c r="Q42" s="16"/>
      <c r="R42" s="41"/>
      <c r="S42" s="41"/>
      <c r="T42" s="41"/>
      <c r="U42" s="41"/>
      <c r="V42" s="41"/>
      <c r="W42" s="41"/>
      <c r="X42" s="41"/>
      <c r="Y42" s="41"/>
      <c r="Z42" s="41"/>
    </row>
    <row r="43" spans="1:26" ht="28.5" customHeight="1" x14ac:dyDescent="0.2">
      <c r="A43" s="16">
        <v>39</v>
      </c>
      <c r="B43" s="43" t="s">
        <v>1107</v>
      </c>
      <c r="C43" s="43" t="s">
        <v>1108</v>
      </c>
      <c r="D43" s="15">
        <f>2*L76</f>
        <v>1.9009523809523809</v>
      </c>
      <c r="E43" s="15">
        <f>L116</f>
        <v>66.005291005291014</v>
      </c>
      <c r="F43" s="15">
        <f t="shared" si="0"/>
        <v>67.906243386243389</v>
      </c>
      <c r="G43" s="12"/>
      <c r="H43" s="41"/>
      <c r="I43" s="41"/>
      <c r="J43" s="12"/>
      <c r="K43" s="49" t="s">
        <v>407</v>
      </c>
      <c r="L43" s="83" t="s">
        <v>1109</v>
      </c>
      <c r="M43" s="12"/>
      <c r="N43" s="12"/>
      <c r="O43" s="12"/>
      <c r="P43" s="12"/>
      <c r="Q43" s="16"/>
      <c r="R43" s="41"/>
      <c r="S43" s="41"/>
      <c r="T43" s="41"/>
      <c r="U43" s="41"/>
      <c r="V43" s="41"/>
      <c r="W43" s="41"/>
      <c r="X43" s="41"/>
      <c r="Y43" s="41"/>
      <c r="Z43" s="41"/>
    </row>
    <row r="44" spans="1:26" ht="28.5" customHeight="1" x14ac:dyDescent="0.2">
      <c r="A44" s="16">
        <v>40</v>
      </c>
      <c r="B44" s="43"/>
      <c r="C44" s="43" t="s">
        <v>1110</v>
      </c>
      <c r="D44" s="15">
        <v>0</v>
      </c>
      <c r="E44" s="147">
        <f>5*L91</f>
        <v>20.910476190476185</v>
      </c>
      <c r="F44" s="15">
        <f t="shared" si="0"/>
        <v>20.910476190476185</v>
      </c>
      <c r="G44" s="12"/>
      <c r="H44" s="41"/>
      <c r="I44" s="41"/>
      <c r="J44" s="12"/>
      <c r="K44" s="52" t="s">
        <v>92</v>
      </c>
      <c r="L44" s="77">
        <v>1</v>
      </c>
      <c r="M44" s="12"/>
      <c r="N44" s="12"/>
      <c r="O44" s="12"/>
      <c r="P44" s="12"/>
      <c r="Q44" s="16"/>
      <c r="R44" s="41"/>
      <c r="S44" s="41"/>
      <c r="T44" s="41"/>
      <c r="U44" s="41"/>
      <c r="V44" s="41"/>
      <c r="W44" s="41"/>
      <c r="X44" s="41"/>
      <c r="Y44" s="41"/>
      <c r="Z44" s="41"/>
    </row>
    <row r="45" spans="1:26" ht="28.5" customHeight="1" x14ac:dyDescent="0.2">
      <c r="A45" s="16">
        <v>41</v>
      </c>
      <c r="B45" s="43" t="s">
        <v>1111</v>
      </c>
      <c r="C45" s="43" t="s">
        <v>1112</v>
      </c>
      <c r="D45" s="15">
        <f>5*L31</f>
        <v>0.85542857142857143</v>
      </c>
      <c r="E45" s="15">
        <f>(10*L31)</f>
        <v>1.7108571428571429</v>
      </c>
      <c r="F45" s="15">
        <f t="shared" si="0"/>
        <v>2.5662857142857143</v>
      </c>
      <c r="G45" s="12"/>
      <c r="H45" s="41"/>
      <c r="I45" s="41"/>
      <c r="J45" s="12"/>
      <c r="K45" s="55" t="s">
        <v>98</v>
      </c>
      <c r="L45" s="79">
        <v>750</v>
      </c>
      <c r="M45" s="12"/>
      <c r="N45" s="12"/>
      <c r="O45" s="12"/>
      <c r="P45" s="12"/>
      <c r="Q45" s="16"/>
      <c r="R45" s="41"/>
      <c r="S45" s="41"/>
      <c r="T45" s="41"/>
      <c r="U45" s="41"/>
      <c r="V45" s="41"/>
      <c r="W45" s="41"/>
      <c r="X45" s="41"/>
      <c r="Y45" s="41"/>
      <c r="Z45" s="41"/>
    </row>
    <row r="46" spans="1:26" ht="28.5" customHeight="1" x14ac:dyDescent="0.2">
      <c r="A46" s="16">
        <v>42</v>
      </c>
      <c r="B46" s="43"/>
      <c r="C46" s="175" t="s">
        <v>1113</v>
      </c>
      <c r="D46" s="15">
        <v>0</v>
      </c>
      <c r="E46" s="147">
        <v>0</v>
      </c>
      <c r="F46" s="15">
        <f t="shared" si="0"/>
        <v>0</v>
      </c>
      <c r="G46" s="12"/>
      <c r="H46" s="41"/>
      <c r="I46" s="41"/>
      <c r="J46" s="12"/>
      <c r="K46" s="58" t="s">
        <v>104</v>
      </c>
      <c r="L46" s="60">
        <f>(L45/L44)*$I$6</f>
        <v>3.5642857142857141</v>
      </c>
      <c r="M46" s="12"/>
      <c r="N46" s="12"/>
      <c r="O46" s="12"/>
      <c r="P46" s="12"/>
      <c r="Q46" s="16"/>
      <c r="R46" s="41"/>
      <c r="S46" s="41"/>
      <c r="T46" s="41"/>
      <c r="U46" s="41"/>
      <c r="V46" s="41"/>
      <c r="W46" s="41"/>
      <c r="X46" s="41"/>
      <c r="Y46" s="41"/>
      <c r="Z46" s="41"/>
    </row>
    <row r="47" spans="1:26" ht="28.5" customHeight="1" x14ac:dyDescent="0.2">
      <c r="A47" s="16">
        <v>43</v>
      </c>
      <c r="B47" s="43" t="s">
        <v>1114</v>
      </c>
      <c r="C47" s="43" t="s">
        <v>1115</v>
      </c>
      <c r="D47" s="15">
        <f>1*L41</f>
        <v>1.1880952380952381</v>
      </c>
      <c r="E47" s="15">
        <f>2*L41</f>
        <v>2.3761904761904762</v>
      </c>
      <c r="F47" s="15">
        <f t="shared" si="0"/>
        <v>3.5642857142857141</v>
      </c>
      <c r="G47" s="12"/>
      <c r="H47" s="41"/>
      <c r="I47" s="41"/>
      <c r="J47" s="12"/>
      <c r="K47" s="12"/>
      <c r="L47" s="82"/>
      <c r="M47" s="12"/>
      <c r="N47" s="12"/>
      <c r="O47" s="12"/>
      <c r="P47" s="12"/>
      <c r="Q47" s="16"/>
      <c r="R47" s="41"/>
      <c r="S47" s="41"/>
      <c r="T47" s="41"/>
      <c r="U47" s="41"/>
      <c r="V47" s="41"/>
      <c r="W47" s="41"/>
      <c r="X47" s="41"/>
      <c r="Y47" s="41"/>
      <c r="Z47" s="41"/>
    </row>
    <row r="48" spans="1:26" ht="28.5" customHeight="1" x14ac:dyDescent="0.2">
      <c r="A48" s="16">
        <v>44</v>
      </c>
      <c r="B48" s="43" t="s">
        <v>1062</v>
      </c>
      <c r="C48" s="43" t="s">
        <v>1116</v>
      </c>
      <c r="D48" s="15">
        <f>2*L26</f>
        <v>11.405714285714286</v>
      </c>
      <c r="E48" s="15">
        <v>0</v>
      </c>
      <c r="F48" s="15">
        <f t="shared" si="0"/>
        <v>11.405714285714286</v>
      </c>
      <c r="G48" s="12"/>
      <c r="H48" s="41"/>
      <c r="I48" s="41"/>
      <c r="J48" s="12"/>
      <c r="K48" s="49" t="s">
        <v>490</v>
      </c>
      <c r="L48" s="67" t="s">
        <v>1117</v>
      </c>
      <c r="M48" s="12"/>
      <c r="N48" s="12"/>
      <c r="O48" s="12"/>
      <c r="P48" s="12"/>
      <c r="Q48" s="16"/>
      <c r="R48" s="41"/>
      <c r="S48" s="41"/>
      <c r="T48" s="41"/>
      <c r="U48" s="41"/>
      <c r="V48" s="41"/>
      <c r="W48" s="41"/>
      <c r="X48" s="41"/>
      <c r="Y48" s="41"/>
      <c r="Z48" s="41"/>
    </row>
    <row r="49" spans="1:26" ht="28.5" customHeight="1" x14ac:dyDescent="0.2">
      <c r="A49" s="16">
        <v>45</v>
      </c>
      <c r="B49" s="43"/>
      <c r="C49" s="43" t="s">
        <v>1118</v>
      </c>
      <c r="D49" s="15">
        <v>0</v>
      </c>
      <c r="E49" s="15">
        <f>2*(500000*I16)</f>
        <v>8.7126984126984136E-2</v>
      </c>
      <c r="F49" s="15">
        <f t="shared" si="0"/>
        <v>8.7126984126984136E-2</v>
      </c>
      <c r="G49" s="12"/>
      <c r="H49" s="41"/>
      <c r="I49" s="41"/>
      <c r="J49" s="12"/>
      <c r="K49" s="52" t="s">
        <v>92</v>
      </c>
      <c r="L49" s="77">
        <v>1</v>
      </c>
      <c r="M49" s="12"/>
      <c r="N49" s="12"/>
      <c r="O49" s="12"/>
      <c r="P49" s="12"/>
      <c r="Q49" s="16"/>
      <c r="R49" s="41"/>
      <c r="S49" s="41"/>
      <c r="T49" s="41"/>
      <c r="U49" s="41"/>
      <c r="V49" s="41"/>
      <c r="W49" s="41"/>
      <c r="X49" s="41"/>
      <c r="Y49" s="41"/>
      <c r="Z49" s="41"/>
    </row>
    <row r="50" spans="1:26" ht="28.5" customHeight="1" x14ac:dyDescent="0.2">
      <c r="A50" s="16">
        <v>46</v>
      </c>
      <c r="B50" s="43" t="s">
        <v>1119</v>
      </c>
      <c r="C50" s="43" t="s">
        <v>1120</v>
      </c>
      <c r="D50" s="15">
        <f>2*(150000*I16)</f>
        <v>2.6138095238095242E-2</v>
      </c>
      <c r="E50" s="15">
        <f>2*(500000*I16)</f>
        <v>8.7126984126984136E-2</v>
      </c>
      <c r="F50" s="15">
        <f t="shared" si="0"/>
        <v>0.11326507936507937</v>
      </c>
      <c r="G50" s="12"/>
      <c r="H50" s="41"/>
      <c r="I50" s="41"/>
      <c r="J50" s="12"/>
      <c r="K50" s="55" t="s">
        <v>98</v>
      </c>
      <c r="L50" s="79">
        <v>10</v>
      </c>
      <c r="M50" s="12"/>
      <c r="N50" s="12"/>
      <c r="O50" s="12"/>
      <c r="P50" s="12"/>
      <c r="Q50" s="16"/>
      <c r="R50" s="41"/>
      <c r="S50" s="41"/>
      <c r="T50" s="41"/>
      <c r="U50" s="41"/>
      <c r="V50" s="41"/>
      <c r="W50" s="41"/>
      <c r="X50" s="41"/>
      <c r="Y50" s="41"/>
      <c r="Z50" s="41"/>
    </row>
    <row r="51" spans="1:26" ht="28.5" customHeight="1" x14ac:dyDescent="0.2">
      <c r="A51" s="16">
        <v>47</v>
      </c>
      <c r="B51" s="43"/>
      <c r="C51" s="175" t="s">
        <v>1110</v>
      </c>
      <c r="D51" s="15">
        <v>0</v>
      </c>
      <c r="E51" s="147">
        <f>5*L91</f>
        <v>20.910476190476185</v>
      </c>
      <c r="F51" s="15">
        <f t="shared" si="0"/>
        <v>20.910476190476185</v>
      </c>
      <c r="G51" s="12"/>
      <c r="H51" s="41"/>
      <c r="I51" s="41"/>
      <c r="J51" s="12"/>
      <c r="K51" s="58" t="s">
        <v>104</v>
      </c>
      <c r="L51" s="60">
        <f>(L50/L49)*$I$6</f>
        <v>4.7523809523809524E-2</v>
      </c>
      <c r="M51" s="12"/>
      <c r="N51" s="12"/>
      <c r="O51" s="12"/>
      <c r="P51" s="12"/>
      <c r="Q51" s="16"/>
      <c r="R51" s="41"/>
      <c r="S51" s="41"/>
      <c r="T51" s="41"/>
      <c r="U51" s="41"/>
      <c r="V51" s="41"/>
      <c r="W51" s="41"/>
      <c r="X51" s="41"/>
      <c r="Y51" s="41"/>
      <c r="Z51" s="41"/>
    </row>
    <row r="52" spans="1:26" ht="28.5" customHeight="1" x14ac:dyDescent="0.2">
      <c r="A52" s="16">
        <v>48</v>
      </c>
      <c r="B52" s="43" t="s">
        <v>1121</v>
      </c>
      <c r="C52" s="43" t="s">
        <v>1122</v>
      </c>
      <c r="D52" s="15">
        <f>2*(150000*I16)</f>
        <v>2.6138095238095242E-2</v>
      </c>
      <c r="E52" s="15">
        <f>2*(375000*I21)</f>
        <v>78.414285714285711</v>
      </c>
      <c r="F52" s="15">
        <f t="shared" si="0"/>
        <v>78.440423809523807</v>
      </c>
      <c r="G52" s="12"/>
      <c r="H52" s="82"/>
      <c r="I52" s="82"/>
      <c r="J52" s="12"/>
      <c r="K52" s="12"/>
      <c r="L52" s="82"/>
      <c r="M52" s="12"/>
      <c r="N52" s="12"/>
      <c r="O52" s="12"/>
      <c r="P52" s="12"/>
      <c r="Q52" s="16"/>
      <c r="R52" s="41"/>
      <c r="S52" s="41"/>
      <c r="T52" s="41"/>
      <c r="U52" s="41"/>
      <c r="V52" s="41"/>
      <c r="W52" s="41"/>
      <c r="X52" s="41"/>
      <c r="Y52" s="41"/>
      <c r="Z52" s="41"/>
    </row>
    <row r="53" spans="1:26" ht="28.5" customHeight="1" x14ac:dyDescent="0.2">
      <c r="A53" s="16">
        <v>49</v>
      </c>
      <c r="B53" s="43" t="s">
        <v>1123</v>
      </c>
      <c r="C53" s="175" t="s">
        <v>1124</v>
      </c>
      <c r="D53" s="15">
        <f>2*(400000*I16)</f>
        <v>6.9701587301587306E-2</v>
      </c>
      <c r="E53" s="147">
        <f>(2*L96)+L81</f>
        <v>10.93047619047619</v>
      </c>
      <c r="F53" s="15">
        <f t="shared" si="0"/>
        <v>11.000177777777777</v>
      </c>
      <c r="G53" s="12"/>
      <c r="H53" s="41"/>
      <c r="I53" s="41"/>
      <c r="J53" s="12"/>
      <c r="K53" s="49" t="s">
        <v>491</v>
      </c>
      <c r="L53" s="67" t="s">
        <v>1125</v>
      </c>
      <c r="M53" s="12"/>
      <c r="N53" s="12"/>
      <c r="O53" s="12"/>
      <c r="P53" s="12"/>
      <c r="Q53" s="16"/>
      <c r="R53" s="41"/>
      <c r="S53" s="41"/>
      <c r="T53" s="41"/>
      <c r="U53" s="41"/>
      <c r="V53" s="41"/>
      <c r="W53" s="41"/>
      <c r="X53" s="41"/>
      <c r="Y53" s="41"/>
      <c r="Z53" s="41"/>
    </row>
    <row r="54" spans="1:26" ht="28.5" customHeight="1" x14ac:dyDescent="0.2">
      <c r="A54" s="16">
        <v>50</v>
      </c>
      <c r="B54" s="43"/>
      <c r="C54" s="43" t="s">
        <v>1126</v>
      </c>
      <c r="D54" s="15">
        <v>0</v>
      </c>
      <c r="E54" s="15">
        <f>3*L76</f>
        <v>2.8514285714285714</v>
      </c>
      <c r="F54" s="15">
        <f t="shared" si="0"/>
        <v>2.8514285714285714</v>
      </c>
      <c r="G54" s="12"/>
      <c r="H54" s="41"/>
      <c r="I54" s="41"/>
      <c r="J54" s="12"/>
      <c r="K54" s="52" t="s">
        <v>92</v>
      </c>
      <c r="L54" s="53">
        <v>30</v>
      </c>
      <c r="M54" s="12"/>
      <c r="N54" s="12"/>
      <c r="O54" s="12"/>
      <c r="P54" s="12"/>
      <c r="Q54" s="16"/>
      <c r="R54" s="41"/>
      <c r="S54" s="41"/>
      <c r="T54" s="41"/>
      <c r="U54" s="41"/>
      <c r="V54" s="41"/>
      <c r="W54" s="41"/>
      <c r="X54" s="41"/>
      <c r="Y54" s="41"/>
      <c r="Z54" s="41"/>
    </row>
    <row r="55" spans="1:26" ht="28.5" customHeight="1" x14ac:dyDescent="0.2">
      <c r="A55" s="16">
        <v>51</v>
      </c>
      <c r="B55" s="43" t="s">
        <v>1127</v>
      </c>
      <c r="C55" s="43" t="s">
        <v>1128</v>
      </c>
      <c r="D55" s="15">
        <f>2*(112500*I21)</f>
        <v>23.52428571428571</v>
      </c>
      <c r="E55" s="15">
        <f>3*(50000*I11)</f>
        <v>5.9404761904761907</v>
      </c>
      <c r="F55" s="15">
        <f t="shared" si="0"/>
        <v>29.4647619047619</v>
      </c>
      <c r="G55" s="12"/>
      <c r="H55" s="41"/>
      <c r="I55" s="41"/>
      <c r="J55" s="12"/>
      <c r="K55" s="55" t="s">
        <v>358</v>
      </c>
      <c r="L55" s="166">
        <f>(12000/I14)*I15</f>
        <v>26.4</v>
      </c>
      <c r="M55" s="12"/>
      <c r="N55" s="12"/>
      <c r="O55" s="12"/>
      <c r="P55" s="12"/>
      <c r="Q55" s="16"/>
      <c r="R55" s="41"/>
      <c r="S55" s="41"/>
      <c r="T55" s="41"/>
      <c r="U55" s="41"/>
      <c r="V55" s="41"/>
      <c r="W55" s="41"/>
      <c r="X55" s="41"/>
      <c r="Y55" s="41"/>
      <c r="Z55" s="41"/>
    </row>
    <row r="56" spans="1:26" ht="28.5" customHeight="1" x14ac:dyDescent="0.2">
      <c r="A56" s="16">
        <v>52</v>
      </c>
      <c r="B56" s="43"/>
      <c r="C56" s="43" t="s">
        <v>1089</v>
      </c>
      <c r="D56" s="15">
        <v>0</v>
      </c>
      <c r="E56" s="15">
        <f>1*L36</f>
        <v>2.1385714285714288</v>
      </c>
      <c r="F56" s="15">
        <f t="shared" si="0"/>
        <v>2.1385714285714288</v>
      </c>
      <c r="G56" s="12"/>
      <c r="H56" s="41"/>
      <c r="I56" s="41"/>
      <c r="J56" s="12"/>
      <c r="K56" s="58" t="s">
        <v>104</v>
      </c>
      <c r="L56" s="162">
        <f>(L55/L54)*$I$11</f>
        <v>3.4850793650793651E-5</v>
      </c>
      <c r="M56" s="12"/>
      <c r="N56" s="12"/>
      <c r="O56" s="12"/>
      <c r="P56" s="12"/>
      <c r="Q56" s="16"/>
      <c r="R56" s="41"/>
      <c r="S56" s="41"/>
      <c r="T56" s="41"/>
      <c r="U56" s="41"/>
      <c r="V56" s="41"/>
      <c r="W56" s="41"/>
      <c r="X56" s="41"/>
      <c r="Y56" s="41"/>
      <c r="Z56" s="41"/>
    </row>
    <row r="57" spans="1:26" ht="28.5" customHeight="1" x14ac:dyDescent="0.2">
      <c r="A57" s="16">
        <v>53</v>
      </c>
      <c r="B57" s="175" t="s">
        <v>1113</v>
      </c>
      <c r="C57" s="43" t="s">
        <v>1129</v>
      </c>
      <c r="D57" s="147">
        <v>0</v>
      </c>
      <c r="E57" s="15">
        <f>5*(60000*I16)</f>
        <v>2.6138095238095245E-2</v>
      </c>
      <c r="F57" s="15">
        <f t="shared" si="0"/>
        <v>2.6138095238095245E-2</v>
      </c>
      <c r="G57" s="12"/>
      <c r="H57" s="41"/>
      <c r="I57" s="41"/>
      <c r="J57" s="12"/>
      <c r="K57" s="12"/>
      <c r="L57" s="12"/>
      <c r="M57" s="12"/>
      <c r="N57" s="12"/>
      <c r="O57" s="12"/>
      <c r="P57" s="12"/>
      <c r="Q57" s="16"/>
      <c r="R57" s="41"/>
      <c r="S57" s="41"/>
      <c r="T57" s="41"/>
      <c r="U57" s="41"/>
      <c r="V57" s="41"/>
      <c r="W57" s="41"/>
      <c r="X57" s="41"/>
      <c r="Y57" s="41"/>
      <c r="Z57" s="41"/>
    </row>
    <row r="58" spans="1:26" ht="28.5" customHeight="1" x14ac:dyDescent="0.2">
      <c r="A58" s="16">
        <v>54</v>
      </c>
      <c r="B58" s="43" t="s">
        <v>1123</v>
      </c>
      <c r="C58" s="43" t="s">
        <v>1130</v>
      </c>
      <c r="D58" s="15">
        <f>2*(400000*I16)</f>
        <v>6.9701587301587306E-2</v>
      </c>
      <c r="E58" s="15">
        <f>5*(L56)</f>
        <v>1.7425396825396824E-4</v>
      </c>
      <c r="F58" s="15">
        <f t="shared" si="0"/>
        <v>6.9875841269841268E-2</v>
      </c>
      <c r="G58" s="12"/>
      <c r="H58" s="41"/>
      <c r="I58" s="41"/>
      <c r="J58" s="12"/>
      <c r="K58" s="49" t="s">
        <v>994</v>
      </c>
      <c r="L58" s="67" t="s">
        <v>1131</v>
      </c>
      <c r="M58" s="12"/>
      <c r="N58" s="12"/>
      <c r="O58" s="12"/>
      <c r="P58" s="12"/>
      <c r="Q58" s="16"/>
      <c r="R58" s="41"/>
      <c r="S58" s="41"/>
      <c r="T58" s="41"/>
      <c r="U58" s="41"/>
      <c r="V58" s="41"/>
      <c r="W58" s="41"/>
      <c r="X58" s="41"/>
      <c r="Y58" s="41"/>
      <c r="Z58" s="41"/>
    </row>
    <row r="59" spans="1:26" ht="28.5" customHeight="1" x14ac:dyDescent="0.2">
      <c r="A59" s="16">
        <v>55</v>
      </c>
      <c r="B59" s="43"/>
      <c r="C59" s="43" t="s">
        <v>1105</v>
      </c>
      <c r="D59" s="15">
        <v>0</v>
      </c>
      <c r="E59" s="15">
        <f>L26</f>
        <v>5.7028571428571428</v>
      </c>
      <c r="F59" s="15">
        <f t="shared" si="0"/>
        <v>5.7028571428571428</v>
      </c>
      <c r="G59" s="12"/>
      <c r="H59" s="41"/>
      <c r="I59" s="41"/>
      <c r="J59" s="12"/>
      <c r="K59" s="52" t="s">
        <v>92</v>
      </c>
      <c r="L59" s="77">
        <v>1</v>
      </c>
      <c r="M59" s="12"/>
      <c r="N59" s="12"/>
      <c r="O59" s="12"/>
      <c r="P59" s="12"/>
      <c r="Q59" s="16"/>
      <c r="R59" s="41"/>
      <c r="S59" s="41"/>
      <c r="T59" s="41"/>
      <c r="U59" s="41"/>
      <c r="V59" s="41"/>
      <c r="W59" s="41"/>
      <c r="X59" s="41"/>
      <c r="Y59" s="41"/>
      <c r="Z59" s="41"/>
    </row>
    <row r="60" spans="1:26" ht="28.5" customHeight="1" x14ac:dyDescent="0.2">
      <c r="A60" s="16">
        <v>56</v>
      </c>
      <c r="B60" s="175" t="s">
        <v>1132</v>
      </c>
      <c r="C60" s="175" t="s">
        <v>1113</v>
      </c>
      <c r="D60" s="147">
        <v>0</v>
      </c>
      <c r="E60" s="147">
        <v>0</v>
      </c>
      <c r="F60" s="15">
        <f t="shared" si="0"/>
        <v>0</v>
      </c>
      <c r="G60" s="12"/>
      <c r="H60" s="41"/>
      <c r="I60" s="41"/>
      <c r="J60" s="12"/>
      <c r="K60" s="55" t="s">
        <v>98</v>
      </c>
      <c r="L60" s="79">
        <v>10</v>
      </c>
      <c r="M60" s="12"/>
      <c r="N60" s="12"/>
      <c r="O60" s="12"/>
      <c r="P60" s="12"/>
      <c r="Q60" s="16"/>
      <c r="R60" s="41"/>
      <c r="S60" s="41"/>
      <c r="T60" s="41"/>
      <c r="U60" s="41"/>
      <c r="V60" s="41"/>
      <c r="W60" s="41"/>
      <c r="X60" s="41"/>
      <c r="Y60" s="41"/>
      <c r="Z60" s="41"/>
    </row>
    <row r="61" spans="1:26" ht="28.5" customHeight="1" x14ac:dyDescent="0.2">
      <c r="A61" s="16">
        <v>57</v>
      </c>
      <c r="B61" s="43"/>
      <c r="C61" s="175" t="s">
        <v>1037</v>
      </c>
      <c r="D61" s="15">
        <v>0</v>
      </c>
      <c r="E61" s="15">
        <f>5*O8</f>
        <v>1.1308686507936507</v>
      </c>
      <c r="F61" s="15">
        <f t="shared" si="0"/>
        <v>1.1308686507936507</v>
      </c>
      <c r="G61" s="12"/>
      <c r="H61" s="41"/>
      <c r="I61" s="41"/>
      <c r="J61" s="12"/>
      <c r="K61" s="58" t="s">
        <v>104</v>
      </c>
      <c r="L61" s="60">
        <f>(L60/L59)*$I$6</f>
        <v>4.7523809523809524E-2</v>
      </c>
      <c r="M61" s="12"/>
      <c r="N61" s="12"/>
      <c r="O61" s="12"/>
      <c r="P61" s="12"/>
      <c r="Q61" s="16"/>
      <c r="R61" s="41"/>
      <c r="S61" s="41"/>
      <c r="T61" s="41"/>
      <c r="U61" s="41"/>
      <c r="V61" s="41"/>
      <c r="W61" s="41"/>
      <c r="X61" s="41"/>
      <c r="Y61" s="41"/>
      <c r="Z61" s="41"/>
    </row>
    <row r="62" spans="1:26" ht="28.5" customHeight="1" x14ac:dyDescent="0.2">
      <c r="A62" s="16">
        <v>58</v>
      </c>
      <c r="B62" s="43" t="s">
        <v>1133</v>
      </c>
      <c r="C62" s="43" t="s">
        <v>1134</v>
      </c>
      <c r="D62" s="15">
        <f>8*L31</f>
        <v>1.3686857142857143</v>
      </c>
      <c r="E62" s="15">
        <f>6*L96</f>
        <v>4.2771428571428576</v>
      </c>
      <c r="F62" s="15">
        <f t="shared" si="0"/>
        <v>5.6458285714285719</v>
      </c>
      <c r="G62" s="12"/>
      <c r="H62" s="41"/>
      <c r="I62" s="41"/>
      <c r="J62" s="12"/>
      <c r="K62" s="12"/>
      <c r="L62" s="12"/>
      <c r="M62" s="12"/>
      <c r="N62" s="12"/>
      <c r="O62" s="12"/>
      <c r="P62" s="12"/>
      <c r="Q62" s="16"/>
      <c r="R62" s="41"/>
      <c r="S62" s="41"/>
      <c r="T62" s="41"/>
      <c r="U62" s="41"/>
      <c r="V62" s="41"/>
      <c r="W62" s="41"/>
      <c r="X62" s="41"/>
      <c r="Y62" s="41"/>
      <c r="Z62" s="41"/>
    </row>
    <row r="63" spans="1:26" ht="28.5" customHeight="1" x14ac:dyDescent="0.2">
      <c r="A63" s="16">
        <v>59</v>
      </c>
      <c r="B63" s="43" t="s">
        <v>1123</v>
      </c>
      <c r="C63" s="43" t="s">
        <v>1135</v>
      </c>
      <c r="D63" s="15">
        <f>2*(400000*I16)</f>
        <v>6.9701587301587306E-2</v>
      </c>
      <c r="E63" s="15">
        <f>L81</f>
        <v>9.5047619047619047</v>
      </c>
      <c r="F63" s="15">
        <f t="shared" si="0"/>
        <v>9.5744634920634919</v>
      </c>
      <c r="G63" s="12"/>
      <c r="H63" s="41"/>
      <c r="I63" s="41"/>
      <c r="J63" s="12"/>
      <c r="K63" s="49" t="s">
        <v>786</v>
      </c>
      <c r="L63" s="67" t="s">
        <v>1136</v>
      </c>
      <c r="M63" s="12"/>
      <c r="N63" s="12"/>
      <c r="O63" s="12"/>
      <c r="P63" s="12"/>
      <c r="Q63" s="16"/>
      <c r="R63" s="41"/>
      <c r="S63" s="41"/>
      <c r="T63" s="41"/>
      <c r="U63" s="41"/>
      <c r="V63" s="41"/>
      <c r="W63" s="41"/>
      <c r="X63" s="41"/>
      <c r="Y63" s="41"/>
      <c r="Z63" s="41"/>
    </row>
    <row r="64" spans="1:26" ht="28.5" customHeight="1" x14ac:dyDescent="0.2">
      <c r="A64" s="16">
        <v>60</v>
      </c>
      <c r="B64" s="43"/>
      <c r="C64" s="43" t="s">
        <v>1105</v>
      </c>
      <c r="D64" s="15">
        <v>0</v>
      </c>
      <c r="E64" s="15">
        <f>1*L26</f>
        <v>5.7028571428571428</v>
      </c>
      <c r="F64" s="15">
        <f t="shared" si="0"/>
        <v>5.7028571428571428</v>
      </c>
      <c r="G64" s="12"/>
      <c r="H64" s="41"/>
      <c r="I64" s="41"/>
      <c r="J64" s="12"/>
      <c r="K64" s="52" t="s">
        <v>92</v>
      </c>
      <c r="L64" s="144">
        <v>1</v>
      </c>
      <c r="M64" s="12"/>
      <c r="N64" s="12"/>
      <c r="O64" s="12"/>
      <c r="P64" s="12"/>
      <c r="Q64" s="16"/>
      <c r="R64" s="41"/>
      <c r="S64" s="41"/>
      <c r="T64" s="41"/>
      <c r="U64" s="41"/>
      <c r="V64" s="41"/>
      <c r="W64" s="41"/>
      <c r="X64" s="41"/>
      <c r="Y64" s="41"/>
      <c r="Z64" s="41"/>
    </row>
    <row r="65" spans="1:26" ht="28.5" customHeight="1" x14ac:dyDescent="0.2">
      <c r="A65" s="16">
        <v>61</v>
      </c>
      <c r="B65" s="43" t="s">
        <v>1071</v>
      </c>
      <c r="C65" s="43" t="s">
        <v>1137</v>
      </c>
      <c r="D65" s="15">
        <f>150000*I16</f>
        <v>1.3069047619047621E-2</v>
      </c>
      <c r="E65" s="15">
        <f t="shared" ref="E65:E67" si="1">3*$L$31*3</f>
        <v>1.5397714285714286</v>
      </c>
      <c r="F65" s="15">
        <f t="shared" si="0"/>
        <v>1.5528404761904762</v>
      </c>
      <c r="G65" s="12"/>
      <c r="H65" s="41"/>
      <c r="I65" s="41"/>
      <c r="J65" s="12"/>
      <c r="K65" s="55" t="s">
        <v>789</v>
      </c>
      <c r="L65" s="79">
        <v>400000</v>
      </c>
      <c r="M65" s="12"/>
      <c r="N65" s="12"/>
      <c r="O65" s="12"/>
      <c r="P65" s="12"/>
      <c r="Q65" s="16"/>
      <c r="R65" s="41"/>
      <c r="S65" s="41"/>
      <c r="T65" s="41"/>
      <c r="U65" s="41"/>
      <c r="V65" s="41"/>
      <c r="W65" s="41"/>
      <c r="X65" s="41"/>
      <c r="Y65" s="41"/>
      <c r="Z65" s="41"/>
    </row>
    <row r="66" spans="1:26" ht="28.5" customHeight="1" x14ac:dyDescent="0.2">
      <c r="A66" s="16">
        <v>62</v>
      </c>
      <c r="B66" s="43"/>
      <c r="C66" s="43" t="s">
        <v>1137</v>
      </c>
      <c r="D66" s="15">
        <v>0</v>
      </c>
      <c r="E66" s="15">
        <f t="shared" si="1"/>
        <v>1.5397714285714286</v>
      </c>
      <c r="F66" s="15">
        <f t="shared" si="0"/>
        <v>1.5397714285714286</v>
      </c>
      <c r="G66" s="12"/>
      <c r="H66" s="41"/>
      <c r="I66" s="41"/>
      <c r="J66" s="12"/>
      <c r="K66" s="58" t="s">
        <v>104</v>
      </c>
      <c r="L66" s="60">
        <f>L65/L64*$I$16</f>
        <v>3.4850793650793653E-2</v>
      </c>
      <c r="M66" s="12"/>
      <c r="N66" s="12"/>
      <c r="O66" s="12"/>
      <c r="P66" s="12"/>
      <c r="Q66" s="16"/>
      <c r="R66" s="41"/>
      <c r="S66" s="41"/>
      <c r="T66" s="41"/>
      <c r="U66" s="41"/>
      <c r="V66" s="41"/>
      <c r="W66" s="41"/>
      <c r="X66" s="41"/>
      <c r="Y66" s="41"/>
      <c r="Z66" s="41"/>
    </row>
    <row r="67" spans="1:26" ht="28.5" customHeight="1" x14ac:dyDescent="0.2">
      <c r="A67" s="16">
        <v>63</v>
      </c>
      <c r="B67" s="43" t="s">
        <v>1138</v>
      </c>
      <c r="C67" s="43" t="s">
        <v>1137</v>
      </c>
      <c r="D67" s="15">
        <f>3*(150000*I16)</f>
        <v>3.9207142857142864E-2</v>
      </c>
      <c r="E67" s="15">
        <f t="shared" si="1"/>
        <v>1.5397714285714286</v>
      </c>
      <c r="F67" s="15">
        <f t="shared" si="0"/>
        <v>1.5789785714285713</v>
      </c>
      <c r="G67" s="12"/>
      <c r="H67" s="41"/>
      <c r="I67" s="41"/>
      <c r="J67" s="12"/>
      <c r="K67" s="41"/>
      <c r="L67" s="41"/>
      <c r="M67" s="12"/>
      <c r="N67" s="12"/>
      <c r="O67" s="12"/>
      <c r="P67" s="12"/>
      <c r="Q67" s="16"/>
      <c r="R67" s="41"/>
      <c r="S67" s="41"/>
      <c r="T67" s="41"/>
      <c r="U67" s="41"/>
      <c r="V67" s="41"/>
      <c r="W67" s="41"/>
      <c r="X67" s="41"/>
      <c r="Y67" s="41"/>
      <c r="Z67" s="41"/>
    </row>
    <row r="68" spans="1:26" ht="28.5" customHeight="1" x14ac:dyDescent="0.2">
      <c r="A68" s="16">
        <v>64</v>
      </c>
      <c r="B68" s="43" t="s">
        <v>1123</v>
      </c>
      <c r="C68" s="43" t="s">
        <v>1139</v>
      </c>
      <c r="D68" s="15">
        <f>2*(400000*I16)</f>
        <v>6.9701587301587306E-2</v>
      </c>
      <c r="E68" s="15">
        <f>L111</f>
        <v>13.201058201058203</v>
      </c>
      <c r="F68" s="15">
        <f t="shared" si="0"/>
        <v>13.27075978835979</v>
      </c>
      <c r="G68" s="12"/>
      <c r="H68" s="41"/>
      <c r="I68" s="41"/>
      <c r="J68" s="12"/>
      <c r="K68" s="49" t="s">
        <v>1140</v>
      </c>
      <c r="L68" s="67" t="s">
        <v>1141</v>
      </c>
      <c r="M68" s="12"/>
      <c r="N68" s="12"/>
      <c r="O68" s="12"/>
      <c r="P68" s="12"/>
      <c r="Q68" s="16"/>
      <c r="R68" s="41"/>
      <c r="S68" s="41"/>
      <c r="T68" s="41"/>
      <c r="U68" s="41"/>
      <c r="V68" s="41"/>
      <c r="W68" s="41"/>
      <c r="X68" s="41"/>
      <c r="Y68" s="41"/>
      <c r="Z68" s="41"/>
    </row>
    <row r="69" spans="1:26" ht="28.5" customHeight="1" x14ac:dyDescent="0.2">
      <c r="A69" s="16">
        <v>65</v>
      </c>
      <c r="B69" s="43"/>
      <c r="C69" s="43" t="s">
        <v>1142</v>
      </c>
      <c r="D69" s="15">
        <v>0</v>
      </c>
      <c r="E69" s="15">
        <f>5*I26*1000</f>
        <v>23.761904761904763</v>
      </c>
      <c r="F69" s="15">
        <f t="shared" si="0"/>
        <v>23.761904761904763</v>
      </c>
      <c r="G69" s="12"/>
      <c r="H69" s="41"/>
      <c r="I69" s="41"/>
      <c r="J69" s="12"/>
      <c r="K69" s="52" t="s">
        <v>92</v>
      </c>
      <c r="L69" s="144">
        <v>1</v>
      </c>
      <c r="M69" s="12"/>
      <c r="N69" s="12"/>
      <c r="O69" s="12"/>
      <c r="P69" s="12"/>
      <c r="Q69" s="16"/>
      <c r="R69" s="41"/>
      <c r="S69" s="41"/>
      <c r="T69" s="41"/>
      <c r="U69" s="41"/>
      <c r="V69" s="41"/>
      <c r="W69" s="41"/>
      <c r="X69" s="41"/>
      <c r="Y69" s="41"/>
      <c r="Z69" s="41"/>
    </row>
    <row r="70" spans="1:26" ht="28.5" customHeight="1" x14ac:dyDescent="0.2">
      <c r="A70" s="16">
        <v>66</v>
      </c>
      <c r="B70" s="43" t="s">
        <v>1127</v>
      </c>
      <c r="C70" s="43" t="s">
        <v>1099</v>
      </c>
      <c r="D70" s="15">
        <f>2*(112500*I21)</f>
        <v>23.52428571428571</v>
      </c>
      <c r="E70" s="15">
        <f>1*L41</f>
        <v>1.1880952380952381</v>
      </c>
      <c r="F70" s="15">
        <f t="shared" si="0"/>
        <v>24.712380952380947</v>
      </c>
      <c r="G70" s="12"/>
      <c r="H70" s="41"/>
      <c r="I70" s="41"/>
      <c r="J70" s="12"/>
      <c r="K70" s="55" t="s">
        <v>98</v>
      </c>
      <c r="L70" s="79">
        <f t="shared" ref="L70:L71" si="2">0.3*L75</f>
        <v>60</v>
      </c>
      <c r="M70" s="12"/>
      <c r="N70" s="12"/>
      <c r="O70" s="12"/>
      <c r="P70" s="12"/>
      <c r="Q70" s="16"/>
      <c r="R70" s="41"/>
      <c r="S70" s="41"/>
      <c r="T70" s="41"/>
      <c r="U70" s="41"/>
      <c r="V70" s="41"/>
      <c r="W70" s="41"/>
      <c r="X70" s="41"/>
      <c r="Y70" s="41"/>
      <c r="Z70" s="41"/>
    </row>
    <row r="71" spans="1:26" ht="28.5" customHeight="1" x14ac:dyDescent="0.2">
      <c r="A71" s="16">
        <v>67</v>
      </c>
      <c r="B71" s="43"/>
      <c r="C71" s="43" t="s">
        <v>1115</v>
      </c>
      <c r="D71" s="15">
        <v>0</v>
      </c>
      <c r="E71" s="15">
        <f>1*L41</f>
        <v>1.1880952380952381</v>
      </c>
      <c r="F71" s="15">
        <f t="shared" si="0"/>
        <v>1.1880952380952381</v>
      </c>
      <c r="G71" s="12"/>
      <c r="H71" s="41"/>
      <c r="I71" s="41"/>
      <c r="J71" s="12"/>
      <c r="K71" s="58" t="s">
        <v>104</v>
      </c>
      <c r="L71" s="60">
        <f t="shared" si="2"/>
        <v>0.28514285714285714</v>
      </c>
      <c r="M71" s="12"/>
      <c r="N71" s="12"/>
      <c r="O71" s="12"/>
      <c r="P71" s="12"/>
      <c r="Q71" s="16"/>
      <c r="R71" s="41"/>
      <c r="S71" s="41"/>
      <c r="T71" s="41"/>
      <c r="U71" s="41"/>
      <c r="V71" s="41"/>
      <c r="W71" s="41"/>
      <c r="X71" s="41"/>
      <c r="Y71" s="41"/>
      <c r="Z71" s="41"/>
    </row>
    <row r="72" spans="1:26" ht="28.5" customHeight="1" x14ac:dyDescent="0.2">
      <c r="A72" s="16">
        <v>68</v>
      </c>
      <c r="B72" s="43" t="s">
        <v>1123</v>
      </c>
      <c r="C72" s="43" t="s">
        <v>1105</v>
      </c>
      <c r="D72" s="15">
        <f>2*(400000*I16)</f>
        <v>6.9701587301587306E-2</v>
      </c>
      <c r="E72" s="15">
        <f>1*L26</f>
        <v>5.7028571428571428</v>
      </c>
      <c r="F72" s="15">
        <f t="shared" si="0"/>
        <v>5.77255873015873</v>
      </c>
      <c r="G72" s="12"/>
      <c r="H72" s="12"/>
      <c r="I72" s="12"/>
      <c r="J72" s="12"/>
      <c r="K72" s="12"/>
      <c r="L72" s="12"/>
      <c r="M72" s="12"/>
      <c r="N72" s="12"/>
      <c r="O72" s="12"/>
      <c r="P72" s="12"/>
      <c r="Q72" s="16"/>
      <c r="R72" s="41"/>
      <c r="S72" s="41"/>
      <c r="T72" s="41"/>
      <c r="U72" s="41"/>
      <c r="V72" s="41"/>
      <c r="W72" s="41"/>
      <c r="X72" s="41"/>
      <c r="Y72" s="41"/>
      <c r="Z72" s="41"/>
    </row>
    <row r="73" spans="1:26" ht="28.5" customHeight="1" x14ac:dyDescent="0.2">
      <c r="A73" s="16">
        <v>69</v>
      </c>
      <c r="B73" s="43" t="s">
        <v>1143</v>
      </c>
      <c r="C73" s="43" t="s">
        <v>1144</v>
      </c>
      <c r="D73" s="15">
        <f>5*L26</f>
        <v>28.514285714285712</v>
      </c>
      <c r="E73" s="15">
        <f>(2*L66)</f>
        <v>6.9701587301587306E-2</v>
      </c>
      <c r="F73" s="15">
        <f t="shared" si="0"/>
        <v>28.5839873015873</v>
      </c>
      <c r="G73" s="12"/>
      <c r="H73" s="12"/>
      <c r="I73" s="12"/>
      <c r="J73" s="12"/>
      <c r="K73" s="49" t="s">
        <v>1145</v>
      </c>
      <c r="L73" s="83" t="s">
        <v>1146</v>
      </c>
      <c r="M73" s="12"/>
      <c r="N73" s="12"/>
      <c r="O73" s="12"/>
      <c r="P73" s="12"/>
      <c r="Q73" s="16"/>
      <c r="R73" s="41"/>
      <c r="S73" s="41"/>
      <c r="T73" s="41"/>
      <c r="U73" s="41"/>
      <c r="V73" s="41"/>
      <c r="W73" s="41"/>
      <c r="X73" s="41"/>
      <c r="Y73" s="41"/>
      <c r="Z73" s="41"/>
    </row>
    <row r="74" spans="1:26" ht="28.5" customHeight="1" x14ac:dyDescent="0.2">
      <c r="A74" s="16">
        <v>70</v>
      </c>
      <c r="B74" s="41"/>
      <c r="C74" s="175" t="s">
        <v>1147</v>
      </c>
      <c r="D74" s="15">
        <v>0</v>
      </c>
      <c r="E74" s="15">
        <f>7*L96</f>
        <v>4.99</v>
      </c>
      <c r="F74" s="15">
        <f t="shared" si="0"/>
        <v>4.99</v>
      </c>
      <c r="G74" s="12"/>
      <c r="H74" s="12"/>
      <c r="I74" s="12"/>
      <c r="J74" s="12"/>
      <c r="K74" s="52" t="s">
        <v>92</v>
      </c>
      <c r="L74" s="77">
        <v>1</v>
      </c>
      <c r="M74" s="12"/>
      <c r="N74" s="12"/>
      <c r="O74" s="12"/>
      <c r="P74" s="12"/>
      <c r="Q74" s="16"/>
      <c r="R74" s="41"/>
      <c r="S74" s="41"/>
      <c r="T74" s="41"/>
      <c r="U74" s="41"/>
      <c r="V74" s="41"/>
      <c r="W74" s="41"/>
      <c r="X74" s="41"/>
      <c r="Y74" s="41"/>
      <c r="Z74" s="41"/>
    </row>
    <row r="75" spans="1:26" ht="28.5" customHeight="1" x14ac:dyDescent="0.2">
      <c r="A75" s="16">
        <v>71</v>
      </c>
      <c r="B75" s="43"/>
      <c r="C75" s="175" t="s">
        <v>1148</v>
      </c>
      <c r="D75" s="15">
        <v>0</v>
      </c>
      <c r="E75" s="147">
        <f>L121</f>
        <v>11.880952380952381</v>
      </c>
      <c r="F75" s="15">
        <f t="shared" si="0"/>
        <v>11.880952380952381</v>
      </c>
      <c r="G75" s="12"/>
      <c r="H75" s="12"/>
      <c r="I75" s="12"/>
      <c r="J75" s="12"/>
      <c r="K75" s="55" t="s">
        <v>98</v>
      </c>
      <c r="L75" s="79">
        <v>200</v>
      </c>
      <c r="M75" s="12"/>
      <c r="N75" s="12"/>
      <c r="O75" s="12"/>
      <c r="P75" s="12"/>
      <c r="Q75" s="16"/>
      <c r="R75" s="41"/>
      <c r="S75" s="41"/>
      <c r="T75" s="41"/>
      <c r="U75" s="41"/>
      <c r="V75" s="41"/>
      <c r="W75" s="41"/>
      <c r="X75" s="41"/>
      <c r="Y75" s="41"/>
      <c r="Z75" s="41"/>
    </row>
    <row r="76" spans="1:26" ht="28.5" customHeight="1" x14ac:dyDescent="0.2">
      <c r="A76" s="16">
        <v>72</v>
      </c>
      <c r="B76" s="43"/>
      <c r="C76" s="43" t="s">
        <v>1149</v>
      </c>
      <c r="D76" s="15">
        <v>0</v>
      </c>
      <c r="E76" s="15">
        <v>0</v>
      </c>
      <c r="F76" s="15">
        <f t="shared" si="0"/>
        <v>0</v>
      </c>
      <c r="G76" s="12"/>
      <c r="H76" s="12"/>
      <c r="I76" s="12"/>
      <c r="J76" s="12"/>
      <c r="K76" s="58" t="s">
        <v>104</v>
      </c>
      <c r="L76" s="60">
        <f>(L75/L74)*$I$6</f>
        <v>0.95047619047619047</v>
      </c>
      <c r="M76" s="12"/>
      <c r="N76" s="12"/>
      <c r="O76" s="12"/>
      <c r="P76" s="12"/>
      <c r="Q76" s="16"/>
      <c r="R76" s="41"/>
      <c r="S76" s="41"/>
      <c r="T76" s="41"/>
      <c r="U76" s="41"/>
      <c r="V76" s="41"/>
      <c r="W76" s="41"/>
      <c r="X76" s="41"/>
      <c r="Y76" s="41"/>
      <c r="Z76" s="41"/>
    </row>
    <row r="77" spans="1:26" ht="28.5" customHeight="1" x14ac:dyDescent="0.2">
      <c r="A77" s="16">
        <v>73</v>
      </c>
      <c r="B77" s="43"/>
      <c r="C77" s="175" t="s">
        <v>1150</v>
      </c>
      <c r="D77" s="15">
        <v>0</v>
      </c>
      <c r="E77" s="15">
        <f>8*O24</f>
        <v>27.536879365079365</v>
      </c>
      <c r="F77" s="15">
        <f t="shared" si="0"/>
        <v>27.536879365079365</v>
      </c>
      <c r="G77" s="12"/>
      <c r="H77" s="12"/>
      <c r="I77" s="12"/>
      <c r="J77" s="12"/>
      <c r="K77" s="41"/>
      <c r="L77" s="41"/>
      <c r="M77" s="12"/>
      <c r="N77" s="12"/>
      <c r="O77" s="12"/>
      <c r="P77" s="12"/>
      <c r="Q77" s="16"/>
      <c r="R77" s="41"/>
      <c r="S77" s="41"/>
      <c r="T77" s="41"/>
      <c r="U77" s="41"/>
      <c r="V77" s="41"/>
      <c r="W77" s="41"/>
      <c r="X77" s="41"/>
      <c r="Y77" s="41"/>
      <c r="Z77" s="41"/>
    </row>
    <row r="78" spans="1:26" ht="28.5" customHeight="1" x14ac:dyDescent="0.2">
      <c r="A78" s="16">
        <v>74</v>
      </c>
      <c r="B78" s="43"/>
      <c r="C78" s="43" t="s">
        <v>1151</v>
      </c>
      <c r="D78" s="15">
        <v>0</v>
      </c>
      <c r="E78" s="15">
        <f>2*(400000*I16)</f>
        <v>6.9701587301587306E-2</v>
      </c>
      <c r="F78" s="15">
        <f t="shared" si="0"/>
        <v>6.9701587301587306E-2</v>
      </c>
      <c r="G78" s="12"/>
      <c r="H78" s="12"/>
      <c r="I78" s="12"/>
      <c r="J78" s="12"/>
      <c r="K78" s="49" t="s">
        <v>1152</v>
      </c>
      <c r="L78" s="83" t="s">
        <v>1153</v>
      </c>
      <c r="M78" s="12"/>
      <c r="N78" s="12"/>
      <c r="O78" s="12"/>
      <c r="P78" s="12"/>
      <c r="Q78" s="16"/>
      <c r="R78" s="41"/>
      <c r="S78" s="41"/>
      <c r="T78" s="41"/>
      <c r="U78" s="41"/>
      <c r="V78" s="41"/>
      <c r="W78" s="41"/>
      <c r="X78" s="41"/>
      <c r="Y78" s="41"/>
      <c r="Z78" s="41"/>
    </row>
    <row r="79" spans="1:26" ht="28.5" customHeight="1" x14ac:dyDescent="0.2">
      <c r="A79" s="16">
        <v>75</v>
      </c>
      <c r="B79" s="43"/>
      <c r="C79" s="43" t="s">
        <v>1062</v>
      </c>
      <c r="D79" s="15">
        <v>0</v>
      </c>
      <c r="E79" s="15">
        <f>2*L26</f>
        <v>11.405714285714286</v>
      </c>
      <c r="F79" s="15">
        <f t="shared" si="0"/>
        <v>11.405714285714286</v>
      </c>
      <c r="G79" s="12"/>
      <c r="H79" s="41"/>
      <c r="I79" s="41"/>
      <c r="J79" s="12"/>
      <c r="K79" s="52" t="s">
        <v>92</v>
      </c>
      <c r="L79" s="77">
        <v>1</v>
      </c>
      <c r="M79" s="12"/>
      <c r="N79" s="12"/>
      <c r="O79" s="12"/>
      <c r="P79" s="12"/>
      <c r="Q79" s="16"/>
      <c r="R79" s="41"/>
      <c r="S79" s="41"/>
      <c r="T79" s="41"/>
      <c r="U79" s="41"/>
      <c r="V79" s="41"/>
      <c r="W79" s="41"/>
      <c r="X79" s="41"/>
      <c r="Y79" s="41"/>
      <c r="Z79" s="41"/>
    </row>
    <row r="80" spans="1:26" ht="28.5" customHeight="1" x14ac:dyDescent="0.2">
      <c r="A80" s="16">
        <v>76</v>
      </c>
      <c r="B80" s="43"/>
      <c r="C80" s="43" t="s">
        <v>1154</v>
      </c>
      <c r="D80" s="15">
        <v>0</v>
      </c>
      <c r="E80" s="15">
        <f>8*L11</f>
        <v>15.92</v>
      </c>
      <c r="F80" s="15">
        <f t="shared" si="0"/>
        <v>15.92</v>
      </c>
      <c r="G80" s="12"/>
      <c r="H80" s="41"/>
      <c r="I80" s="41"/>
      <c r="J80" s="12"/>
      <c r="K80" s="55" t="s">
        <v>98</v>
      </c>
      <c r="L80" s="79">
        <v>2000</v>
      </c>
      <c r="M80" s="12"/>
      <c r="N80" s="12"/>
      <c r="O80" s="12"/>
      <c r="P80" s="12"/>
      <c r="Q80" s="16"/>
      <c r="R80" s="41"/>
      <c r="S80" s="41"/>
      <c r="T80" s="41"/>
      <c r="U80" s="41"/>
      <c r="V80" s="41"/>
      <c r="W80" s="41"/>
      <c r="X80" s="41"/>
      <c r="Y80" s="41"/>
      <c r="Z80" s="41"/>
    </row>
    <row r="81" spans="1:26" ht="28.5" customHeight="1" x14ac:dyDescent="0.2">
      <c r="A81" s="16">
        <v>77</v>
      </c>
      <c r="B81" s="43"/>
      <c r="C81" s="43" t="s">
        <v>1155</v>
      </c>
      <c r="D81" s="15">
        <v>0</v>
      </c>
      <c r="E81" s="15">
        <f>2*(400000*I16)</f>
        <v>6.9701587301587306E-2</v>
      </c>
      <c r="F81" s="15">
        <f t="shared" si="0"/>
        <v>6.9701587301587306E-2</v>
      </c>
      <c r="G81" s="12"/>
      <c r="H81" s="41"/>
      <c r="I81" s="41"/>
      <c r="J81" s="12"/>
      <c r="K81" s="58" t="s">
        <v>104</v>
      </c>
      <c r="L81" s="60">
        <f>(L80/L79)*$I$6</f>
        <v>9.5047619047619047</v>
      </c>
      <c r="M81" s="12"/>
      <c r="N81" s="12"/>
      <c r="O81" s="12"/>
      <c r="P81" s="12"/>
      <c r="Q81" s="16"/>
      <c r="R81" s="41"/>
      <c r="S81" s="41"/>
      <c r="T81" s="41"/>
      <c r="U81" s="41"/>
      <c r="V81" s="41"/>
      <c r="W81" s="41"/>
      <c r="X81" s="41"/>
      <c r="Y81" s="41"/>
      <c r="Z81" s="41"/>
    </row>
    <row r="82" spans="1:26" ht="28.5" customHeight="1" x14ac:dyDescent="0.2">
      <c r="A82" s="16">
        <v>78</v>
      </c>
      <c r="B82" s="43"/>
      <c r="C82" s="43" t="s">
        <v>1156</v>
      </c>
      <c r="D82" s="15">
        <v>0</v>
      </c>
      <c r="E82" s="15">
        <f>2*L101</f>
        <v>5.7028571428571428</v>
      </c>
      <c r="F82" s="15">
        <f t="shared" si="0"/>
        <v>5.7028571428571428</v>
      </c>
      <c r="G82" s="12"/>
      <c r="H82" s="41"/>
      <c r="I82" s="41"/>
      <c r="J82" s="12"/>
      <c r="K82" s="41"/>
      <c r="L82" s="41"/>
      <c r="M82" s="12"/>
      <c r="N82" s="12"/>
      <c r="O82" s="12"/>
      <c r="P82" s="12"/>
      <c r="Q82" s="16"/>
      <c r="R82" s="41"/>
      <c r="S82" s="41"/>
      <c r="T82" s="41"/>
      <c r="U82" s="41"/>
      <c r="V82" s="41"/>
      <c r="W82" s="41"/>
      <c r="X82" s="41"/>
      <c r="Y82" s="41"/>
      <c r="Z82" s="41"/>
    </row>
    <row r="83" spans="1:26" ht="28.5" customHeight="1" x14ac:dyDescent="0.2">
      <c r="A83" s="16">
        <v>79</v>
      </c>
      <c r="B83" s="43"/>
      <c r="C83" s="43" t="s">
        <v>1157</v>
      </c>
      <c r="D83" s="15">
        <v>0</v>
      </c>
      <c r="E83" s="15">
        <f>L116+L81</f>
        <v>75.51005291005292</v>
      </c>
      <c r="F83" s="15">
        <f t="shared" si="0"/>
        <v>75.51005291005292</v>
      </c>
      <c r="G83" s="12"/>
      <c r="H83" s="12"/>
      <c r="I83" s="12"/>
      <c r="J83" s="12"/>
      <c r="K83" s="49" t="s">
        <v>1158</v>
      </c>
      <c r="L83" s="67" t="s">
        <v>1159</v>
      </c>
      <c r="M83" s="12"/>
      <c r="N83" s="12"/>
      <c r="O83" s="12"/>
      <c r="P83" s="12"/>
      <c r="Q83" s="16"/>
      <c r="R83" s="41"/>
      <c r="S83" s="41"/>
      <c r="T83" s="41"/>
      <c r="U83" s="41"/>
      <c r="V83" s="41"/>
      <c r="W83" s="41"/>
      <c r="X83" s="41"/>
      <c r="Y83" s="41"/>
      <c r="Z83" s="41"/>
    </row>
    <row r="84" spans="1:26" ht="28.5" customHeight="1" x14ac:dyDescent="0.2">
      <c r="A84" s="16">
        <v>80</v>
      </c>
      <c r="B84" s="43"/>
      <c r="C84" s="175" t="s">
        <v>503</v>
      </c>
      <c r="D84" s="147">
        <v>0</v>
      </c>
      <c r="E84" s="147">
        <f>L126</f>
        <v>3.0890476190476193</v>
      </c>
      <c r="F84" s="15">
        <f t="shared" si="0"/>
        <v>3.0890476190476193</v>
      </c>
      <c r="G84" s="12"/>
      <c r="H84" s="41"/>
      <c r="I84" s="41"/>
      <c r="J84" s="12"/>
      <c r="K84" s="52" t="s">
        <v>92</v>
      </c>
      <c r="L84" s="77">
        <v>1</v>
      </c>
      <c r="M84" s="12"/>
      <c r="N84" s="12"/>
      <c r="O84" s="12"/>
      <c r="P84" s="12"/>
      <c r="Q84" s="16"/>
      <c r="R84" s="41"/>
      <c r="S84" s="41"/>
      <c r="T84" s="41"/>
      <c r="U84" s="41"/>
      <c r="V84" s="41"/>
      <c r="W84" s="41"/>
      <c r="X84" s="41"/>
      <c r="Y84" s="41"/>
      <c r="Z84" s="41"/>
    </row>
    <row r="85" spans="1:26" ht="28.5" customHeight="1" x14ac:dyDescent="0.2">
      <c r="A85" s="28" t="s">
        <v>171</v>
      </c>
      <c r="B85" s="43"/>
      <c r="C85" s="32"/>
      <c r="D85" s="72">
        <f t="shared" ref="D85:F85" si="3">SUM(D2:D84)</f>
        <v>112.12583179047618</v>
      </c>
      <c r="E85" s="72">
        <f t="shared" si="3"/>
        <v>673.39036318201056</v>
      </c>
      <c r="F85" s="72">
        <f t="shared" si="3"/>
        <v>785.51619497248669</v>
      </c>
      <c r="G85" s="12"/>
      <c r="H85" s="41"/>
      <c r="I85" s="41"/>
      <c r="J85" s="12"/>
      <c r="K85" s="55" t="s">
        <v>789</v>
      </c>
      <c r="L85" s="77">
        <v>10000</v>
      </c>
      <c r="M85" s="12"/>
      <c r="N85" s="12"/>
      <c r="O85" s="12"/>
      <c r="P85" s="12"/>
      <c r="Q85" s="16"/>
      <c r="R85" s="41"/>
      <c r="S85" s="41"/>
      <c r="T85" s="41"/>
      <c r="U85" s="41"/>
      <c r="V85" s="41"/>
      <c r="W85" s="41"/>
      <c r="X85" s="41"/>
      <c r="Y85" s="41"/>
      <c r="Z85" s="41"/>
    </row>
    <row r="86" spans="1:26" ht="28.5" customHeight="1" x14ac:dyDescent="0.2">
      <c r="A86" s="28" t="s">
        <v>81</v>
      </c>
      <c r="B86" s="32"/>
      <c r="C86" s="32"/>
      <c r="D86" s="34">
        <f t="shared" ref="D86:F86" si="4">AVERAGE(D4:D84)</f>
        <v>1.3842695282774837</v>
      </c>
      <c r="E86" s="34">
        <f t="shared" si="4"/>
        <v>8.3134612738519831</v>
      </c>
      <c r="F86" s="34">
        <f t="shared" si="4"/>
        <v>9.697730802129465</v>
      </c>
      <c r="G86" s="12"/>
      <c r="H86" s="41"/>
      <c r="I86" s="41"/>
      <c r="J86" s="12"/>
      <c r="K86" s="58" t="s">
        <v>104</v>
      </c>
      <c r="L86" s="162">
        <f>L85/L84*I16</f>
        <v>8.7126984126984137E-4</v>
      </c>
      <c r="M86" s="12"/>
      <c r="N86" s="12"/>
      <c r="O86" s="12"/>
      <c r="P86" s="12"/>
      <c r="Q86" s="16"/>
      <c r="R86" s="41"/>
      <c r="S86" s="41"/>
      <c r="T86" s="41"/>
      <c r="U86" s="41"/>
      <c r="V86" s="41"/>
      <c r="W86" s="41"/>
      <c r="X86" s="41"/>
      <c r="Y86" s="41"/>
      <c r="Z86" s="41"/>
    </row>
    <row r="87" spans="1:26" ht="28.5" customHeight="1" x14ac:dyDescent="0.2">
      <c r="A87" s="28" t="s">
        <v>174</v>
      </c>
      <c r="B87" s="43"/>
      <c r="C87" s="43"/>
      <c r="D87" s="15"/>
      <c r="E87" s="15"/>
      <c r="F87" s="16"/>
      <c r="G87" s="12"/>
      <c r="H87" s="41"/>
      <c r="I87" s="41"/>
      <c r="J87" s="12"/>
      <c r="K87" s="80"/>
      <c r="L87" s="81"/>
      <c r="M87" s="12"/>
      <c r="N87" s="12"/>
      <c r="O87" s="12"/>
      <c r="P87" s="12"/>
      <c r="Q87" s="16"/>
      <c r="R87" s="41"/>
      <c r="S87" s="41"/>
      <c r="T87" s="41"/>
      <c r="U87" s="41"/>
      <c r="V87" s="41"/>
      <c r="W87" s="41"/>
      <c r="X87" s="41"/>
      <c r="Y87" s="41"/>
      <c r="Z87" s="41"/>
    </row>
    <row r="88" spans="1:26" ht="15.75" customHeight="1" x14ac:dyDescent="0.2">
      <c r="A88" s="16"/>
      <c r="B88" s="43"/>
      <c r="C88" s="43"/>
      <c r="D88" s="15"/>
      <c r="E88" s="15"/>
      <c r="F88" s="16"/>
      <c r="G88" s="12"/>
      <c r="H88" s="41"/>
      <c r="I88" s="41"/>
      <c r="J88" s="12"/>
      <c r="K88" s="49" t="s">
        <v>1160</v>
      </c>
      <c r="L88" s="67" t="s">
        <v>1161</v>
      </c>
      <c r="M88" s="12"/>
      <c r="N88" s="12"/>
      <c r="O88" s="12"/>
      <c r="P88" s="12"/>
      <c r="Q88" s="16"/>
      <c r="R88" s="41"/>
      <c r="S88" s="41"/>
      <c r="T88" s="41"/>
      <c r="U88" s="41"/>
      <c r="V88" s="41"/>
      <c r="W88" s="41"/>
      <c r="X88" s="41"/>
      <c r="Y88" s="41"/>
      <c r="Z88" s="41"/>
    </row>
    <row r="89" spans="1:26" ht="15.75" customHeight="1" x14ac:dyDescent="0.2">
      <c r="A89" s="16"/>
      <c r="B89" s="43"/>
      <c r="C89" s="43"/>
      <c r="D89" s="15"/>
      <c r="E89" s="15"/>
      <c r="F89" s="16"/>
      <c r="G89" s="12"/>
      <c r="H89" s="41"/>
      <c r="I89" s="41"/>
      <c r="J89" s="12"/>
      <c r="K89" s="52" t="s">
        <v>92</v>
      </c>
      <c r="L89" s="77">
        <v>1</v>
      </c>
      <c r="M89" s="12"/>
      <c r="N89" s="12"/>
      <c r="O89" s="12"/>
      <c r="P89" s="12"/>
      <c r="Q89" s="16"/>
      <c r="R89" s="41"/>
      <c r="S89" s="41"/>
      <c r="T89" s="41"/>
      <c r="U89" s="41"/>
      <c r="V89" s="41"/>
      <c r="W89" s="41"/>
      <c r="X89" s="41"/>
      <c r="Y89" s="41"/>
      <c r="Z89" s="41"/>
    </row>
    <row r="90" spans="1:26" ht="15.75" customHeight="1" x14ac:dyDescent="0.2">
      <c r="A90" s="16"/>
      <c r="B90" s="43"/>
      <c r="C90" s="43"/>
      <c r="D90" s="15"/>
      <c r="E90" s="15"/>
      <c r="F90" s="16"/>
      <c r="G90" s="12"/>
      <c r="H90" s="41"/>
      <c r="I90" s="41"/>
      <c r="J90" s="12"/>
      <c r="K90" s="55" t="s">
        <v>789</v>
      </c>
      <c r="L90" s="77">
        <f>4*L85</f>
        <v>40000</v>
      </c>
      <c r="M90" s="12"/>
      <c r="N90" s="12"/>
      <c r="O90" s="12"/>
      <c r="P90" s="12"/>
      <c r="Q90" s="16"/>
      <c r="R90" s="41"/>
      <c r="S90" s="41"/>
      <c r="T90" s="41"/>
      <c r="U90" s="41"/>
      <c r="V90" s="41"/>
      <c r="W90" s="41"/>
      <c r="X90" s="41"/>
      <c r="Y90" s="41"/>
      <c r="Z90" s="41"/>
    </row>
    <row r="91" spans="1:26" ht="15.75" customHeight="1" x14ac:dyDescent="0.2">
      <c r="A91" s="16"/>
      <c r="B91" s="43"/>
      <c r="C91" s="43"/>
      <c r="D91" s="15"/>
      <c r="E91" s="15"/>
      <c r="F91" s="16"/>
      <c r="G91" s="12"/>
      <c r="H91" s="41"/>
      <c r="I91" s="41"/>
      <c r="J91" s="12"/>
      <c r="K91" s="58" t="s">
        <v>104</v>
      </c>
      <c r="L91" s="60">
        <f>L90/L89*I21</f>
        <v>4.1820952380952372</v>
      </c>
      <c r="M91" s="12"/>
      <c r="N91" s="12"/>
      <c r="O91" s="12"/>
      <c r="P91" s="12"/>
      <c r="Q91" s="16"/>
      <c r="R91" s="41"/>
      <c r="S91" s="41"/>
      <c r="T91" s="41"/>
      <c r="U91" s="41"/>
      <c r="V91" s="41"/>
      <c r="W91" s="41"/>
      <c r="X91" s="41"/>
      <c r="Y91" s="41"/>
      <c r="Z91" s="41"/>
    </row>
    <row r="92" spans="1:26" ht="15.75" customHeight="1" x14ac:dyDescent="0.2">
      <c r="A92" s="16"/>
      <c r="B92" s="43"/>
      <c r="C92" s="43"/>
      <c r="D92" s="15"/>
      <c r="E92" s="15"/>
      <c r="F92" s="16"/>
      <c r="G92" s="12"/>
      <c r="H92" s="41"/>
      <c r="I92" s="41"/>
      <c r="J92" s="12"/>
      <c r="K92" s="82"/>
      <c r="L92" s="82"/>
      <c r="M92" s="12"/>
      <c r="N92" s="12"/>
      <c r="O92" s="12"/>
      <c r="P92" s="12"/>
      <c r="Q92" s="16"/>
      <c r="R92" s="41"/>
      <c r="S92" s="41"/>
      <c r="T92" s="41"/>
      <c r="U92" s="41"/>
      <c r="V92" s="41"/>
      <c r="W92" s="41"/>
      <c r="X92" s="41"/>
      <c r="Y92" s="41"/>
      <c r="Z92" s="41"/>
    </row>
    <row r="93" spans="1:26" ht="15.75" customHeight="1" x14ac:dyDescent="0.2">
      <c r="A93" s="16"/>
      <c r="B93" s="41"/>
      <c r="C93" s="41"/>
      <c r="D93" s="41"/>
      <c r="E93" s="41"/>
      <c r="F93" s="41"/>
      <c r="G93" s="12"/>
      <c r="H93" s="41"/>
      <c r="I93" s="41"/>
      <c r="J93" s="12"/>
      <c r="K93" s="49" t="s">
        <v>1162</v>
      </c>
      <c r="L93" s="67" t="s">
        <v>1163</v>
      </c>
      <c r="M93" s="12"/>
      <c r="N93" s="12"/>
      <c r="O93" s="12"/>
      <c r="P93" s="12"/>
      <c r="Q93" s="16"/>
      <c r="R93" s="41"/>
      <c r="S93" s="41"/>
      <c r="T93" s="41"/>
      <c r="U93" s="41"/>
      <c r="V93" s="41"/>
      <c r="W93" s="41"/>
      <c r="X93" s="41"/>
      <c r="Y93" s="41"/>
      <c r="Z93" s="41"/>
    </row>
    <row r="94" spans="1:26" ht="15.75" customHeight="1" x14ac:dyDescent="0.2">
      <c r="A94" s="16"/>
      <c r="B94" s="43"/>
      <c r="C94" s="43"/>
      <c r="D94" s="15"/>
      <c r="E94" s="15"/>
      <c r="F94" s="16"/>
      <c r="G94" s="12"/>
      <c r="H94" s="41"/>
      <c r="I94" s="41"/>
      <c r="J94" s="12"/>
      <c r="K94" s="52" t="s">
        <v>92</v>
      </c>
      <c r="L94" s="144">
        <v>1</v>
      </c>
      <c r="M94" s="12"/>
      <c r="N94" s="12"/>
      <c r="O94" s="12"/>
      <c r="P94" s="12"/>
      <c r="Q94" s="16"/>
      <c r="R94" s="41"/>
      <c r="S94" s="41"/>
      <c r="T94" s="41"/>
      <c r="U94" s="41"/>
      <c r="V94" s="41"/>
      <c r="W94" s="41"/>
      <c r="X94" s="41"/>
      <c r="Y94" s="41"/>
      <c r="Z94" s="41"/>
    </row>
    <row r="95" spans="1:26" ht="15.75" customHeight="1" x14ac:dyDescent="0.2">
      <c r="A95" s="16"/>
      <c r="B95" s="43"/>
      <c r="C95" s="43"/>
      <c r="D95" s="15"/>
      <c r="E95" s="15"/>
      <c r="F95" s="16"/>
      <c r="G95" s="12"/>
      <c r="H95" s="41"/>
      <c r="I95" s="41"/>
      <c r="J95" s="12"/>
      <c r="K95" s="55" t="s">
        <v>98</v>
      </c>
      <c r="L95" s="79">
        <v>150</v>
      </c>
      <c r="M95" s="12"/>
      <c r="N95" s="12"/>
      <c r="O95" s="12"/>
      <c r="P95" s="12"/>
      <c r="Q95" s="16"/>
      <c r="R95" s="41"/>
      <c r="S95" s="41"/>
      <c r="T95" s="41"/>
      <c r="U95" s="41"/>
      <c r="V95" s="41"/>
      <c r="W95" s="41"/>
      <c r="X95" s="41"/>
      <c r="Y95" s="41"/>
      <c r="Z95" s="41"/>
    </row>
    <row r="96" spans="1:26" ht="15.75" customHeight="1" x14ac:dyDescent="0.2">
      <c r="A96" s="16"/>
      <c r="B96" s="43"/>
      <c r="C96" s="43"/>
      <c r="D96" s="15"/>
      <c r="E96" s="15"/>
      <c r="F96" s="16"/>
      <c r="G96" s="12"/>
      <c r="H96" s="41"/>
      <c r="I96" s="41"/>
      <c r="J96" s="12"/>
      <c r="K96" s="58" t="s">
        <v>104</v>
      </c>
      <c r="L96" s="60">
        <f>L95/L94*$I$6</f>
        <v>0.71285714285714286</v>
      </c>
      <c r="M96" s="12"/>
      <c r="N96" s="12"/>
      <c r="O96" s="12"/>
      <c r="P96" s="12"/>
      <c r="Q96" s="16"/>
      <c r="R96" s="41"/>
      <c r="S96" s="41"/>
      <c r="T96" s="41"/>
      <c r="U96" s="41"/>
      <c r="V96" s="41"/>
      <c r="W96" s="41"/>
      <c r="X96" s="41"/>
      <c r="Y96" s="41"/>
      <c r="Z96" s="41"/>
    </row>
    <row r="97" spans="1:26" ht="15.75" customHeight="1" x14ac:dyDescent="0.2">
      <c r="A97" s="16"/>
      <c r="B97" s="43"/>
      <c r="C97" s="43"/>
      <c r="D97" s="15"/>
      <c r="E97" s="15"/>
      <c r="F97" s="16"/>
      <c r="G97" s="12"/>
      <c r="H97" s="41"/>
      <c r="I97" s="41"/>
      <c r="J97" s="12"/>
      <c r="K97" s="41"/>
      <c r="L97" s="41"/>
      <c r="M97" s="12"/>
      <c r="N97" s="12"/>
      <c r="O97" s="12"/>
      <c r="P97" s="12"/>
      <c r="Q97" s="16"/>
      <c r="R97" s="41"/>
      <c r="S97" s="41"/>
      <c r="T97" s="41"/>
      <c r="U97" s="41"/>
      <c r="V97" s="41"/>
      <c r="W97" s="41"/>
      <c r="X97" s="41"/>
      <c r="Y97" s="41"/>
      <c r="Z97" s="41"/>
    </row>
    <row r="98" spans="1:26" ht="15.75" customHeight="1" x14ac:dyDescent="0.2">
      <c r="A98" s="16"/>
      <c r="B98" s="43"/>
      <c r="C98" s="43"/>
      <c r="D98" s="15"/>
      <c r="E98" s="15"/>
      <c r="F98" s="16"/>
      <c r="G98" s="12"/>
      <c r="H98" s="41"/>
      <c r="I98" s="41"/>
      <c r="J98" s="12"/>
      <c r="K98" s="49" t="s">
        <v>1164</v>
      </c>
      <c r="L98" s="67" t="s">
        <v>1165</v>
      </c>
      <c r="M98" s="12"/>
      <c r="N98" s="12"/>
      <c r="O98" s="12"/>
      <c r="P98" s="12"/>
      <c r="Q98" s="16"/>
      <c r="R98" s="41"/>
      <c r="S98" s="41"/>
      <c r="T98" s="41"/>
      <c r="U98" s="41"/>
      <c r="V98" s="41"/>
      <c r="W98" s="41"/>
      <c r="X98" s="41"/>
      <c r="Y98" s="41"/>
      <c r="Z98" s="41"/>
    </row>
    <row r="99" spans="1:26" ht="15.75" customHeight="1" x14ac:dyDescent="0.2">
      <c r="A99" s="16"/>
      <c r="B99" s="43"/>
      <c r="C99" s="43"/>
      <c r="D99" s="15"/>
      <c r="E99" s="15"/>
      <c r="F99" s="16"/>
      <c r="G99" s="12"/>
      <c r="H99" s="41"/>
      <c r="I99" s="41"/>
      <c r="J99" s="12"/>
      <c r="K99" s="52" t="s">
        <v>92</v>
      </c>
      <c r="L99" s="144">
        <v>1</v>
      </c>
      <c r="M99" s="12"/>
      <c r="N99" s="12"/>
      <c r="O99" s="12"/>
      <c r="P99" s="12"/>
      <c r="Q99" s="16"/>
      <c r="R99" s="41"/>
      <c r="S99" s="41"/>
      <c r="T99" s="41"/>
      <c r="U99" s="41"/>
      <c r="V99" s="41"/>
      <c r="W99" s="41"/>
      <c r="X99" s="41"/>
      <c r="Y99" s="41"/>
      <c r="Z99" s="41"/>
    </row>
    <row r="100" spans="1:26" ht="15.75" customHeight="1" x14ac:dyDescent="0.2">
      <c r="A100" s="16"/>
      <c r="B100" s="43"/>
      <c r="C100" s="43"/>
      <c r="D100" s="15"/>
      <c r="E100" s="15"/>
      <c r="F100" s="16"/>
      <c r="G100" s="12"/>
      <c r="H100" s="41"/>
      <c r="I100" s="41"/>
      <c r="J100" s="12"/>
      <c r="K100" s="55" t="s">
        <v>98</v>
      </c>
      <c r="L100" s="79">
        <v>600</v>
      </c>
      <c r="M100" s="12"/>
      <c r="N100" s="12"/>
      <c r="O100" s="12"/>
      <c r="P100" s="12"/>
      <c r="Q100" s="16"/>
      <c r="R100" s="41"/>
      <c r="S100" s="41"/>
      <c r="T100" s="41"/>
      <c r="U100" s="41"/>
      <c r="V100" s="41"/>
      <c r="W100" s="41"/>
      <c r="X100" s="41"/>
      <c r="Y100" s="41"/>
      <c r="Z100" s="41"/>
    </row>
    <row r="101" spans="1:26" ht="15.75" customHeight="1" x14ac:dyDescent="0.2">
      <c r="A101" s="16"/>
      <c r="B101" s="43"/>
      <c r="C101" s="43"/>
      <c r="D101" s="15"/>
      <c r="E101" s="15"/>
      <c r="F101" s="16"/>
      <c r="G101" s="12"/>
      <c r="H101" s="41"/>
      <c r="I101" s="41"/>
      <c r="J101" s="12"/>
      <c r="K101" s="58" t="s">
        <v>104</v>
      </c>
      <c r="L101" s="60">
        <f>L100/L99*$I$6</f>
        <v>2.8514285714285714</v>
      </c>
      <c r="M101" s="12"/>
      <c r="N101" s="12"/>
      <c r="O101" s="12"/>
      <c r="P101" s="12"/>
      <c r="Q101" s="16"/>
      <c r="R101" s="41"/>
      <c r="S101" s="41"/>
      <c r="T101" s="41"/>
      <c r="U101" s="41"/>
      <c r="V101" s="41"/>
      <c r="W101" s="41"/>
      <c r="X101" s="41"/>
      <c r="Y101" s="41"/>
      <c r="Z101" s="41"/>
    </row>
    <row r="102" spans="1:26" ht="15.75" customHeight="1" x14ac:dyDescent="0.2">
      <c r="A102" s="16"/>
      <c r="B102" s="43"/>
      <c r="C102" s="43"/>
      <c r="D102" s="15"/>
      <c r="E102" s="15"/>
      <c r="F102" s="16"/>
      <c r="G102" s="12"/>
      <c r="H102" s="41"/>
      <c r="I102" s="41"/>
      <c r="J102" s="12"/>
      <c r="K102" s="41"/>
      <c r="L102" s="41"/>
      <c r="M102" s="12"/>
      <c r="N102" s="12"/>
      <c r="O102" s="12"/>
      <c r="P102" s="12"/>
      <c r="Q102" s="16"/>
      <c r="R102" s="41"/>
      <c r="S102" s="41"/>
      <c r="T102" s="41"/>
      <c r="U102" s="41"/>
      <c r="V102" s="41"/>
      <c r="W102" s="41"/>
      <c r="X102" s="41"/>
      <c r="Y102" s="41"/>
      <c r="Z102" s="41"/>
    </row>
    <row r="103" spans="1:26" ht="15.75" customHeight="1" x14ac:dyDescent="0.2">
      <c r="A103" s="16"/>
      <c r="B103" s="43"/>
      <c r="C103" s="43"/>
      <c r="D103" s="15"/>
      <c r="E103" s="15"/>
      <c r="F103" s="16"/>
      <c r="G103" s="12"/>
      <c r="H103" s="41"/>
      <c r="I103" s="41"/>
      <c r="J103" s="12"/>
      <c r="K103" s="49" t="s">
        <v>1166</v>
      </c>
      <c r="L103" s="67" t="s">
        <v>1167</v>
      </c>
      <c r="M103" s="12"/>
      <c r="N103" s="12"/>
      <c r="O103" s="12"/>
      <c r="P103" s="12"/>
      <c r="Q103" s="16"/>
      <c r="R103" s="41"/>
      <c r="S103" s="41"/>
      <c r="T103" s="41"/>
      <c r="U103" s="41"/>
      <c r="V103" s="41"/>
      <c r="W103" s="41"/>
      <c r="X103" s="41"/>
      <c r="Y103" s="41"/>
      <c r="Z103" s="41"/>
    </row>
    <row r="104" spans="1:26" ht="15.75" customHeight="1" x14ac:dyDescent="0.2">
      <c r="A104" s="16"/>
      <c r="B104" s="43"/>
      <c r="C104" s="43"/>
      <c r="D104" s="15"/>
      <c r="E104" s="15"/>
      <c r="F104" s="16"/>
      <c r="G104" s="12"/>
      <c r="H104" s="41"/>
      <c r="I104" s="41"/>
      <c r="J104" s="12"/>
      <c r="K104" s="52" t="s">
        <v>92</v>
      </c>
      <c r="L104" s="77">
        <v>1</v>
      </c>
      <c r="M104" s="12"/>
      <c r="N104" s="12"/>
      <c r="O104" s="12"/>
      <c r="P104" s="12"/>
      <c r="Q104" s="16"/>
      <c r="R104" s="41"/>
      <c r="S104" s="41"/>
      <c r="T104" s="41"/>
      <c r="U104" s="41"/>
      <c r="V104" s="41"/>
      <c r="W104" s="41"/>
      <c r="X104" s="41"/>
      <c r="Y104" s="41"/>
      <c r="Z104" s="41"/>
    </row>
    <row r="105" spans="1:26" ht="15.75" customHeight="1" x14ac:dyDescent="0.2">
      <c r="A105" s="16"/>
      <c r="B105" s="43"/>
      <c r="C105" s="43"/>
      <c r="D105" s="15"/>
      <c r="E105" s="15"/>
      <c r="F105" s="16"/>
      <c r="G105" s="12"/>
      <c r="H105" s="41"/>
      <c r="I105" s="41"/>
      <c r="J105" s="12"/>
      <c r="K105" s="55" t="s">
        <v>789</v>
      </c>
      <c r="L105" s="79">
        <v>2000</v>
      </c>
      <c r="M105" s="12"/>
      <c r="N105" s="12"/>
      <c r="O105" s="12"/>
      <c r="P105" s="12"/>
      <c r="Q105" s="16"/>
      <c r="R105" s="41"/>
      <c r="S105" s="41"/>
      <c r="T105" s="41"/>
      <c r="U105" s="41"/>
      <c r="V105" s="41"/>
      <c r="W105" s="41"/>
      <c r="X105" s="41"/>
      <c r="Y105" s="41"/>
      <c r="Z105" s="41"/>
    </row>
    <row r="106" spans="1:26" ht="15.75" customHeight="1" x14ac:dyDescent="0.2">
      <c r="A106" s="16"/>
      <c r="B106" s="43"/>
      <c r="C106" s="43"/>
      <c r="D106" s="15"/>
      <c r="E106" s="15"/>
      <c r="F106" s="16"/>
      <c r="G106" s="12"/>
      <c r="H106" s="41"/>
      <c r="I106" s="41"/>
      <c r="J106" s="12"/>
      <c r="K106" s="58" t="s">
        <v>104</v>
      </c>
      <c r="L106" s="60">
        <f>L105/L104*$I$31</f>
        <v>132.01058201058203</v>
      </c>
      <c r="M106" s="12"/>
      <c r="N106" s="12"/>
      <c r="O106" s="12"/>
      <c r="P106" s="12"/>
      <c r="Q106" s="16"/>
      <c r="R106" s="41"/>
      <c r="S106" s="41"/>
      <c r="T106" s="41"/>
      <c r="U106" s="41"/>
      <c r="V106" s="41"/>
      <c r="W106" s="41"/>
      <c r="X106" s="41"/>
      <c r="Y106" s="41"/>
      <c r="Z106" s="41"/>
    </row>
    <row r="107" spans="1:26" ht="15.75" customHeight="1" x14ac:dyDescent="0.2">
      <c r="A107" s="16"/>
      <c r="B107" s="43"/>
      <c r="C107" s="43"/>
      <c r="D107" s="15"/>
      <c r="E107" s="15"/>
      <c r="F107" s="16"/>
      <c r="G107" s="12"/>
      <c r="H107" s="41"/>
      <c r="I107" s="41"/>
      <c r="J107" s="12"/>
      <c r="K107" s="41"/>
      <c r="L107" s="41"/>
      <c r="M107" s="12"/>
      <c r="N107" s="12"/>
      <c r="O107" s="12"/>
      <c r="P107" s="12"/>
      <c r="Q107" s="16"/>
      <c r="R107" s="41"/>
      <c r="S107" s="41"/>
      <c r="T107" s="41"/>
      <c r="U107" s="41"/>
      <c r="V107" s="41"/>
      <c r="W107" s="41"/>
      <c r="X107" s="41"/>
      <c r="Y107" s="41"/>
      <c r="Z107" s="41"/>
    </row>
    <row r="108" spans="1:26" ht="15.75" customHeight="1" x14ac:dyDescent="0.2">
      <c r="A108" s="16"/>
      <c r="B108" s="43"/>
      <c r="C108" s="43"/>
      <c r="D108" s="15"/>
      <c r="E108" s="15"/>
      <c r="F108" s="16"/>
      <c r="G108" s="12"/>
      <c r="H108" s="41"/>
      <c r="I108" s="41"/>
      <c r="J108" s="12"/>
      <c r="K108" s="49" t="s">
        <v>1168</v>
      </c>
      <c r="L108" s="67" t="s">
        <v>1169</v>
      </c>
      <c r="M108" s="12"/>
      <c r="N108" s="12"/>
      <c r="O108" s="12"/>
      <c r="P108" s="12"/>
      <c r="Q108" s="16"/>
      <c r="R108" s="41"/>
      <c r="S108" s="41"/>
      <c r="T108" s="41"/>
      <c r="U108" s="41"/>
      <c r="V108" s="41"/>
      <c r="W108" s="41"/>
      <c r="X108" s="41"/>
      <c r="Y108" s="41"/>
      <c r="Z108" s="41"/>
    </row>
    <row r="109" spans="1:26" ht="15.75" customHeight="1" x14ac:dyDescent="0.2">
      <c r="A109" s="16"/>
      <c r="B109" s="43"/>
      <c r="C109" s="43"/>
      <c r="D109" s="15"/>
      <c r="E109" s="15"/>
      <c r="F109" s="16"/>
      <c r="G109" s="12"/>
      <c r="H109" s="41"/>
      <c r="I109" s="41"/>
      <c r="J109" s="12"/>
      <c r="K109" s="52" t="s">
        <v>92</v>
      </c>
      <c r="L109" s="77">
        <v>1</v>
      </c>
      <c r="M109" s="12"/>
      <c r="N109" s="12"/>
      <c r="O109" s="12"/>
      <c r="P109" s="12"/>
      <c r="Q109" s="16"/>
      <c r="R109" s="41"/>
      <c r="S109" s="41"/>
      <c r="T109" s="41"/>
      <c r="U109" s="41"/>
      <c r="V109" s="41"/>
      <c r="W109" s="41"/>
      <c r="X109" s="41"/>
      <c r="Y109" s="41"/>
      <c r="Z109" s="41"/>
    </row>
    <row r="110" spans="1:26" ht="15.75" customHeight="1" x14ac:dyDescent="0.2">
      <c r="A110" s="16"/>
      <c r="B110" s="43"/>
      <c r="C110" s="43"/>
      <c r="D110" s="15"/>
      <c r="E110" s="15"/>
      <c r="F110" s="16"/>
      <c r="G110" s="12"/>
      <c r="H110" s="41"/>
      <c r="I110" s="41"/>
      <c r="J110" s="12"/>
      <c r="K110" s="55" t="s">
        <v>789</v>
      </c>
      <c r="L110" s="77">
        <v>200</v>
      </c>
      <c r="M110" s="12"/>
      <c r="N110" s="12"/>
      <c r="O110" s="12"/>
      <c r="P110" s="12"/>
      <c r="Q110" s="16"/>
      <c r="R110" s="41"/>
      <c r="S110" s="41"/>
      <c r="T110" s="41"/>
      <c r="U110" s="41"/>
      <c r="V110" s="41"/>
      <c r="W110" s="41"/>
      <c r="X110" s="41"/>
      <c r="Y110" s="41"/>
      <c r="Z110" s="41"/>
    </row>
    <row r="111" spans="1:26" ht="15.75" customHeight="1" x14ac:dyDescent="0.2">
      <c r="A111" s="16"/>
      <c r="B111" s="43"/>
      <c r="C111" s="43"/>
      <c r="D111" s="15"/>
      <c r="E111" s="15"/>
      <c r="F111" s="16"/>
      <c r="G111" s="12"/>
      <c r="H111" s="41"/>
      <c r="I111" s="41"/>
      <c r="J111" s="12"/>
      <c r="K111" s="58" t="s">
        <v>104</v>
      </c>
      <c r="L111" s="60">
        <f>L110/L109*$I$31</f>
        <v>13.201058201058203</v>
      </c>
      <c r="M111" s="12"/>
      <c r="N111" s="12"/>
      <c r="O111" s="12"/>
      <c r="P111" s="12"/>
      <c r="Q111" s="16"/>
      <c r="R111" s="41"/>
      <c r="S111" s="41"/>
      <c r="T111" s="41"/>
      <c r="U111" s="41"/>
      <c r="V111" s="41"/>
      <c r="W111" s="41"/>
      <c r="X111" s="41"/>
      <c r="Y111" s="41"/>
      <c r="Z111" s="41"/>
    </row>
    <row r="112" spans="1:26" ht="15.75" customHeight="1" x14ac:dyDescent="0.2">
      <c r="A112" s="16"/>
      <c r="B112" s="43"/>
      <c r="C112" s="43"/>
      <c r="D112" s="15"/>
      <c r="E112" s="15"/>
      <c r="F112" s="16"/>
      <c r="G112" s="12"/>
      <c r="H112" s="41"/>
      <c r="I112" s="41"/>
      <c r="J112" s="12"/>
      <c r="K112" s="12"/>
      <c r="L112" s="12"/>
      <c r="M112" s="12"/>
      <c r="N112" s="12"/>
      <c r="O112" s="12"/>
      <c r="P112" s="12"/>
      <c r="Q112" s="16"/>
      <c r="R112" s="41"/>
      <c r="S112" s="41"/>
      <c r="T112" s="41"/>
      <c r="U112" s="41"/>
      <c r="V112" s="41"/>
      <c r="W112" s="41"/>
      <c r="X112" s="41"/>
      <c r="Y112" s="41"/>
      <c r="Z112" s="41"/>
    </row>
    <row r="113" spans="1:26" ht="15.75" customHeight="1" x14ac:dyDescent="0.2">
      <c r="A113" s="16"/>
      <c r="B113" s="43"/>
      <c r="C113" s="43"/>
      <c r="D113" s="15"/>
      <c r="E113" s="15"/>
      <c r="F113" s="16"/>
      <c r="G113" s="12"/>
      <c r="H113" s="41"/>
      <c r="I113" s="41"/>
      <c r="J113" s="12"/>
      <c r="K113" s="49" t="s">
        <v>1170</v>
      </c>
      <c r="L113" s="67" t="s">
        <v>1171</v>
      </c>
      <c r="M113" s="12"/>
      <c r="N113" s="12"/>
      <c r="O113" s="12"/>
      <c r="P113" s="12"/>
      <c r="Q113" s="16"/>
      <c r="R113" s="41"/>
      <c r="S113" s="41"/>
      <c r="T113" s="41"/>
      <c r="U113" s="41"/>
      <c r="V113" s="41"/>
      <c r="W113" s="41"/>
      <c r="X113" s="41"/>
      <c r="Y113" s="41"/>
      <c r="Z113" s="41"/>
    </row>
    <row r="114" spans="1:26" ht="15.75" customHeight="1" x14ac:dyDescent="0.2">
      <c r="A114" s="16"/>
      <c r="B114" s="43"/>
      <c r="C114" s="43"/>
      <c r="D114" s="15"/>
      <c r="E114" s="15"/>
      <c r="F114" s="16"/>
      <c r="G114" s="12"/>
      <c r="H114" s="41"/>
      <c r="I114" s="41"/>
      <c r="J114" s="12"/>
      <c r="K114" s="52" t="s">
        <v>92</v>
      </c>
      <c r="L114" s="144">
        <v>1</v>
      </c>
      <c r="M114" s="12"/>
      <c r="N114" s="12"/>
      <c r="O114" s="12"/>
      <c r="P114" s="12"/>
      <c r="Q114" s="16"/>
      <c r="R114" s="41"/>
      <c r="S114" s="41"/>
      <c r="T114" s="41"/>
      <c r="U114" s="41"/>
      <c r="V114" s="41"/>
      <c r="W114" s="41"/>
      <c r="X114" s="41"/>
      <c r="Y114" s="41"/>
      <c r="Z114" s="41"/>
    </row>
    <row r="115" spans="1:26" ht="15.75" customHeight="1" x14ac:dyDescent="0.2">
      <c r="A115" s="16"/>
      <c r="B115" s="43"/>
      <c r="C115" s="43"/>
      <c r="D115" s="15"/>
      <c r="E115" s="15"/>
      <c r="F115" s="16"/>
      <c r="G115" s="12"/>
      <c r="H115" s="41"/>
      <c r="I115" s="41"/>
      <c r="J115" s="12"/>
      <c r="K115" s="55" t="s">
        <v>789</v>
      </c>
      <c r="L115" s="79">
        <v>1000</v>
      </c>
      <c r="M115" s="12"/>
      <c r="N115" s="12"/>
      <c r="O115" s="12"/>
      <c r="P115" s="12"/>
      <c r="Q115" s="16"/>
      <c r="R115" s="41"/>
      <c r="S115" s="41"/>
      <c r="T115" s="41"/>
      <c r="U115" s="41"/>
      <c r="V115" s="41"/>
      <c r="W115" s="41"/>
      <c r="X115" s="41"/>
      <c r="Y115" s="41"/>
      <c r="Z115" s="41"/>
    </row>
    <row r="116" spans="1:26" ht="15.75" customHeight="1" x14ac:dyDescent="0.2">
      <c r="A116" s="16"/>
      <c r="B116" s="43"/>
      <c r="C116" s="43"/>
      <c r="D116" s="15"/>
      <c r="E116" s="15"/>
      <c r="F116" s="16"/>
      <c r="G116" s="12"/>
      <c r="H116" s="41"/>
      <c r="I116" s="41"/>
      <c r="J116" s="12"/>
      <c r="K116" s="58" t="s">
        <v>104</v>
      </c>
      <c r="L116" s="60">
        <f>L115/L114*$I$31</f>
        <v>66.005291005291014</v>
      </c>
      <c r="M116" s="12"/>
      <c r="N116" s="12"/>
      <c r="O116" s="12"/>
      <c r="P116" s="12"/>
      <c r="Q116" s="16"/>
      <c r="R116" s="41"/>
      <c r="S116" s="41"/>
      <c r="T116" s="41"/>
      <c r="U116" s="41"/>
      <c r="V116" s="41"/>
      <c r="W116" s="41"/>
      <c r="X116" s="41"/>
      <c r="Y116" s="41"/>
      <c r="Z116" s="41"/>
    </row>
    <row r="117" spans="1:26" ht="15.75" customHeight="1" x14ac:dyDescent="0.2">
      <c r="A117" s="16"/>
      <c r="B117" s="43"/>
      <c r="C117" s="43"/>
      <c r="D117" s="15"/>
      <c r="E117" s="15"/>
      <c r="F117" s="16"/>
      <c r="G117" s="12"/>
      <c r="H117" s="41"/>
      <c r="I117" s="41"/>
      <c r="J117" s="12"/>
      <c r="K117" s="12"/>
      <c r="L117" s="12"/>
      <c r="M117" s="12"/>
      <c r="N117" s="12"/>
      <c r="O117" s="12"/>
      <c r="P117" s="12"/>
      <c r="Q117" s="16"/>
      <c r="R117" s="41"/>
      <c r="S117" s="41"/>
      <c r="T117" s="41"/>
      <c r="U117" s="41"/>
      <c r="V117" s="41"/>
      <c r="W117" s="41"/>
      <c r="X117" s="41"/>
      <c r="Y117" s="41"/>
      <c r="Z117" s="41"/>
    </row>
    <row r="118" spans="1:26" ht="15.75" customHeight="1" x14ac:dyDescent="0.2">
      <c r="A118" s="16"/>
      <c r="B118" s="43"/>
      <c r="C118" s="43"/>
      <c r="D118" s="15"/>
      <c r="E118" s="15"/>
      <c r="F118" s="16"/>
      <c r="G118" s="12"/>
      <c r="H118" s="41"/>
      <c r="I118" s="41"/>
      <c r="J118" s="12"/>
      <c r="K118" s="49" t="s">
        <v>1172</v>
      </c>
      <c r="L118" s="67" t="s">
        <v>1173</v>
      </c>
      <c r="M118" s="12"/>
      <c r="N118" s="12"/>
      <c r="O118" s="12"/>
      <c r="P118" s="12"/>
      <c r="Q118" s="16"/>
      <c r="R118" s="41"/>
      <c r="S118" s="41"/>
      <c r="T118" s="41"/>
      <c r="U118" s="41"/>
      <c r="V118" s="41"/>
      <c r="W118" s="41"/>
      <c r="X118" s="41"/>
      <c r="Y118" s="41"/>
      <c r="Z118" s="41"/>
    </row>
    <row r="119" spans="1:26" ht="15.75" customHeight="1" x14ac:dyDescent="0.2">
      <c r="A119" s="16"/>
      <c r="B119" s="43"/>
      <c r="C119" s="43"/>
      <c r="D119" s="15"/>
      <c r="E119" s="15"/>
      <c r="F119" s="16"/>
      <c r="G119" s="12"/>
      <c r="H119" s="41"/>
      <c r="I119" s="41"/>
      <c r="J119" s="12"/>
      <c r="K119" s="52" t="s">
        <v>92</v>
      </c>
      <c r="L119" s="144">
        <v>1</v>
      </c>
      <c r="M119" s="12"/>
      <c r="N119" s="12"/>
      <c r="O119" s="12"/>
      <c r="P119" s="12"/>
      <c r="Q119" s="16"/>
      <c r="R119" s="41"/>
      <c r="S119" s="41"/>
      <c r="T119" s="41"/>
      <c r="U119" s="41"/>
      <c r="V119" s="41"/>
      <c r="W119" s="41"/>
      <c r="X119" s="41"/>
      <c r="Y119" s="41"/>
      <c r="Z119" s="41"/>
    </row>
    <row r="120" spans="1:26" ht="15.75" customHeight="1" x14ac:dyDescent="0.2">
      <c r="A120" s="16"/>
      <c r="B120" s="43"/>
      <c r="C120" s="43"/>
      <c r="D120" s="15"/>
      <c r="E120" s="15"/>
      <c r="F120" s="16"/>
      <c r="G120" s="12"/>
      <c r="H120" s="41"/>
      <c r="I120" s="41"/>
      <c r="J120" s="12"/>
      <c r="K120" s="55" t="s">
        <v>98</v>
      </c>
      <c r="L120" s="79">
        <v>2500</v>
      </c>
      <c r="M120" s="12"/>
      <c r="N120" s="12"/>
      <c r="O120" s="12"/>
      <c r="P120" s="12"/>
      <c r="Q120" s="16"/>
      <c r="R120" s="41"/>
      <c r="S120" s="41"/>
      <c r="T120" s="41"/>
      <c r="U120" s="41"/>
      <c r="V120" s="41"/>
      <c r="W120" s="41"/>
      <c r="X120" s="41"/>
      <c r="Y120" s="41"/>
      <c r="Z120" s="41"/>
    </row>
    <row r="121" spans="1:26" ht="15.75" customHeight="1" x14ac:dyDescent="0.2">
      <c r="A121" s="16"/>
      <c r="B121" s="43"/>
      <c r="C121" s="43"/>
      <c r="D121" s="15"/>
      <c r="E121" s="15"/>
      <c r="F121" s="16"/>
      <c r="G121" s="12"/>
      <c r="H121" s="41"/>
      <c r="I121" s="41"/>
      <c r="J121" s="12"/>
      <c r="K121" s="58" t="s">
        <v>104</v>
      </c>
      <c r="L121" s="60">
        <f>L120/L119*$I$6</f>
        <v>11.880952380952381</v>
      </c>
      <c r="M121" s="12"/>
      <c r="N121" s="12"/>
      <c r="O121" s="12"/>
      <c r="P121" s="12"/>
      <c r="Q121" s="16"/>
      <c r="R121" s="41"/>
      <c r="S121" s="41"/>
      <c r="T121" s="41"/>
      <c r="U121" s="41"/>
      <c r="V121" s="41"/>
      <c r="W121" s="41"/>
      <c r="X121" s="41"/>
      <c r="Y121" s="41"/>
      <c r="Z121" s="41"/>
    </row>
    <row r="122" spans="1:26" ht="15.75" customHeight="1" x14ac:dyDescent="0.2">
      <c r="A122" s="16"/>
      <c r="B122" s="43"/>
      <c r="C122" s="43"/>
      <c r="D122" s="15"/>
      <c r="E122" s="15"/>
      <c r="F122" s="16"/>
      <c r="G122" s="12"/>
      <c r="H122" s="12"/>
      <c r="I122" s="12"/>
      <c r="J122" s="12"/>
      <c r="K122" s="12"/>
      <c r="L122" s="12"/>
      <c r="M122" s="12"/>
      <c r="N122" s="12"/>
      <c r="O122" s="12"/>
      <c r="P122" s="12"/>
      <c r="Q122" s="16"/>
      <c r="R122" s="41"/>
      <c r="S122" s="41"/>
      <c r="T122" s="41"/>
      <c r="U122" s="41"/>
      <c r="V122" s="41"/>
      <c r="W122" s="41"/>
      <c r="X122" s="41"/>
      <c r="Y122" s="41"/>
      <c r="Z122" s="41"/>
    </row>
    <row r="123" spans="1:26" ht="15.75" customHeight="1" x14ac:dyDescent="0.2">
      <c r="A123" s="16"/>
      <c r="B123" s="43"/>
      <c r="C123" s="43"/>
      <c r="D123" s="15"/>
      <c r="E123" s="15"/>
      <c r="F123" s="16"/>
      <c r="G123" s="12"/>
      <c r="H123" s="12"/>
      <c r="I123" s="12"/>
      <c r="J123" s="12"/>
      <c r="K123" s="49" t="s">
        <v>1174</v>
      </c>
      <c r="L123" s="67" t="s">
        <v>284</v>
      </c>
      <c r="M123" s="12"/>
      <c r="N123" s="12"/>
      <c r="O123" s="12"/>
      <c r="P123" s="12"/>
      <c r="Q123" s="16"/>
      <c r="R123" s="41"/>
      <c r="S123" s="41"/>
      <c r="T123" s="41"/>
      <c r="U123" s="41"/>
      <c r="V123" s="41"/>
      <c r="W123" s="41"/>
      <c r="X123" s="41"/>
      <c r="Y123" s="41"/>
      <c r="Z123" s="41"/>
    </row>
    <row r="124" spans="1:26" ht="15.75" customHeight="1" x14ac:dyDescent="0.2">
      <c r="A124" s="16"/>
      <c r="B124" s="43"/>
      <c r="C124" s="43"/>
      <c r="D124" s="15"/>
      <c r="E124" s="15"/>
      <c r="F124" s="16"/>
      <c r="G124" s="12"/>
      <c r="H124" s="12"/>
      <c r="I124" s="12"/>
      <c r="J124" s="12"/>
      <c r="K124" s="52" t="s">
        <v>92</v>
      </c>
      <c r="L124" s="144">
        <v>1</v>
      </c>
      <c r="M124" s="12"/>
      <c r="N124" s="12"/>
      <c r="O124" s="12"/>
      <c r="P124" s="12"/>
      <c r="Q124" s="16"/>
      <c r="R124" s="41"/>
      <c r="S124" s="41"/>
      <c r="T124" s="41"/>
      <c r="U124" s="41"/>
      <c r="V124" s="41"/>
      <c r="W124" s="41"/>
      <c r="X124" s="41"/>
      <c r="Y124" s="41"/>
      <c r="Z124" s="41"/>
    </row>
    <row r="125" spans="1:26" ht="15.75" customHeight="1" x14ac:dyDescent="0.2">
      <c r="A125" s="16"/>
      <c r="B125" s="43"/>
      <c r="C125" s="43"/>
      <c r="D125" s="15"/>
      <c r="E125" s="15"/>
      <c r="F125" s="16"/>
      <c r="G125" s="12"/>
      <c r="H125" s="12"/>
      <c r="I125" s="12"/>
      <c r="J125" s="12"/>
      <c r="K125" s="55" t="s">
        <v>98</v>
      </c>
      <c r="L125" s="79">
        <f>L95+500</f>
        <v>650</v>
      </c>
      <c r="M125" s="12"/>
      <c r="N125" s="12"/>
      <c r="O125" s="12"/>
      <c r="P125" s="12"/>
      <c r="Q125" s="16"/>
      <c r="R125" s="41"/>
      <c r="S125" s="41"/>
      <c r="T125" s="41"/>
      <c r="U125" s="41"/>
      <c r="V125" s="41"/>
      <c r="W125" s="41"/>
      <c r="X125" s="41"/>
      <c r="Y125" s="41"/>
      <c r="Z125" s="41"/>
    </row>
    <row r="126" spans="1:26" ht="15.75" customHeight="1" x14ac:dyDescent="0.2">
      <c r="A126" s="16"/>
      <c r="B126" s="43"/>
      <c r="C126" s="43"/>
      <c r="D126" s="15"/>
      <c r="E126" s="15"/>
      <c r="F126" s="16"/>
      <c r="G126" s="12"/>
      <c r="H126" s="12"/>
      <c r="I126" s="12"/>
      <c r="J126" s="12"/>
      <c r="K126" s="58" t="s">
        <v>104</v>
      </c>
      <c r="L126" s="60">
        <f>L125/L124*$I$6</f>
        <v>3.0890476190476193</v>
      </c>
      <c r="M126" s="12"/>
      <c r="N126" s="12"/>
      <c r="O126" s="12"/>
      <c r="P126" s="12"/>
      <c r="Q126" s="16"/>
      <c r="R126" s="41"/>
      <c r="S126" s="41"/>
      <c r="T126" s="41"/>
      <c r="U126" s="41"/>
      <c r="V126" s="41"/>
      <c r="W126" s="41"/>
      <c r="X126" s="41"/>
      <c r="Y126" s="41"/>
      <c r="Z126" s="41"/>
    </row>
    <row r="127" spans="1:26" ht="15.75" customHeight="1" x14ac:dyDescent="0.2">
      <c r="A127" s="16"/>
      <c r="B127" s="43"/>
      <c r="C127" s="43"/>
      <c r="D127" s="15"/>
      <c r="E127" s="15"/>
      <c r="F127" s="16"/>
      <c r="G127" s="12"/>
      <c r="H127" s="12"/>
      <c r="I127" s="12"/>
      <c r="J127" s="12"/>
      <c r="K127" s="12"/>
      <c r="L127" s="12"/>
      <c r="M127" s="12"/>
      <c r="N127" s="12"/>
      <c r="O127" s="12"/>
      <c r="P127" s="12"/>
      <c r="Q127" s="16"/>
      <c r="R127" s="41"/>
      <c r="S127" s="41"/>
      <c r="T127" s="41"/>
      <c r="U127" s="41"/>
      <c r="V127" s="41"/>
      <c r="W127" s="41"/>
      <c r="X127" s="41"/>
      <c r="Y127" s="41"/>
      <c r="Z127" s="41"/>
    </row>
    <row r="128" spans="1:26" ht="15.75" customHeight="1" x14ac:dyDescent="0.2">
      <c r="A128" s="16"/>
      <c r="B128" s="43"/>
      <c r="C128" s="43"/>
      <c r="D128" s="15"/>
      <c r="E128" s="15"/>
      <c r="F128" s="16"/>
      <c r="G128" s="12"/>
      <c r="H128" s="12"/>
      <c r="I128" s="12"/>
      <c r="J128" s="12"/>
      <c r="K128" s="58" t="s">
        <v>409</v>
      </c>
      <c r="L128" s="60">
        <f>AVERAGE(L6,L11,L16,L21,L26,L31,L36,L41,L46,L51,L56,L61,L66,L71,L76,L81,L86,L91,L96,L101,L106,L111,L116,L121,L126)</f>
        <v>10.598604287153442</v>
      </c>
      <c r="M128" s="12"/>
      <c r="N128" s="12"/>
      <c r="O128" s="12"/>
      <c r="P128" s="12"/>
      <c r="Q128" s="16"/>
      <c r="R128" s="41"/>
      <c r="S128" s="41"/>
      <c r="T128" s="41"/>
      <c r="U128" s="41"/>
      <c r="V128" s="41"/>
      <c r="W128" s="41"/>
      <c r="X128" s="41"/>
      <c r="Y128" s="41"/>
      <c r="Z128" s="41"/>
    </row>
    <row r="129" spans="1:26" ht="15.75" customHeight="1" x14ac:dyDescent="0.2">
      <c r="A129" s="16"/>
      <c r="B129" s="43"/>
      <c r="C129" s="43"/>
      <c r="D129" s="15"/>
      <c r="E129" s="15"/>
      <c r="F129" s="16"/>
      <c r="G129" s="12"/>
      <c r="H129" s="12"/>
      <c r="I129" s="12"/>
      <c r="J129" s="12"/>
      <c r="K129" s="12"/>
      <c r="L129" s="12"/>
      <c r="M129" s="12"/>
      <c r="N129" s="12"/>
      <c r="O129" s="12"/>
      <c r="P129" s="12"/>
      <c r="Q129" s="16"/>
      <c r="R129" s="41"/>
      <c r="S129" s="41"/>
      <c r="T129" s="41"/>
      <c r="U129" s="41"/>
      <c r="V129" s="41"/>
      <c r="W129" s="41"/>
      <c r="X129" s="41"/>
      <c r="Y129" s="41"/>
      <c r="Z129" s="41"/>
    </row>
    <row r="130" spans="1:26" ht="15.75" customHeight="1" x14ac:dyDescent="0.2">
      <c r="A130" s="16"/>
      <c r="B130" s="43"/>
      <c r="C130" s="43"/>
      <c r="D130" s="15"/>
      <c r="E130" s="15"/>
      <c r="F130" s="16"/>
      <c r="G130" s="12"/>
      <c r="H130" s="12"/>
      <c r="I130" s="12"/>
      <c r="J130" s="12"/>
      <c r="K130" s="12"/>
      <c r="L130" s="12"/>
      <c r="M130" s="12"/>
      <c r="N130" s="12"/>
      <c r="O130" s="12"/>
      <c r="P130" s="12"/>
      <c r="Q130" s="16"/>
      <c r="R130" s="41"/>
      <c r="S130" s="41"/>
      <c r="T130" s="41"/>
      <c r="U130" s="41"/>
      <c r="V130" s="41"/>
      <c r="W130" s="41"/>
      <c r="X130" s="41"/>
      <c r="Y130" s="41"/>
      <c r="Z130" s="41"/>
    </row>
    <row r="131" spans="1:26" ht="15.75" customHeight="1" x14ac:dyDescent="0.2">
      <c r="A131" s="16"/>
      <c r="B131" s="43"/>
      <c r="C131" s="43"/>
      <c r="D131" s="15"/>
      <c r="E131" s="15"/>
      <c r="F131" s="16"/>
      <c r="G131" s="12"/>
      <c r="H131" s="12"/>
      <c r="I131" s="12"/>
      <c r="J131" s="12"/>
      <c r="K131" s="12"/>
      <c r="L131" s="12"/>
      <c r="M131" s="12"/>
      <c r="N131" s="12"/>
      <c r="O131" s="12"/>
      <c r="P131" s="12"/>
      <c r="Q131" s="16"/>
      <c r="R131" s="41"/>
      <c r="S131" s="41"/>
      <c r="T131" s="41"/>
      <c r="U131" s="41"/>
      <c r="V131" s="41"/>
      <c r="W131" s="41"/>
      <c r="X131" s="41"/>
      <c r="Y131" s="41"/>
      <c r="Z131" s="41"/>
    </row>
    <row r="132" spans="1:26" ht="15.75" customHeight="1" x14ac:dyDescent="0.2">
      <c r="A132" s="16"/>
      <c r="B132" s="43"/>
      <c r="C132" s="43"/>
      <c r="D132" s="15"/>
      <c r="E132" s="15"/>
      <c r="F132" s="16"/>
      <c r="G132" s="12"/>
      <c r="H132" s="12"/>
      <c r="I132" s="12"/>
      <c r="J132" s="12"/>
      <c r="K132" s="12"/>
      <c r="L132" s="12"/>
      <c r="M132" s="12"/>
      <c r="N132" s="12"/>
      <c r="O132" s="12"/>
      <c r="P132" s="12"/>
      <c r="Q132" s="16"/>
      <c r="R132" s="41"/>
      <c r="S132" s="41"/>
      <c r="T132" s="41"/>
      <c r="U132" s="41"/>
      <c r="V132" s="41"/>
      <c r="W132" s="41"/>
      <c r="X132" s="41"/>
      <c r="Y132" s="41"/>
      <c r="Z132" s="41"/>
    </row>
    <row r="133" spans="1:26" ht="15.75" customHeight="1" x14ac:dyDescent="0.2">
      <c r="A133" s="16"/>
      <c r="B133" s="43"/>
      <c r="C133" s="43"/>
      <c r="D133" s="15"/>
      <c r="E133" s="15"/>
      <c r="F133" s="16"/>
      <c r="G133" s="12"/>
      <c r="H133" s="12"/>
      <c r="I133" s="12"/>
      <c r="J133" s="12"/>
      <c r="K133" s="12"/>
      <c r="L133" s="12"/>
      <c r="M133" s="12"/>
      <c r="N133" s="12"/>
      <c r="O133" s="12"/>
      <c r="P133" s="12"/>
      <c r="Q133" s="16"/>
      <c r="R133" s="41"/>
      <c r="S133" s="41"/>
      <c r="T133" s="41"/>
      <c r="U133" s="41"/>
      <c r="V133" s="41"/>
      <c r="W133" s="41"/>
      <c r="X133" s="41"/>
      <c r="Y133" s="41"/>
      <c r="Z133" s="41"/>
    </row>
    <row r="134" spans="1:26" ht="15.75" customHeight="1" x14ac:dyDescent="0.2">
      <c r="A134" s="16"/>
      <c r="B134" s="43"/>
      <c r="C134" s="43"/>
      <c r="D134" s="15"/>
      <c r="E134" s="15"/>
      <c r="F134" s="16"/>
      <c r="G134" s="12"/>
      <c r="H134" s="12"/>
      <c r="I134" s="12"/>
      <c r="J134" s="12"/>
      <c r="K134" s="12"/>
      <c r="L134" s="12"/>
      <c r="M134" s="12"/>
      <c r="N134" s="12"/>
      <c r="O134" s="12"/>
      <c r="P134" s="12"/>
      <c r="Q134" s="16"/>
      <c r="R134" s="41"/>
      <c r="S134" s="41"/>
      <c r="T134" s="41"/>
      <c r="U134" s="41"/>
      <c r="V134" s="41"/>
      <c r="W134" s="41"/>
      <c r="X134" s="41"/>
      <c r="Y134" s="41"/>
      <c r="Z134" s="41"/>
    </row>
    <row r="135" spans="1:26" ht="15.75" customHeight="1" x14ac:dyDescent="0.2">
      <c r="A135" s="16"/>
      <c r="B135" s="43"/>
      <c r="C135" s="43"/>
      <c r="D135" s="15"/>
      <c r="E135" s="15"/>
      <c r="F135" s="16"/>
      <c r="G135" s="12"/>
      <c r="H135" s="12"/>
      <c r="I135" s="12"/>
      <c r="J135" s="12"/>
      <c r="K135" s="12"/>
      <c r="L135" s="12"/>
      <c r="M135" s="12"/>
      <c r="N135" s="12"/>
      <c r="O135" s="12"/>
      <c r="P135" s="12"/>
      <c r="Q135" s="16"/>
      <c r="R135" s="41"/>
      <c r="S135" s="41"/>
      <c r="T135" s="41"/>
      <c r="U135" s="41"/>
      <c r="V135" s="41"/>
      <c r="W135" s="41"/>
      <c r="X135" s="41"/>
      <c r="Y135" s="41"/>
      <c r="Z135" s="41"/>
    </row>
    <row r="136" spans="1:26" ht="15.75" customHeight="1" x14ac:dyDescent="0.2">
      <c r="A136" s="16"/>
      <c r="B136" s="43"/>
      <c r="C136" s="43"/>
      <c r="D136" s="15"/>
      <c r="E136" s="15"/>
      <c r="F136" s="16"/>
      <c r="G136" s="12"/>
      <c r="H136" s="12"/>
      <c r="I136" s="12"/>
      <c r="J136" s="12"/>
      <c r="K136" s="12"/>
      <c r="L136" s="12"/>
      <c r="M136" s="12"/>
      <c r="N136" s="12"/>
      <c r="O136" s="12"/>
      <c r="P136" s="12"/>
      <c r="Q136" s="16"/>
      <c r="R136" s="41"/>
      <c r="S136" s="41"/>
      <c r="T136" s="41"/>
      <c r="U136" s="41"/>
      <c r="V136" s="41"/>
      <c r="W136" s="41"/>
      <c r="X136" s="41"/>
      <c r="Y136" s="41"/>
      <c r="Z136" s="41"/>
    </row>
    <row r="137" spans="1:26" ht="15.75" customHeight="1" x14ac:dyDescent="0.2">
      <c r="A137" s="16"/>
      <c r="B137" s="43"/>
      <c r="C137" s="43"/>
      <c r="D137" s="15"/>
      <c r="E137" s="15"/>
      <c r="F137" s="16"/>
      <c r="G137" s="12"/>
      <c r="H137" s="12"/>
      <c r="I137" s="12"/>
      <c r="J137" s="12"/>
      <c r="K137" s="12"/>
      <c r="L137" s="12"/>
      <c r="M137" s="12"/>
      <c r="N137" s="12"/>
      <c r="O137" s="12"/>
      <c r="P137" s="12"/>
      <c r="Q137" s="16"/>
      <c r="R137" s="41"/>
      <c r="S137" s="41"/>
      <c r="T137" s="41"/>
      <c r="U137" s="41"/>
      <c r="V137" s="41"/>
      <c r="W137" s="41"/>
      <c r="X137" s="41"/>
      <c r="Y137" s="41"/>
      <c r="Z137" s="41"/>
    </row>
    <row r="138" spans="1:26" ht="15.75" customHeight="1" x14ac:dyDescent="0.2">
      <c r="A138" s="16"/>
      <c r="B138" s="43"/>
      <c r="C138" s="43"/>
      <c r="D138" s="15"/>
      <c r="E138" s="15"/>
      <c r="F138" s="16"/>
      <c r="G138" s="12"/>
      <c r="H138" s="12"/>
      <c r="I138" s="12"/>
      <c r="J138" s="12"/>
      <c r="K138" s="12"/>
      <c r="L138" s="12"/>
      <c r="M138" s="12"/>
      <c r="N138" s="12"/>
      <c r="O138" s="12"/>
      <c r="P138" s="12"/>
      <c r="Q138" s="16"/>
      <c r="R138" s="41"/>
      <c r="S138" s="41"/>
      <c r="T138" s="41"/>
      <c r="U138" s="41"/>
      <c r="V138" s="41"/>
      <c r="W138" s="41"/>
      <c r="X138" s="41"/>
      <c r="Y138" s="41"/>
      <c r="Z138" s="41"/>
    </row>
    <row r="139" spans="1:26" ht="15.75" customHeight="1" x14ac:dyDescent="0.2">
      <c r="A139" s="16"/>
      <c r="B139" s="43"/>
      <c r="C139" s="43"/>
      <c r="D139" s="15"/>
      <c r="E139" s="15"/>
      <c r="F139" s="16"/>
      <c r="G139" s="12"/>
      <c r="H139" s="12"/>
      <c r="I139" s="12"/>
      <c r="J139" s="12"/>
      <c r="K139" s="12"/>
      <c r="L139" s="12"/>
      <c r="M139" s="12"/>
      <c r="N139" s="12"/>
      <c r="O139" s="12"/>
      <c r="P139" s="12"/>
      <c r="Q139" s="16"/>
      <c r="R139" s="41"/>
      <c r="S139" s="41"/>
      <c r="T139" s="41"/>
      <c r="U139" s="41"/>
      <c r="V139" s="41"/>
      <c r="W139" s="41"/>
      <c r="X139" s="41"/>
      <c r="Y139" s="41"/>
      <c r="Z139" s="41"/>
    </row>
    <row r="140" spans="1:26" ht="15.75" customHeight="1" x14ac:dyDescent="0.2">
      <c r="A140" s="16"/>
      <c r="B140" s="43"/>
      <c r="C140" s="43"/>
      <c r="D140" s="15"/>
      <c r="E140" s="15"/>
      <c r="F140" s="16"/>
      <c r="G140" s="12"/>
      <c r="H140" s="12"/>
      <c r="I140" s="12"/>
      <c r="J140" s="12"/>
      <c r="K140" s="12"/>
      <c r="L140" s="12"/>
      <c r="M140" s="12"/>
      <c r="N140" s="12"/>
      <c r="O140" s="12"/>
      <c r="P140" s="12"/>
      <c r="Q140" s="16"/>
      <c r="R140" s="41"/>
      <c r="S140" s="41"/>
      <c r="T140" s="41"/>
      <c r="U140" s="41"/>
      <c r="V140" s="41"/>
      <c r="W140" s="41"/>
      <c r="X140" s="41"/>
      <c r="Y140" s="41"/>
      <c r="Z140" s="41"/>
    </row>
    <row r="141" spans="1:26" ht="15.75" customHeight="1" x14ac:dyDescent="0.2">
      <c r="A141" s="16"/>
      <c r="B141" s="43"/>
      <c r="C141" s="43"/>
      <c r="D141" s="15"/>
      <c r="E141" s="15"/>
      <c r="F141" s="16"/>
      <c r="G141" s="12"/>
      <c r="H141" s="12"/>
      <c r="I141" s="12"/>
      <c r="J141" s="12"/>
      <c r="K141" s="12"/>
      <c r="L141" s="12"/>
      <c r="M141" s="12"/>
      <c r="N141" s="12"/>
      <c r="O141" s="12"/>
      <c r="P141" s="12"/>
      <c r="Q141" s="16"/>
      <c r="R141" s="41"/>
      <c r="S141" s="41"/>
      <c r="T141" s="41"/>
      <c r="U141" s="41"/>
      <c r="V141" s="41"/>
      <c r="W141" s="41"/>
      <c r="X141" s="41"/>
      <c r="Y141" s="41"/>
      <c r="Z141" s="41"/>
    </row>
    <row r="142" spans="1:26" ht="15.75" customHeight="1" x14ac:dyDescent="0.2">
      <c r="A142" s="16"/>
      <c r="B142" s="43"/>
      <c r="C142" s="43"/>
      <c r="D142" s="15"/>
      <c r="E142" s="15"/>
      <c r="F142" s="16"/>
      <c r="G142" s="12"/>
      <c r="H142" s="12"/>
      <c r="I142" s="12"/>
      <c r="J142" s="12"/>
      <c r="K142" s="12"/>
      <c r="L142" s="12"/>
      <c r="M142" s="12"/>
      <c r="N142" s="12"/>
      <c r="O142" s="12"/>
      <c r="P142" s="12"/>
      <c r="Q142" s="16"/>
      <c r="R142" s="41"/>
      <c r="S142" s="41"/>
      <c r="T142" s="41"/>
      <c r="U142" s="41"/>
      <c r="V142" s="41"/>
      <c r="W142" s="41"/>
      <c r="X142" s="41"/>
      <c r="Y142" s="41"/>
      <c r="Z142" s="41"/>
    </row>
    <row r="143" spans="1:26" ht="15.75" customHeight="1" x14ac:dyDescent="0.2">
      <c r="A143" s="16"/>
      <c r="B143" s="43"/>
      <c r="C143" s="43"/>
      <c r="D143" s="15"/>
      <c r="E143" s="15"/>
      <c r="F143" s="16"/>
      <c r="G143" s="12"/>
      <c r="H143" s="12"/>
      <c r="I143" s="12"/>
      <c r="J143" s="12"/>
      <c r="K143" s="12"/>
      <c r="L143" s="12"/>
      <c r="M143" s="12"/>
      <c r="N143" s="12"/>
      <c r="O143" s="12"/>
      <c r="P143" s="12"/>
      <c r="Q143" s="16"/>
      <c r="R143" s="41"/>
      <c r="S143" s="41"/>
      <c r="T143" s="41"/>
      <c r="U143" s="41"/>
      <c r="V143" s="41"/>
      <c r="W143" s="41"/>
      <c r="X143" s="41"/>
      <c r="Y143" s="41"/>
      <c r="Z143" s="41"/>
    </row>
    <row r="144" spans="1:26" ht="15.75" customHeight="1" x14ac:dyDescent="0.2">
      <c r="A144" s="16"/>
      <c r="B144" s="43"/>
      <c r="C144" s="43"/>
      <c r="D144" s="15"/>
      <c r="E144" s="15"/>
      <c r="F144" s="16"/>
      <c r="G144" s="12"/>
      <c r="H144" s="12"/>
      <c r="I144" s="12"/>
      <c r="J144" s="12"/>
      <c r="K144" s="12"/>
      <c r="L144" s="12"/>
      <c r="M144" s="12"/>
      <c r="N144" s="12"/>
      <c r="O144" s="12"/>
      <c r="P144" s="12"/>
      <c r="Q144" s="16"/>
      <c r="R144" s="41"/>
      <c r="S144" s="41"/>
      <c r="T144" s="41"/>
      <c r="U144" s="41"/>
      <c r="V144" s="41"/>
      <c r="W144" s="41"/>
      <c r="X144" s="41"/>
      <c r="Y144" s="41"/>
      <c r="Z144" s="41"/>
    </row>
    <row r="145" spans="1:26" ht="15.75" customHeight="1" x14ac:dyDescent="0.2">
      <c r="A145" s="16"/>
      <c r="B145" s="43"/>
      <c r="C145" s="43"/>
      <c r="D145" s="15"/>
      <c r="E145" s="15"/>
      <c r="F145" s="16"/>
      <c r="G145" s="12"/>
      <c r="H145" s="12"/>
      <c r="I145" s="12"/>
      <c r="J145" s="12"/>
      <c r="K145" s="12"/>
      <c r="L145" s="12"/>
      <c r="M145" s="12"/>
      <c r="N145" s="12"/>
      <c r="O145" s="12"/>
      <c r="P145" s="12"/>
      <c r="Q145" s="16"/>
      <c r="R145" s="41"/>
      <c r="S145" s="41"/>
      <c r="T145" s="41"/>
      <c r="U145" s="41"/>
      <c r="V145" s="41"/>
      <c r="W145" s="41"/>
      <c r="X145" s="41"/>
      <c r="Y145" s="41"/>
      <c r="Z145" s="41"/>
    </row>
    <row r="146" spans="1:26" ht="15.75" customHeight="1" x14ac:dyDescent="0.2">
      <c r="A146" s="16"/>
      <c r="B146" s="43"/>
      <c r="C146" s="43"/>
      <c r="D146" s="15"/>
      <c r="E146" s="15"/>
      <c r="F146" s="16"/>
      <c r="G146" s="12"/>
      <c r="H146" s="12"/>
      <c r="I146" s="12"/>
      <c r="J146" s="12"/>
      <c r="K146" s="12"/>
      <c r="L146" s="12"/>
      <c r="M146" s="12"/>
      <c r="N146" s="12"/>
      <c r="O146" s="12"/>
      <c r="P146" s="12"/>
      <c r="Q146" s="16"/>
      <c r="R146" s="41"/>
      <c r="S146" s="41"/>
      <c r="T146" s="41"/>
      <c r="U146" s="41"/>
      <c r="V146" s="41"/>
      <c r="W146" s="41"/>
      <c r="X146" s="41"/>
      <c r="Y146" s="41"/>
      <c r="Z146" s="41"/>
    </row>
    <row r="147" spans="1:26" ht="15.75" customHeight="1" x14ac:dyDescent="0.2">
      <c r="A147" s="16"/>
      <c r="B147" s="43"/>
      <c r="C147" s="43"/>
      <c r="D147" s="15"/>
      <c r="E147" s="15"/>
      <c r="F147" s="16"/>
      <c r="G147" s="12"/>
      <c r="H147" s="12"/>
      <c r="I147" s="12"/>
      <c r="J147" s="12"/>
      <c r="K147" s="12"/>
      <c r="L147" s="12"/>
      <c r="M147" s="12"/>
      <c r="N147" s="12"/>
      <c r="O147" s="12"/>
      <c r="P147" s="12"/>
      <c r="Q147" s="16"/>
      <c r="R147" s="41"/>
      <c r="S147" s="41"/>
      <c r="T147" s="41"/>
      <c r="U147" s="41"/>
      <c r="V147" s="41"/>
      <c r="W147" s="41"/>
      <c r="X147" s="41"/>
      <c r="Y147" s="41"/>
      <c r="Z147" s="41"/>
    </row>
    <row r="148" spans="1:26" ht="15.75" customHeight="1" x14ac:dyDescent="0.2">
      <c r="A148" s="16"/>
      <c r="B148" s="43"/>
      <c r="C148" s="43"/>
      <c r="D148" s="15"/>
      <c r="E148" s="15"/>
      <c r="F148" s="16"/>
      <c r="G148" s="12"/>
      <c r="H148" s="12"/>
      <c r="I148" s="12"/>
      <c r="J148" s="12"/>
      <c r="K148" s="12"/>
      <c r="L148" s="12"/>
      <c r="M148" s="12"/>
      <c r="N148" s="12"/>
      <c r="O148" s="12"/>
      <c r="P148" s="12"/>
      <c r="Q148" s="16"/>
      <c r="R148" s="41"/>
      <c r="S148" s="41"/>
      <c r="T148" s="41"/>
      <c r="U148" s="41"/>
      <c r="V148" s="41"/>
      <c r="W148" s="41"/>
      <c r="X148" s="41"/>
      <c r="Y148" s="41"/>
      <c r="Z148" s="41"/>
    </row>
    <row r="149" spans="1:26" ht="15.75" customHeight="1" x14ac:dyDescent="0.2">
      <c r="A149" s="16"/>
      <c r="B149" s="43"/>
      <c r="C149" s="43"/>
      <c r="D149" s="15"/>
      <c r="E149" s="15"/>
      <c r="F149" s="16"/>
      <c r="G149" s="12"/>
      <c r="H149" s="12"/>
      <c r="I149" s="12"/>
      <c r="J149" s="12"/>
      <c r="K149" s="12"/>
      <c r="L149" s="12"/>
      <c r="M149" s="12"/>
      <c r="N149" s="12"/>
      <c r="O149" s="12"/>
      <c r="P149" s="12"/>
      <c r="Q149" s="16"/>
      <c r="R149" s="41"/>
      <c r="S149" s="41"/>
      <c r="T149" s="41"/>
      <c r="U149" s="41"/>
      <c r="V149" s="41"/>
      <c r="W149" s="41"/>
      <c r="X149" s="41"/>
      <c r="Y149" s="41"/>
      <c r="Z149" s="41"/>
    </row>
    <row r="150" spans="1:26" ht="15.75" customHeight="1" x14ac:dyDescent="0.2">
      <c r="A150" s="16"/>
      <c r="B150" s="43"/>
      <c r="C150" s="43"/>
      <c r="D150" s="15"/>
      <c r="E150" s="15"/>
      <c r="F150" s="16"/>
      <c r="G150" s="12"/>
      <c r="H150" s="12"/>
      <c r="I150" s="12"/>
      <c r="J150" s="12"/>
      <c r="K150" s="12"/>
      <c r="L150" s="12"/>
      <c r="M150" s="12"/>
      <c r="N150" s="12"/>
      <c r="O150" s="12"/>
      <c r="P150" s="12"/>
      <c r="Q150" s="16"/>
      <c r="R150" s="41"/>
      <c r="S150" s="41"/>
      <c r="T150" s="41"/>
      <c r="U150" s="41"/>
      <c r="V150" s="41"/>
      <c r="W150" s="41"/>
      <c r="X150" s="41"/>
      <c r="Y150" s="41"/>
      <c r="Z150" s="41"/>
    </row>
    <row r="151" spans="1:26" ht="15.75" customHeight="1" x14ac:dyDescent="0.2">
      <c r="A151" s="16"/>
      <c r="B151" s="43"/>
      <c r="C151" s="43"/>
      <c r="D151" s="15"/>
      <c r="E151" s="15"/>
      <c r="F151" s="16"/>
      <c r="G151" s="12"/>
      <c r="H151" s="12"/>
      <c r="I151" s="12"/>
      <c r="J151" s="12"/>
      <c r="K151" s="12"/>
      <c r="L151" s="12"/>
      <c r="M151" s="12"/>
      <c r="N151" s="12"/>
      <c r="O151" s="12"/>
      <c r="P151" s="12"/>
      <c r="Q151" s="16"/>
      <c r="R151" s="41"/>
      <c r="S151" s="41"/>
      <c r="T151" s="41"/>
      <c r="U151" s="41"/>
      <c r="V151" s="41"/>
      <c r="W151" s="41"/>
      <c r="X151" s="41"/>
      <c r="Y151" s="41"/>
      <c r="Z151" s="41"/>
    </row>
    <row r="152" spans="1:26" ht="15.75" customHeight="1" x14ac:dyDescent="0.2">
      <c r="A152" s="16"/>
      <c r="B152" s="43"/>
      <c r="C152" s="43"/>
      <c r="D152" s="15"/>
      <c r="E152" s="15"/>
      <c r="F152" s="16"/>
      <c r="G152" s="12"/>
      <c r="H152" s="12"/>
      <c r="I152" s="12"/>
      <c r="J152" s="12"/>
      <c r="K152" s="12"/>
      <c r="L152" s="12"/>
      <c r="M152" s="12"/>
      <c r="N152" s="12"/>
      <c r="O152" s="12"/>
      <c r="P152" s="12"/>
      <c r="Q152" s="16"/>
      <c r="R152" s="41"/>
      <c r="S152" s="41"/>
      <c r="T152" s="41"/>
      <c r="U152" s="41"/>
      <c r="V152" s="41"/>
      <c r="W152" s="41"/>
      <c r="X152" s="41"/>
      <c r="Y152" s="41"/>
      <c r="Z152" s="41"/>
    </row>
    <row r="153" spans="1:26" ht="15.75" customHeight="1" x14ac:dyDescent="0.2">
      <c r="A153" s="16"/>
      <c r="B153" s="43"/>
      <c r="C153" s="43"/>
      <c r="D153" s="15"/>
      <c r="E153" s="15"/>
      <c r="F153" s="16"/>
      <c r="G153" s="12"/>
      <c r="H153" s="12"/>
      <c r="I153" s="12"/>
      <c r="J153" s="12"/>
      <c r="K153" s="12"/>
      <c r="L153" s="12"/>
      <c r="M153" s="12"/>
      <c r="N153" s="12"/>
      <c r="O153" s="12"/>
      <c r="P153" s="12"/>
      <c r="Q153" s="16"/>
      <c r="R153" s="41"/>
      <c r="S153" s="41"/>
      <c r="T153" s="41"/>
      <c r="U153" s="41"/>
      <c r="V153" s="41"/>
      <c r="W153" s="41"/>
      <c r="X153" s="41"/>
      <c r="Y153" s="41"/>
      <c r="Z153" s="41"/>
    </row>
    <row r="154" spans="1:26" ht="15.75" customHeight="1" x14ac:dyDescent="0.2">
      <c r="A154" s="16"/>
      <c r="B154" s="43"/>
      <c r="C154" s="43"/>
      <c r="D154" s="15"/>
      <c r="E154" s="15"/>
      <c r="F154" s="16"/>
      <c r="G154" s="12"/>
      <c r="H154" s="12"/>
      <c r="I154" s="12"/>
      <c r="J154" s="12"/>
      <c r="K154" s="12"/>
      <c r="L154" s="12"/>
      <c r="M154" s="12"/>
      <c r="N154" s="12"/>
      <c r="O154" s="12"/>
      <c r="P154" s="12"/>
      <c r="Q154" s="16"/>
      <c r="R154" s="41"/>
      <c r="S154" s="41"/>
      <c r="T154" s="41"/>
      <c r="U154" s="41"/>
      <c r="V154" s="41"/>
      <c r="W154" s="41"/>
      <c r="X154" s="41"/>
      <c r="Y154" s="41"/>
      <c r="Z154" s="41"/>
    </row>
    <row r="155" spans="1:26" ht="15.75" customHeight="1" x14ac:dyDescent="0.2">
      <c r="A155" s="16"/>
      <c r="B155" s="43"/>
      <c r="C155" s="43"/>
      <c r="D155" s="15"/>
      <c r="E155" s="15"/>
      <c r="F155" s="16"/>
      <c r="G155" s="12"/>
      <c r="H155" s="12"/>
      <c r="I155" s="12"/>
      <c r="J155" s="12"/>
      <c r="K155" s="12"/>
      <c r="L155" s="12"/>
      <c r="M155" s="12"/>
      <c r="N155" s="12"/>
      <c r="O155" s="12"/>
      <c r="P155" s="12"/>
      <c r="Q155" s="16"/>
      <c r="R155" s="41"/>
      <c r="S155" s="41"/>
      <c r="T155" s="41"/>
      <c r="U155" s="41"/>
      <c r="V155" s="41"/>
      <c r="W155" s="41"/>
      <c r="X155" s="41"/>
      <c r="Y155" s="41"/>
      <c r="Z155" s="41"/>
    </row>
    <row r="156" spans="1:26" ht="15.75" customHeight="1" x14ac:dyDescent="0.2">
      <c r="A156" s="16"/>
      <c r="B156" s="43"/>
      <c r="C156" s="43"/>
      <c r="D156" s="15"/>
      <c r="E156" s="15"/>
      <c r="F156" s="16"/>
      <c r="G156" s="12"/>
      <c r="H156" s="12"/>
      <c r="I156" s="12"/>
      <c r="J156" s="12"/>
      <c r="K156" s="12"/>
      <c r="L156" s="12"/>
      <c r="M156" s="12"/>
      <c r="N156" s="12"/>
      <c r="O156" s="12"/>
      <c r="P156" s="12"/>
      <c r="Q156" s="16"/>
      <c r="R156" s="41"/>
      <c r="S156" s="41"/>
      <c r="T156" s="41"/>
      <c r="U156" s="41"/>
      <c r="V156" s="41"/>
      <c r="W156" s="41"/>
      <c r="X156" s="41"/>
      <c r="Y156" s="41"/>
      <c r="Z156" s="41"/>
    </row>
    <row r="157" spans="1:26" ht="15.75" customHeight="1" x14ac:dyDescent="0.2">
      <c r="A157" s="16"/>
      <c r="B157" s="43"/>
      <c r="C157" s="43"/>
      <c r="D157" s="15"/>
      <c r="E157" s="15"/>
      <c r="F157" s="16"/>
      <c r="G157" s="12"/>
      <c r="H157" s="12"/>
      <c r="I157" s="12"/>
      <c r="J157" s="12"/>
      <c r="K157" s="12"/>
      <c r="L157" s="12"/>
      <c r="M157" s="12"/>
      <c r="N157" s="12"/>
      <c r="O157" s="12"/>
      <c r="P157" s="12"/>
      <c r="Q157" s="16"/>
      <c r="R157" s="41"/>
      <c r="S157" s="41"/>
      <c r="T157" s="41"/>
      <c r="U157" s="41"/>
      <c r="V157" s="41"/>
      <c r="W157" s="41"/>
      <c r="X157" s="41"/>
      <c r="Y157" s="41"/>
      <c r="Z157" s="41"/>
    </row>
    <row r="158" spans="1:26" ht="15.75" customHeight="1" x14ac:dyDescent="0.2">
      <c r="A158" s="16"/>
      <c r="B158" s="43"/>
      <c r="C158" s="43"/>
      <c r="D158" s="15"/>
      <c r="E158" s="15"/>
      <c r="F158" s="16"/>
      <c r="G158" s="12"/>
      <c r="H158" s="12"/>
      <c r="I158" s="12"/>
      <c r="J158" s="12"/>
      <c r="K158" s="12"/>
      <c r="L158" s="12"/>
      <c r="M158" s="12"/>
      <c r="N158" s="12"/>
      <c r="O158" s="12"/>
      <c r="P158" s="12"/>
      <c r="Q158" s="16"/>
      <c r="R158" s="41"/>
      <c r="S158" s="41"/>
      <c r="T158" s="41"/>
      <c r="U158" s="41"/>
      <c r="V158" s="41"/>
      <c r="W158" s="41"/>
      <c r="X158" s="41"/>
      <c r="Y158" s="41"/>
      <c r="Z158" s="41"/>
    </row>
    <row r="159" spans="1:26" ht="15.75" customHeight="1" x14ac:dyDescent="0.2">
      <c r="A159" s="16"/>
      <c r="B159" s="43"/>
      <c r="C159" s="43"/>
      <c r="D159" s="15"/>
      <c r="E159" s="15"/>
      <c r="F159" s="16"/>
      <c r="G159" s="12"/>
      <c r="H159" s="12"/>
      <c r="I159" s="12"/>
      <c r="J159" s="12"/>
      <c r="K159" s="12"/>
      <c r="L159" s="12"/>
      <c r="M159" s="12"/>
      <c r="N159" s="12"/>
      <c r="O159" s="12"/>
      <c r="P159" s="12"/>
      <c r="Q159" s="16"/>
      <c r="R159" s="41"/>
      <c r="S159" s="41"/>
      <c r="T159" s="41"/>
      <c r="U159" s="41"/>
      <c r="V159" s="41"/>
      <c r="W159" s="41"/>
      <c r="X159" s="41"/>
      <c r="Y159" s="41"/>
      <c r="Z159" s="41"/>
    </row>
    <row r="160" spans="1:26" ht="15.75" customHeight="1" x14ac:dyDescent="0.2">
      <c r="A160" s="16"/>
      <c r="B160" s="43"/>
      <c r="C160" s="43"/>
      <c r="D160" s="15"/>
      <c r="E160" s="15"/>
      <c r="F160" s="16"/>
      <c r="G160" s="12"/>
      <c r="H160" s="12"/>
      <c r="I160" s="12"/>
      <c r="J160" s="12"/>
      <c r="K160" s="12"/>
      <c r="L160" s="12"/>
      <c r="M160" s="12"/>
      <c r="N160" s="12"/>
      <c r="O160" s="12"/>
      <c r="P160" s="12"/>
      <c r="Q160" s="16"/>
      <c r="R160" s="41"/>
      <c r="S160" s="41"/>
      <c r="T160" s="41"/>
      <c r="U160" s="41"/>
      <c r="V160" s="41"/>
      <c r="W160" s="41"/>
      <c r="X160" s="41"/>
      <c r="Y160" s="41"/>
      <c r="Z160" s="41"/>
    </row>
    <row r="161" spans="1:26" ht="15.75" customHeight="1" x14ac:dyDescent="0.2">
      <c r="A161" s="16"/>
      <c r="B161" s="43"/>
      <c r="C161" s="43"/>
      <c r="D161" s="15"/>
      <c r="E161" s="15"/>
      <c r="F161" s="16"/>
      <c r="G161" s="12"/>
      <c r="H161" s="12"/>
      <c r="I161" s="12"/>
      <c r="J161" s="12"/>
      <c r="K161" s="12"/>
      <c r="L161" s="12"/>
      <c r="M161" s="12"/>
      <c r="N161" s="12"/>
      <c r="O161" s="12"/>
      <c r="P161" s="12"/>
      <c r="Q161" s="16"/>
      <c r="R161" s="41"/>
      <c r="S161" s="41"/>
      <c r="T161" s="41"/>
      <c r="U161" s="41"/>
      <c r="V161" s="41"/>
      <c r="W161" s="41"/>
      <c r="X161" s="41"/>
      <c r="Y161" s="41"/>
      <c r="Z161" s="41"/>
    </row>
    <row r="162" spans="1:26" ht="15.75" customHeight="1" x14ac:dyDescent="0.2">
      <c r="A162" s="16"/>
      <c r="B162" s="43"/>
      <c r="C162" s="43"/>
      <c r="D162" s="15"/>
      <c r="E162" s="15"/>
      <c r="F162" s="16"/>
      <c r="G162" s="12"/>
      <c r="H162" s="12"/>
      <c r="I162" s="12"/>
      <c r="J162" s="12"/>
      <c r="K162" s="12"/>
      <c r="L162" s="12"/>
      <c r="M162" s="12"/>
      <c r="N162" s="12"/>
      <c r="O162" s="12"/>
      <c r="P162" s="12"/>
      <c r="Q162" s="16"/>
      <c r="R162" s="41"/>
      <c r="S162" s="41"/>
      <c r="T162" s="41"/>
      <c r="U162" s="41"/>
      <c r="V162" s="41"/>
      <c r="W162" s="41"/>
      <c r="X162" s="41"/>
      <c r="Y162" s="41"/>
      <c r="Z162" s="41"/>
    </row>
    <row r="163" spans="1:26" ht="15.75" customHeight="1" x14ac:dyDescent="0.2">
      <c r="A163" s="16"/>
      <c r="B163" s="43"/>
      <c r="C163" s="43"/>
      <c r="D163" s="15"/>
      <c r="E163" s="15"/>
      <c r="F163" s="16"/>
      <c r="G163" s="12"/>
      <c r="H163" s="12"/>
      <c r="I163" s="12"/>
      <c r="J163" s="12"/>
      <c r="K163" s="12"/>
      <c r="L163" s="12"/>
      <c r="M163" s="12"/>
      <c r="N163" s="12"/>
      <c r="O163" s="12"/>
      <c r="P163" s="12"/>
      <c r="Q163" s="16"/>
      <c r="R163" s="41"/>
      <c r="S163" s="41"/>
      <c r="T163" s="41"/>
      <c r="U163" s="41"/>
      <c r="V163" s="41"/>
      <c r="W163" s="41"/>
      <c r="X163" s="41"/>
      <c r="Y163" s="41"/>
      <c r="Z163" s="41"/>
    </row>
    <row r="164" spans="1:26" ht="15.75" customHeight="1" x14ac:dyDescent="0.2">
      <c r="A164" s="16"/>
      <c r="B164" s="43"/>
      <c r="C164" s="43"/>
      <c r="D164" s="15"/>
      <c r="E164" s="15"/>
      <c r="F164" s="16"/>
      <c r="G164" s="12"/>
      <c r="H164" s="12"/>
      <c r="I164" s="12"/>
      <c r="J164" s="12"/>
      <c r="K164" s="12"/>
      <c r="L164" s="12"/>
      <c r="M164" s="12"/>
      <c r="N164" s="12"/>
      <c r="O164" s="12"/>
      <c r="P164" s="12"/>
      <c r="Q164" s="16"/>
      <c r="R164" s="41"/>
      <c r="S164" s="41"/>
      <c r="T164" s="41"/>
      <c r="U164" s="41"/>
      <c r="V164" s="41"/>
      <c r="W164" s="41"/>
      <c r="X164" s="41"/>
      <c r="Y164" s="41"/>
      <c r="Z164" s="41"/>
    </row>
    <row r="165" spans="1:26" ht="15.75" customHeight="1" x14ac:dyDescent="0.2">
      <c r="A165" s="16"/>
      <c r="B165" s="43"/>
      <c r="C165" s="43"/>
      <c r="D165" s="15"/>
      <c r="E165" s="15"/>
      <c r="F165" s="16"/>
      <c r="G165" s="12"/>
      <c r="H165" s="12"/>
      <c r="I165" s="12"/>
      <c r="J165" s="12"/>
      <c r="K165" s="12"/>
      <c r="L165" s="12"/>
      <c r="M165" s="12"/>
      <c r="N165" s="12"/>
      <c r="O165" s="12"/>
      <c r="P165" s="12"/>
      <c r="Q165" s="16"/>
      <c r="R165" s="41"/>
      <c r="S165" s="41"/>
      <c r="T165" s="41"/>
      <c r="U165" s="41"/>
      <c r="V165" s="41"/>
      <c r="W165" s="41"/>
      <c r="X165" s="41"/>
      <c r="Y165" s="41"/>
      <c r="Z165" s="41"/>
    </row>
    <row r="166" spans="1:26" ht="15.75" customHeight="1" x14ac:dyDescent="0.2">
      <c r="A166" s="16"/>
      <c r="B166" s="43"/>
      <c r="C166" s="43"/>
      <c r="D166" s="15"/>
      <c r="E166" s="15"/>
      <c r="F166" s="16"/>
      <c r="G166" s="12"/>
      <c r="H166" s="12"/>
      <c r="I166" s="12"/>
      <c r="J166" s="12"/>
      <c r="K166" s="12"/>
      <c r="L166" s="12"/>
      <c r="M166" s="12"/>
      <c r="N166" s="12"/>
      <c r="O166" s="12"/>
      <c r="P166" s="12"/>
      <c r="Q166" s="16"/>
      <c r="R166" s="41"/>
      <c r="S166" s="41"/>
      <c r="T166" s="41"/>
      <c r="U166" s="41"/>
      <c r="V166" s="41"/>
      <c r="W166" s="41"/>
      <c r="X166" s="41"/>
      <c r="Y166" s="41"/>
      <c r="Z166" s="41"/>
    </row>
    <row r="167" spans="1:26" ht="15.75" customHeight="1" x14ac:dyDescent="0.2">
      <c r="A167" s="16"/>
      <c r="B167" s="43"/>
      <c r="C167" s="43"/>
      <c r="D167" s="15"/>
      <c r="E167" s="15"/>
      <c r="F167" s="16"/>
      <c r="G167" s="12"/>
      <c r="H167" s="12"/>
      <c r="I167" s="12"/>
      <c r="J167" s="12"/>
      <c r="K167" s="12"/>
      <c r="L167" s="12"/>
      <c r="M167" s="12"/>
      <c r="N167" s="12"/>
      <c r="O167" s="12"/>
      <c r="P167" s="12"/>
      <c r="Q167" s="16"/>
      <c r="R167" s="41"/>
      <c r="S167" s="41"/>
      <c r="T167" s="41"/>
      <c r="U167" s="41"/>
      <c r="V167" s="41"/>
      <c r="W167" s="41"/>
      <c r="X167" s="41"/>
      <c r="Y167" s="41"/>
      <c r="Z167" s="41"/>
    </row>
    <row r="168" spans="1:26" ht="15.75" customHeight="1" x14ac:dyDescent="0.2">
      <c r="A168" s="16"/>
      <c r="B168" s="43"/>
      <c r="C168" s="43"/>
      <c r="D168" s="15"/>
      <c r="E168" s="15"/>
      <c r="F168" s="16"/>
      <c r="G168" s="12"/>
      <c r="H168" s="12"/>
      <c r="I168" s="12"/>
      <c r="J168" s="12"/>
      <c r="K168" s="12"/>
      <c r="L168" s="12"/>
      <c r="M168" s="12"/>
      <c r="N168" s="12"/>
      <c r="O168" s="12"/>
      <c r="P168" s="12"/>
      <c r="Q168" s="16"/>
      <c r="R168" s="41"/>
      <c r="S168" s="41"/>
      <c r="T168" s="41"/>
      <c r="U168" s="41"/>
      <c r="V168" s="41"/>
      <c r="W168" s="41"/>
      <c r="X168" s="41"/>
      <c r="Y168" s="41"/>
      <c r="Z168" s="41"/>
    </row>
    <row r="169" spans="1:26" ht="15.75" customHeight="1" x14ac:dyDescent="0.2">
      <c r="A169" s="16"/>
      <c r="B169" s="43"/>
      <c r="C169" s="43"/>
      <c r="D169" s="15"/>
      <c r="E169" s="15"/>
      <c r="F169" s="16"/>
      <c r="G169" s="12"/>
      <c r="H169" s="12"/>
      <c r="I169" s="12"/>
      <c r="J169" s="12"/>
      <c r="K169" s="12"/>
      <c r="L169" s="12"/>
      <c r="M169" s="12"/>
      <c r="N169" s="12"/>
      <c r="O169" s="12"/>
      <c r="P169" s="12"/>
      <c r="Q169" s="16"/>
      <c r="R169" s="41"/>
      <c r="S169" s="41"/>
      <c r="T169" s="41"/>
      <c r="U169" s="41"/>
      <c r="V169" s="41"/>
      <c r="W169" s="41"/>
      <c r="X169" s="41"/>
      <c r="Y169" s="41"/>
      <c r="Z169" s="41"/>
    </row>
    <row r="170" spans="1:26" ht="15.75" customHeight="1" x14ac:dyDescent="0.2">
      <c r="A170" s="16"/>
      <c r="B170" s="43"/>
      <c r="C170" s="43"/>
      <c r="D170" s="15"/>
      <c r="E170" s="15"/>
      <c r="F170" s="16"/>
      <c r="G170" s="12"/>
      <c r="H170" s="12"/>
      <c r="I170" s="12"/>
      <c r="J170" s="12"/>
      <c r="K170" s="12"/>
      <c r="L170" s="12"/>
      <c r="M170" s="12"/>
      <c r="N170" s="12"/>
      <c r="O170" s="12"/>
      <c r="P170" s="12"/>
      <c r="Q170" s="16"/>
      <c r="R170" s="41"/>
      <c r="S170" s="41"/>
      <c r="T170" s="41"/>
      <c r="U170" s="41"/>
      <c r="V170" s="41"/>
      <c r="W170" s="41"/>
      <c r="X170" s="41"/>
      <c r="Y170" s="41"/>
      <c r="Z170" s="41"/>
    </row>
    <row r="171" spans="1:26" ht="15.75" customHeight="1" x14ac:dyDescent="0.2">
      <c r="A171" s="16"/>
      <c r="B171" s="43"/>
      <c r="C171" s="43"/>
      <c r="D171" s="15"/>
      <c r="E171" s="15"/>
      <c r="F171" s="16"/>
      <c r="G171" s="12"/>
      <c r="H171" s="12"/>
      <c r="I171" s="12"/>
      <c r="J171" s="12"/>
      <c r="K171" s="12"/>
      <c r="L171" s="12"/>
      <c r="M171" s="12"/>
      <c r="N171" s="12"/>
      <c r="O171" s="12"/>
      <c r="P171" s="12"/>
      <c r="Q171" s="16"/>
      <c r="R171" s="41"/>
      <c r="S171" s="41"/>
      <c r="T171" s="41"/>
      <c r="U171" s="41"/>
      <c r="V171" s="41"/>
      <c r="W171" s="41"/>
      <c r="X171" s="41"/>
      <c r="Y171" s="41"/>
      <c r="Z171" s="41"/>
    </row>
    <row r="172" spans="1:26" ht="15.75" customHeight="1" x14ac:dyDescent="0.2">
      <c r="A172" s="16"/>
      <c r="B172" s="43"/>
      <c r="C172" s="43"/>
      <c r="D172" s="15"/>
      <c r="E172" s="15"/>
      <c r="F172" s="16"/>
      <c r="G172" s="12"/>
      <c r="H172" s="12"/>
      <c r="I172" s="12"/>
      <c r="J172" s="12"/>
      <c r="K172" s="12"/>
      <c r="L172" s="12"/>
      <c r="M172" s="12"/>
      <c r="N172" s="12"/>
      <c r="O172" s="12"/>
      <c r="P172" s="12"/>
      <c r="Q172" s="16"/>
      <c r="R172" s="41"/>
      <c r="S172" s="41"/>
      <c r="T172" s="41"/>
      <c r="U172" s="41"/>
      <c r="V172" s="41"/>
      <c r="W172" s="41"/>
      <c r="X172" s="41"/>
      <c r="Y172" s="41"/>
      <c r="Z172" s="41"/>
    </row>
    <row r="173" spans="1:26" ht="15.75" customHeight="1" x14ac:dyDescent="0.2">
      <c r="A173" s="16"/>
      <c r="B173" s="43"/>
      <c r="C173" s="43"/>
      <c r="D173" s="15"/>
      <c r="E173" s="15"/>
      <c r="F173" s="16"/>
      <c r="G173" s="12"/>
      <c r="H173" s="12"/>
      <c r="I173" s="12"/>
      <c r="J173" s="12"/>
      <c r="K173" s="12"/>
      <c r="L173" s="12"/>
      <c r="M173" s="12"/>
      <c r="N173" s="12"/>
      <c r="O173" s="12"/>
      <c r="P173" s="12"/>
      <c r="Q173" s="16"/>
      <c r="R173" s="41"/>
      <c r="S173" s="41"/>
      <c r="T173" s="41"/>
      <c r="U173" s="41"/>
      <c r="V173" s="41"/>
      <c r="W173" s="41"/>
      <c r="X173" s="41"/>
      <c r="Y173" s="41"/>
      <c r="Z173" s="41"/>
    </row>
    <row r="174" spans="1:26" ht="15.75" customHeight="1" x14ac:dyDescent="0.2">
      <c r="A174" s="16"/>
      <c r="B174" s="43"/>
      <c r="C174" s="43"/>
      <c r="D174" s="15"/>
      <c r="E174" s="15"/>
      <c r="F174" s="16"/>
      <c r="G174" s="12"/>
      <c r="H174" s="12"/>
      <c r="I174" s="12"/>
      <c r="J174" s="12"/>
      <c r="K174" s="12"/>
      <c r="L174" s="12"/>
      <c r="M174" s="12"/>
      <c r="N174" s="12"/>
      <c r="O174" s="12"/>
      <c r="P174" s="12"/>
      <c r="Q174" s="16"/>
      <c r="R174" s="41"/>
      <c r="S174" s="41"/>
      <c r="T174" s="41"/>
      <c r="U174" s="41"/>
      <c r="V174" s="41"/>
      <c r="W174" s="41"/>
      <c r="X174" s="41"/>
      <c r="Y174" s="41"/>
      <c r="Z174" s="41"/>
    </row>
    <row r="175" spans="1:26" ht="15.75" customHeight="1" x14ac:dyDescent="0.2">
      <c r="A175" s="16"/>
      <c r="B175" s="43"/>
      <c r="C175" s="43"/>
      <c r="D175" s="15"/>
      <c r="E175" s="15"/>
      <c r="F175" s="16"/>
      <c r="G175" s="12"/>
      <c r="H175" s="12"/>
      <c r="I175" s="12"/>
      <c r="J175" s="12"/>
      <c r="K175" s="12"/>
      <c r="L175" s="12"/>
      <c r="M175" s="12"/>
      <c r="N175" s="12"/>
      <c r="O175" s="12"/>
      <c r="P175" s="12"/>
      <c r="Q175" s="16"/>
      <c r="R175" s="41"/>
      <c r="S175" s="41"/>
      <c r="T175" s="41"/>
      <c r="U175" s="41"/>
      <c r="V175" s="41"/>
      <c r="W175" s="41"/>
      <c r="X175" s="41"/>
      <c r="Y175" s="41"/>
      <c r="Z175" s="41"/>
    </row>
    <row r="176" spans="1:26" ht="15.75" customHeight="1" x14ac:dyDescent="0.2">
      <c r="A176" s="16"/>
      <c r="B176" s="43"/>
      <c r="C176" s="43"/>
      <c r="D176" s="15"/>
      <c r="E176" s="15"/>
      <c r="F176" s="16"/>
      <c r="G176" s="12"/>
      <c r="H176" s="12"/>
      <c r="I176" s="12"/>
      <c r="J176" s="12"/>
      <c r="K176" s="12"/>
      <c r="L176" s="12"/>
      <c r="M176" s="12"/>
      <c r="N176" s="12"/>
      <c r="O176" s="12"/>
      <c r="P176" s="12"/>
      <c r="Q176" s="16"/>
      <c r="R176" s="41"/>
      <c r="S176" s="41"/>
      <c r="T176" s="41"/>
      <c r="U176" s="41"/>
      <c r="V176" s="41"/>
      <c r="W176" s="41"/>
      <c r="X176" s="41"/>
      <c r="Y176" s="41"/>
      <c r="Z176" s="41"/>
    </row>
    <row r="177" spans="1:26" ht="15.75" customHeight="1" x14ac:dyDescent="0.2">
      <c r="A177" s="16"/>
      <c r="B177" s="43"/>
      <c r="C177" s="43"/>
      <c r="D177" s="15"/>
      <c r="E177" s="15"/>
      <c r="F177" s="16"/>
      <c r="G177" s="12"/>
      <c r="H177" s="12"/>
      <c r="I177" s="12"/>
      <c r="J177" s="12"/>
      <c r="K177" s="12"/>
      <c r="L177" s="12"/>
      <c r="M177" s="12"/>
      <c r="N177" s="12"/>
      <c r="O177" s="12"/>
      <c r="P177" s="12"/>
      <c r="Q177" s="16"/>
      <c r="R177" s="41"/>
      <c r="S177" s="41"/>
      <c r="T177" s="41"/>
      <c r="U177" s="41"/>
      <c r="V177" s="41"/>
      <c r="W177" s="41"/>
      <c r="X177" s="41"/>
      <c r="Y177" s="41"/>
      <c r="Z177" s="41"/>
    </row>
    <row r="178" spans="1:26" ht="15.75" customHeight="1" x14ac:dyDescent="0.2">
      <c r="A178" s="16"/>
      <c r="B178" s="43"/>
      <c r="C178" s="43"/>
      <c r="D178" s="15"/>
      <c r="E178" s="15"/>
      <c r="F178" s="16"/>
      <c r="G178" s="12"/>
      <c r="H178" s="12"/>
      <c r="I178" s="12"/>
      <c r="J178" s="12"/>
      <c r="K178" s="12"/>
      <c r="L178" s="12"/>
      <c r="M178" s="12"/>
      <c r="N178" s="12"/>
      <c r="O178" s="12"/>
      <c r="P178" s="12"/>
      <c r="Q178" s="16"/>
      <c r="R178" s="41"/>
      <c r="S178" s="41"/>
      <c r="T178" s="41"/>
      <c r="U178" s="41"/>
      <c r="V178" s="41"/>
      <c r="W178" s="41"/>
      <c r="X178" s="41"/>
      <c r="Y178" s="41"/>
      <c r="Z178" s="41"/>
    </row>
    <row r="179" spans="1:26" ht="15.75" customHeight="1" x14ac:dyDescent="0.2">
      <c r="A179" s="16"/>
      <c r="B179" s="43"/>
      <c r="C179" s="43"/>
      <c r="D179" s="15"/>
      <c r="E179" s="15"/>
      <c r="F179" s="16"/>
      <c r="G179" s="12"/>
      <c r="H179" s="12"/>
      <c r="I179" s="12"/>
      <c r="J179" s="12"/>
      <c r="K179" s="12"/>
      <c r="L179" s="12"/>
      <c r="M179" s="12"/>
      <c r="N179" s="12"/>
      <c r="O179" s="12"/>
      <c r="P179" s="12"/>
      <c r="Q179" s="16"/>
      <c r="R179" s="41"/>
      <c r="S179" s="41"/>
      <c r="T179" s="41"/>
      <c r="U179" s="41"/>
      <c r="V179" s="41"/>
      <c r="W179" s="41"/>
      <c r="X179" s="41"/>
      <c r="Y179" s="41"/>
      <c r="Z179" s="41"/>
    </row>
    <row r="180" spans="1:26" ht="15.75" customHeight="1" x14ac:dyDescent="0.2">
      <c r="A180" s="16"/>
      <c r="B180" s="43"/>
      <c r="C180" s="43"/>
      <c r="D180" s="15"/>
      <c r="E180" s="15"/>
      <c r="F180" s="16"/>
      <c r="G180" s="12"/>
      <c r="H180" s="12"/>
      <c r="I180" s="12"/>
      <c r="J180" s="12"/>
      <c r="K180" s="12"/>
      <c r="L180" s="12"/>
      <c r="M180" s="12"/>
      <c r="N180" s="12"/>
      <c r="O180" s="12"/>
      <c r="P180" s="12"/>
      <c r="Q180" s="16"/>
      <c r="R180" s="41"/>
      <c r="S180" s="41"/>
      <c r="T180" s="41"/>
      <c r="U180" s="41"/>
      <c r="V180" s="41"/>
      <c r="W180" s="41"/>
      <c r="X180" s="41"/>
      <c r="Y180" s="41"/>
      <c r="Z180" s="41"/>
    </row>
    <row r="181" spans="1:26" ht="15.75" customHeight="1" x14ac:dyDescent="0.2">
      <c r="A181" s="16"/>
      <c r="B181" s="43"/>
      <c r="C181" s="43"/>
      <c r="D181" s="15"/>
      <c r="E181" s="15"/>
      <c r="F181" s="16"/>
      <c r="G181" s="12"/>
      <c r="H181" s="12"/>
      <c r="I181" s="12"/>
      <c r="J181" s="12"/>
      <c r="K181" s="12"/>
      <c r="L181" s="12"/>
      <c r="M181" s="12"/>
      <c r="N181" s="12"/>
      <c r="O181" s="12"/>
      <c r="P181" s="12"/>
      <c r="Q181" s="16"/>
      <c r="R181" s="41"/>
      <c r="S181" s="41"/>
      <c r="T181" s="41"/>
      <c r="U181" s="41"/>
      <c r="V181" s="41"/>
      <c r="W181" s="41"/>
      <c r="X181" s="41"/>
      <c r="Y181" s="41"/>
      <c r="Z181" s="41"/>
    </row>
    <row r="182" spans="1:26" ht="15.75" customHeight="1" x14ac:dyDescent="0.2">
      <c r="A182" s="16"/>
      <c r="B182" s="43"/>
      <c r="C182" s="43"/>
      <c r="D182" s="15"/>
      <c r="E182" s="15"/>
      <c r="F182" s="16"/>
      <c r="G182" s="12"/>
      <c r="H182" s="12"/>
      <c r="I182" s="12"/>
      <c r="J182" s="12"/>
      <c r="K182" s="12"/>
      <c r="L182" s="12"/>
      <c r="M182" s="12"/>
      <c r="N182" s="12"/>
      <c r="O182" s="12"/>
      <c r="P182" s="12"/>
      <c r="Q182" s="16"/>
      <c r="R182" s="41"/>
      <c r="S182" s="41"/>
      <c r="T182" s="41"/>
      <c r="U182" s="41"/>
      <c r="V182" s="41"/>
      <c r="W182" s="41"/>
      <c r="X182" s="41"/>
      <c r="Y182" s="41"/>
      <c r="Z182" s="41"/>
    </row>
    <row r="183" spans="1:26" ht="15.75" customHeight="1" x14ac:dyDescent="0.2">
      <c r="A183" s="16"/>
      <c r="B183" s="43"/>
      <c r="C183" s="43"/>
      <c r="D183" s="15"/>
      <c r="E183" s="15"/>
      <c r="F183" s="16"/>
      <c r="G183" s="12"/>
      <c r="H183" s="12"/>
      <c r="I183" s="12"/>
      <c r="J183" s="12"/>
      <c r="K183" s="12"/>
      <c r="L183" s="12"/>
      <c r="M183" s="12"/>
      <c r="N183" s="12"/>
      <c r="O183" s="12"/>
      <c r="P183" s="12"/>
      <c r="Q183" s="16"/>
      <c r="R183" s="41"/>
      <c r="S183" s="41"/>
      <c r="T183" s="41"/>
      <c r="U183" s="41"/>
      <c r="V183" s="41"/>
      <c r="W183" s="41"/>
      <c r="X183" s="41"/>
      <c r="Y183" s="41"/>
      <c r="Z183" s="41"/>
    </row>
    <row r="184" spans="1:26" ht="15.75" customHeight="1" x14ac:dyDescent="0.2">
      <c r="A184" s="16"/>
      <c r="B184" s="43"/>
      <c r="C184" s="43"/>
      <c r="D184" s="15"/>
      <c r="E184" s="15"/>
      <c r="F184" s="16"/>
      <c r="G184" s="12"/>
      <c r="H184" s="12"/>
      <c r="I184" s="12"/>
      <c r="J184" s="12"/>
      <c r="K184" s="12"/>
      <c r="L184" s="12"/>
      <c r="M184" s="12"/>
      <c r="N184" s="12"/>
      <c r="O184" s="12"/>
      <c r="P184" s="12"/>
      <c r="Q184" s="16"/>
      <c r="R184" s="41"/>
      <c r="S184" s="41"/>
      <c r="T184" s="41"/>
      <c r="U184" s="41"/>
      <c r="V184" s="41"/>
      <c r="W184" s="41"/>
      <c r="X184" s="41"/>
      <c r="Y184" s="41"/>
      <c r="Z184" s="41"/>
    </row>
    <row r="185" spans="1:26" ht="15.75" customHeight="1" x14ac:dyDescent="0.2">
      <c r="A185" s="16"/>
      <c r="B185" s="43"/>
      <c r="C185" s="43"/>
      <c r="D185" s="15"/>
      <c r="E185" s="15"/>
      <c r="F185" s="16"/>
      <c r="G185" s="12"/>
      <c r="H185" s="12"/>
      <c r="I185" s="12"/>
      <c r="J185" s="12"/>
      <c r="K185" s="12"/>
      <c r="L185" s="12"/>
      <c r="M185" s="12"/>
      <c r="N185" s="12"/>
      <c r="O185" s="12"/>
      <c r="P185" s="12"/>
      <c r="Q185" s="16"/>
      <c r="R185" s="41"/>
      <c r="S185" s="41"/>
      <c r="T185" s="41"/>
      <c r="U185" s="41"/>
      <c r="V185" s="41"/>
      <c r="W185" s="41"/>
      <c r="X185" s="41"/>
      <c r="Y185" s="41"/>
      <c r="Z185" s="41"/>
    </row>
    <row r="186" spans="1:26" ht="15.75" customHeight="1" x14ac:dyDescent="0.2">
      <c r="A186" s="16"/>
      <c r="B186" s="43"/>
      <c r="C186" s="43"/>
      <c r="D186" s="15"/>
      <c r="E186" s="15"/>
      <c r="F186" s="16"/>
      <c r="G186" s="12"/>
      <c r="H186" s="12"/>
      <c r="I186" s="12"/>
      <c r="J186" s="12"/>
      <c r="K186" s="12"/>
      <c r="L186" s="12"/>
      <c r="M186" s="12"/>
      <c r="N186" s="12"/>
      <c r="O186" s="12"/>
      <c r="P186" s="12"/>
      <c r="Q186" s="16"/>
      <c r="R186" s="41"/>
      <c r="S186" s="41"/>
      <c r="T186" s="41"/>
      <c r="U186" s="41"/>
      <c r="V186" s="41"/>
      <c r="W186" s="41"/>
      <c r="X186" s="41"/>
      <c r="Y186" s="41"/>
      <c r="Z186" s="41"/>
    </row>
    <row r="187" spans="1:26" ht="15.75" customHeight="1" x14ac:dyDescent="0.2">
      <c r="A187" s="16"/>
      <c r="B187" s="43"/>
      <c r="C187" s="43"/>
      <c r="D187" s="15"/>
      <c r="E187" s="15"/>
      <c r="F187" s="16"/>
      <c r="G187" s="12"/>
      <c r="H187" s="12"/>
      <c r="I187" s="12"/>
      <c r="J187" s="12"/>
      <c r="K187" s="12"/>
      <c r="L187" s="12"/>
      <c r="M187" s="12"/>
      <c r="N187" s="12"/>
      <c r="O187" s="12"/>
      <c r="P187" s="12"/>
      <c r="Q187" s="16"/>
      <c r="R187" s="41"/>
      <c r="S187" s="41"/>
      <c r="T187" s="41"/>
      <c r="U187" s="41"/>
      <c r="V187" s="41"/>
      <c r="W187" s="41"/>
      <c r="X187" s="41"/>
      <c r="Y187" s="41"/>
      <c r="Z187" s="41"/>
    </row>
    <row r="188" spans="1:26" ht="15.75" customHeight="1" x14ac:dyDescent="0.2">
      <c r="A188" s="16"/>
      <c r="B188" s="43"/>
      <c r="C188" s="43"/>
      <c r="D188" s="15"/>
      <c r="E188" s="15"/>
      <c r="F188" s="16"/>
      <c r="G188" s="12"/>
      <c r="H188" s="12"/>
      <c r="I188" s="12"/>
      <c r="J188" s="12"/>
      <c r="K188" s="12"/>
      <c r="L188" s="12"/>
      <c r="M188" s="12"/>
      <c r="N188" s="12"/>
      <c r="O188" s="12"/>
      <c r="P188" s="12"/>
      <c r="Q188" s="16"/>
      <c r="R188" s="41"/>
      <c r="S188" s="41"/>
      <c r="T188" s="41"/>
      <c r="U188" s="41"/>
      <c r="V188" s="41"/>
      <c r="W188" s="41"/>
      <c r="X188" s="41"/>
      <c r="Y188" s="41"/>
      <c r="Z188" s="41"/>
    </row>
    <row r="189" spans="1:26" ht="15.75" customHeight="1" x14ac:dyDescent="0.2">
      <c r="A189" s="16"/>
      <c r="B189" s="43"/>
      <c r="C189" s="43"/>
      <c r="D189" s="15"/>
      <c r="E189" s="15"/>
      <c r="F189" s="16"/>
      <c r="G189" s="12"/>
      <c r="H189" s="12"/>
      <c r="I189" s="12"/>
      <c r="J189" s="12"/>
      <c r="K189" s="12"/>
      <c r="L189" s="12"/>
      <c r="M189" s="12"/>
      <c r="N189" s="12"/>
      <c r="O189" s="12"/>
      <c r="P189" s="12"/>
      <c r="Q189" s="16"/>
      <c r="R189" s="41"/>
      <c r="S189" s="41"/>
      <c r="T189" s="41"/>
      <c r="U189" s="41"/>
      <c r="V189" s="41"/>
      <c r="W189" s="41"/>
      <c r="X189" s="41"/>
      <c r="Y189" s="41"/>
      <c r="Z189" s="41"/>
    </row>
    <row r="190" spans="1:26" ht="15.75" customHeight="1" x14ac:dyDescent="0.2">
      <c r="A190" s="16"/>
      <c r="B190" s="43"/>
      <c r="C190" s="43"/>
      <c r="D190" s="15"/>
      <c r="E190" s="15"/>
      <c r="F190" s="16"/>
      <c r="G190" s="12"/>
      <c r="H190" s="12"/>
      <c r="I190" s="12"/>
      <c r="J190" s="12"/>
      <c r="K190" s="12"/>
      <c r="L190" s="12"/>
      <c r="M190" s="12"/>
      <c r="N190" s="12"/>
      <c r="O190" s="12"/>
      <c r="P190" s="12"/>
      <c r="Q190" s="16"/>
      <c r="R190" s="41"/>
      <c r="S190" s="41"/>
      <c r="T190" s="41"/>
      <c r="U190" s="41"/>
      <c r="V190" s="41"/>
      <c r="W190" s="41"/>
      <c r="X190" s="41"/>
      <c r="Y190" s="41"/>
      <c r="Z190" s="41"/>
    </row>
    <row r="191" spans="1:26" ht="15.75" customHeight="1" x14ac:dyDescent="0.2">
      <c r="A191" s="16"/>
      <c r="B191" s="43"/>
      <c r="C191" s="43"/>
      <c r="D191" s="15"/>
      <c r="E191" s="15"/>
      <c r="F191" s="16"/>
      <c r="G191" s="12"/>
      <c r="H191" s="12"/>
      <c r="I191" s="12"/>
      <c r="J191" s="12"/>
      <c r="K191" s="12"/>
      <c r="L191" s="12"/>
      <c r="M191" s="12"/>
      <c r="N191" s="12"/>
      <c r="O191" s="12"/>
      <c r="P191" s="12"/>
      <c r="Q191" s="16"/>
      <c r="R191" s="41"/>
      <c r="S191" s="41"/>
      <c r="T191" s="41"/>
      <c r="U191" s="41"/>
      <c r="V191" s="41"/>
      <c r="W191" s="41"/>
      <c r="X191" s="41"/>
      <c r="Y191" s="41"/>
      <c r="Z191" s="41"/>
    </row>
    <row r="192" spans="1:26" ht="15.75" customHeight="1" x14ac:dyDescent="0.2">
      <c r="A192" s="16"/>
      <c r="B192" s="43"/>
      <c r="C192" s="43"/>
      <c r="D192" s="15"/>
      <c r="E192" s="15"/>
      <c r="F192" s="16"/>
      <c r="G192" s="12"/>
      <c r="H192" s="12"/>
      <c r="I192" s="12"/>
      <c r="J192" s="12"/>
      <c r="K192" s="12"/>
      <c r="L192" s="12"/>
      <c r="M192" s="12"/>
      <c r="N192" s="12"/>
      <c r="O192" s="12"/>
      <c r="P192" s="12"/>
      <c r="Q192" s="16"/>
      <c r="R192" s="41"/>
      <c r="S192" s="41"/>
      <c r="T192" s="41"/>
      <c r="U192" s="41"/>
      <c r="V192" s="41"/>
      <c r="W192" s="41"/>
      <c r="X192" s="41"/>
      <c r="Y192" s="41"/>
      <c r="Z192" s="41"/>
    </row>
    <row r="193" spans="1:26" ht="15.75" customHeight="1" x14ac:dyDescent="0.2">
      <c r="A193" s="16"/>
      <c r="B193" s="43"/>
      <c r="C193" s="43"/>
      <c r="D193" s="15"/>
      <c r="E193" s="15"/>
      <c r="F193" s="16"/>
      <c r="G193" s="12"/>
      <c r="H193" s="12"/>
      <c r="I193" s="12"/>
      <c r="J193" s="12"/>
      <c r="K193" s="12"/>
      <c r="L193" s="12"/>
      <c r="M193" s="12"/>
      <c r="N193" s="12"/>
      <c r="O193" s="12"/>
      <c r="P193" s="12"/>
      <c r="Q193" s="16"/>
      <c r="R193" s="41"/>
      <c r="S193" s="41"/>
      <c r="T193" s="41"/>
      <c r="U193" s="41"/>
      <c r="V193" s="41"/>
      <c r="W193" s="41"/>
      <c r="X193" s="41"/>
      <c r="Y193" s="41"/>
      <c r="Z193" s="41"/>
    </row>
    <row r="194" spans="1:26" ht="15.75" customHeight="1" x14ac:dyDescent="0.2">
      <c r="A194" s="16"/>
      <c r="B194" s="43"/>
      <c r="C194" s="43"/>
      <c r="D194" s="15"/>
      <c r="E194" s="15"/>
      <c r="F194" s="16"/>
      <c r="G194" s="12"/>
      <c r="H194" s="12"/>
      <c r="I194" s="12"/>
      <c r="J194" s="12"/>
      <c r="K194" s="12"/>
      <c r="L194" s="12"/>
      <c r="M194" s="12"/>
      <c r="N194" s="12"/>
      <c r="O194" s="12"/>
      <c r="P194" s="12"/>
      <c r="Q194" s="16"/>
      <c r="R194" s="41"/>
      <c r="S194" s="41"/>
      <c r="T194" s="41"/>
      <c r="U194" s="41"/>
      <c r="V194" s="41"/>
      <c r="W194" s="41"/>
      <c r="X194" s="41"/>
      <c r="Y194" s="41"/>
      <c r="Z194" s="41"/>
    </row>
    <row r="195" spans="1:26" ht="15.75" customHeight="1" x14ac:dyDescent="0.2">
      <c r="A195" s="16"/>
      <c r="B195" s="43"/>
      <c r="C195" s="43"/>
      <c r="D195" s="15"/>
      <c r="E195" s="15"/>
      <c r="F195" s="16"/>
      <c r="G195" s="12"/>
      <c r="H195" s="12"/>
      <c r="I195" s="12"/>
      <c r="J195" s="12"/>
      <c r="K195" s="12"/>
      <c r="L195" s="12"/>
      <c r="M195" s="12"/>
      <c r="N195" s="12"/>
      <c r="O195" s="12"/>
      <c r="P195" s="12"/>
      <c r="Q195" s="16"/>
      <c r="R195" s="41"/>
      <c r="S195" s="41"/>
      <c r="T195" s="41"/>
      <c r="U195" s="41"/>
      <c r="V195" s="41"/>
      <c r="W195" s="41"/>
      <c r="X195" s="41"/>
      <c r="Y195" s="41"/>
      <c r="Z195" s="41"/>
    </row>
    <row r="196" spans="1:26" ht="15.75" customHeight="1" x14ac:dyDescent="0.2">
      <c r="A196" s="16"/>
      <c r="B196" s="43"/>
      <c r="C196" s="43"/>
      <c r="D196" s="15"/>
      <c r="E196" s="15"/>
      <c r="F196" s="16"/>
      <c r="G196" s="12"/>
      <c r="H196" s="12"/>
      <c r="I196" s="12"/>
      <c r="J196" s="12"/>
      <c r="K196" s="12"/>
      <c r="L196" s="12"/>
      <c r="M196" s="12"/>
      <c r="N196" s="12"/>
      <c r="O196" s="12"/>
      <c r="P196" s="12"/>
      <c r="Q196" s="16"/>
      <c r="R196" s="41"/>
      <c r="S196" s="41"/>
      <c r="T196" s="41"/>
      <c r="U196" s="41"/>
      <c r="V196" s="41"/>
      <c r="W196" s="41"/>
      <c r="X196" s="41"/>
      <c r="Y196" s="41"/>
      <c r="Z196" s="41"/>
    </row>
    <row r="197" spans="1:26" ht="15.75" customHeight="1" x14ac:dyDescent="0.2">
      <c r="A197" s="16"/>
      <c r="B197" s="43"/>
      <c r="C197" s="43"/>
      <c r="D197" s="15"/>
      <c r="E197" s="15"/>
      <c r="F197" s="16"/>
      <c r="G197" s="12"/>
      <c r="H197" s="12"/>
      <c r="I197" s="12"/>
      <c r="J197" s="12"/>
      <c r="K197" s="12"/>
      <c r="L197" s="12"/>
      <c r="M197" s="12"/>
      <c r="N197" s="12"/>
      <c r="O197" s="12"/>
      <c r="P197" s="12"/>
      <c r="Q197" s="16"/>
      <c r="R197" s="41"/>
      <c r="S197" s="41"/>
      <c r="T197" s="41"/>
      <c r="U197" s="41"/>
      <c r="V197" s="41"/>
      <c r="W197" s="41"/>
      <c r="X197" s="41"/>
      <c r="Y197" s="41"/>
      <c r="Z197" s="41"/>
    </row>
    <row r="198" spans="1:26" ht="15.75" customHeight="1" x14ac:dyDescent="0.2">
      <c r="A198" s="16"/>
      <c r="B198" s="43"/>
      <c r="C198" s="43"/>
      <c r="D198" s="15"/>
      <c r="E198" s="15"/>
      <c r="F198" s="16"/>
      <c r="G198" s="12"/>
      <c r="H198" s="12"/>
      <c r="I198" s="12"/>
      <c r="J198" s="12"/>
      <c r="K198" s="12"/>
      <c r="L198" s="12"/>
      <c r="M198" s="12"/>
      <c r="N198" s="12"/>
      <c r="O198" s="12"/>
      <c r="P198" s="12"/>
      <c r="Q198" s="16"/>
      <c r="R198" s="41"/>
      <c r="S198" s="41"/>
      <c r="T198" s="41"/>
      <c r="U198" s="41"/>
      <c r="V198" s="41"/>
      <c r="W198" s="41"/>
      <c r="X198" s="41"/>
      <c r="Y198" s="41"/>
      <c r="Z198" s="41"/>
    </row>
    <row r="199" spans="1:26" ht="15.75" customHeight="1" x14ac:dyDescent="0.2">
      <c r="A199" s="16"/>
      <c r="B199" s="43"/>
      <c r="C199" s="43"/>
      <c r="D199" s="15"/>
      <c r="E199" s="15"/>
      <c r="F199" s="16"/>
      <c r="G199" s="12"/>
      <c r="H199" s="12"/>
      <c r="I199" s="12"/>
      <c r="J199" s="12"/>
      <c r="K199" s="12"/>
      <c r="L199" s="12"/>
      <c r="M199" s="12"/>
      <c r="N199" s="12"/>
      <c r="O199" s="12"/>
      <c r="P199" s="12"/>
      <c r="Q199" s="16"/>
      <c r="R199" s="41"/>
      <c r="S199" s="41"/>
      <c r="T199" s="41"/>
      <c r="U199" s="41"/>
      <c r="V199" s="41"/>
      <c r="W199" s="41"/>
      <c r="X199" s="41"/>
      <c r="Y199" s="41"/>
      <c r="Z199" s="41"/>
    </row>
    <row r="200" spans="1:26" ht="15.75" customHeight="1" x14ac:dyDescent="0.2">
      <c r="A200" s="16"/>
      <c r="B200" s="43"/>
      <c r="C200" s="43"/>
      <c r="D200" s="15"/>
      <c r="E200" s="15"/>
      <c r="F200" s="16"/>
      <c r="G200" s="12"/>
      <c r="H200" s="12"/>
      <c r="I200" s="12"/>
      <c r="J200" s="12"/>
      <c r="K200" s="12"/>
      <c r="L200" s="12"/>
      <c r="M200" s="12"/>
      <c r="N200" s="12"/>
      <c r="O200" s="12"/>
      <c r="P200" s="12"/>
      <c r="Q200" s="16"/>
      <c r="R200" s="41"/>
      <c r="S200" s="41"/>
      <c r="T200" s="41"/>
      <c r="U200" s="41"/>
      <c r="V200" s="41"/>
      <c r="W200" s="41"/>
      <c r="X200" s="41"/>
      <c r="Y200" s="41"/>
      <c r="Z200" s="41"/>
    </row>
    <row r="201" spans="1:26" ht="15.75" customHeight="1" x14ac:dyDescent="0.2">
      <c r="A201" s="16"/>
      <c r="B201" s="43"/>
      <c r="C201" s="43"/>
      <c r="D201" s="15"/>
      <c r="E201" s="15"/>
      <c r="F201" s="16"/>
      <c r="G201" s="12"/>
      <c r="H201" s="12"/>
      <c r="I201" s="12"/>
      <c r="J201" s="12"/>
      <c r="K201" s="12"/>
      <c r="L201" s="12"/>
      <c r="M201" s="12"/>
      <c r="N201" s="12"/>
      <c r="O201" s="12"/>
      <c r="P201" s="12"/>
      <c r="Q201" s="16"/>
      <c r="R201" s="41"/>
      <c r="S201" s="41"/>
      <c r="T201" s="41"/>
      <c r="U201" s="41"/>
      <c r="V201" s="41"/>
      <c r="W201" s="41"/>
      <c r="X201" s="41"/>
      <c r="Y201" s="41"/>
      <c r="Z201" s="41"/>
    </row>
    <row r="202" spans="1:26" ht="15.75" customHeight="1" x14ac:dyDescent="0.2">
      <c r="A202" s="16"/>
      <c r="B202" s="43"/>
      <c r="C202" s="43"/>
      <c r="D202" s="15"/>
      <c r="E202" s="15"/>
      <c r="F202" s="16"/>
      <c r="G202" s="12"/>
      <c r="H202" s="12"/>
      <c r="I202" s="12"/>
      <c r="J202" s="12"/>
      <c r="K202" s="12"/>
      <c r="L202" s="12"/>
      <c r="M202" s="12"/>
      <c r="N202" s="12"/>
      <c r="O202" s="12"/>
      <c r="P202" s="12"/>
      <c r="Q202" s="16"/>
      <c r="R202" s="41"/>
      <c r="S202" s="41"/>
      <c r="T202" s="41"/>
      <c r="U202" s="41"/>
      <c r="V202" s="41"/>
      <c r="W202" s="41"/>
      <c r="X202" s="41"/>
      <c r="Y202" s="41"/>
      <c r="Z202" s="41"/>
    </row>
    <row r="203" spans="1:26" ht="15.75" customHeight="1" x14ac:dyDescent="0.2">
      <c r="A203" s="16"/>
      <c r="B203" s="43"/>
      <c r="C203" s="43"/>
      <c r="D203" s="15"/>
      <c r="E203" s="15"/>
      <c r="F203" s="16"/>
      <c r="G203" s="12"/>
      <c r="H203" s="12"/>
      <c r="I203" s="12"/>
      <c r="J203" s="12"/>
      <c r="K203" s="12"/>
      <c r="L203" s="12"/>
      <c r="M203" s="12"/>
      <c r="N203" s="12"/>
      <c r="O203" s="12"/>
      <c r="P203" s="12"/>
      <c r="Q203" s="16"/>
      <c r="R203" s="41"/>
      <c r="S203" s="41"/>
      <c r="T203" s="41"/>
      <c r="U203" s="41"/>
      <c r="V203" s="41"/>
      <c r="W203" s="41"/>
      <c r="X203" s="41"/>
      <c r="Y203" s="41"/>
      <c r="Z203" s="41"/>
    </row>
    <row r="204" spans="1:26" ht="15.75" customHeight="1" x14ac:dyDescent="0.2">
      <c r="A204" s="16"/>
      <c r="B204" s="43"/>
      <c r="C204" s="43"/>
      <c r="D204" s="15"/>
      <c r="E204" s="15"/>
      <c r="F204" s="16"/>
      <c r="G204" s="12"/>
      <c r="H204" s="12"/>
      <c r="I204" s="12"/>
      <c r="J204" s="12"/>
      <c r="K204" s="12"/>
      <c r="L204" s="12"/>
      <c r="M204" s="12"/>
      <c r="N204" s="12"/>
      <c r="O204" s="12"/>
      <c r="P204" s="12"/>
      <c r="Q204" s="16"/>
      <c r="R204" s="41"/>
      <c r="S204" s="41"/>
      <c r="T204" s="41"/>
      <c r="U204" s="41"/>
      <c r="V204" s="41"/>
      <c r="W204" s="41"/>
      <c r="X204" s="41"/>
      <c r="Y204" s="41"/>
      <c r="Z204" s="41"/>
    </row>
    <row r="205" spans="1:26" ht="15.75" customHeight="1" x14ac:dyDescent="0.2">
      <c r="A205" s="16"/>
      <c r="B205" s="43"/>
      <c r="C205" s="43"/>
      <c r="D205" s="15"/>
      <c r="E205" s="15"/>
      <c r="F205" s="16"/>
      <c r="G205" s="12"/>
      <c r="H205" s="12"/>
      <c r="I205" s="12"/>
      <c r="J205" s="12"/>
      <c r="K205" s="12"/>
      <c r="L205" s="12"/>
      <c r="M205" s="12"/>
      <c r="N205" s="12"/>
      <c r="O205" s="12"/>
      <c r="P205" s="12"/>
      <c r="Q205" s="16"/>
      <c r="R205" s="41"/>
      <c r="S205" s="41"/>
      <c r="T205" s="41"/>
      <c r="U205" s="41"/>
      <c r="V205" s="41"/>
      <c r="W205" s="41"/>
      <c r="X205" s="41"/>
      <c r="Y205" s="41"/>
      <c r="Z205" s="41"/>
    </row>
    <row r="206" spans="1:26" ht="15.75" customHeight="1" x14ac:dyDescent="0.2">
      <c r="A206" s="16"/>
      <c r="B206" s="43"/>
      <c r="C206" s="43"/>
      <c r="D206" s="15"/>
      <c r="E206" s="15"/>
      <c r="F206" s="16"/>
      <c r="G206" s="12"/>
      <c r="H206" s="12"/>
      <c r="I206" s="12"/>
      <c r="J206" s="12"/>
      <c r="K206" s="12"/>
      <c r="L206" s="12"/>
      <c r="M206" s="12"/>
      <c r="N206" s="12"/>
      <c r="O206" s="12"/>
      <c r="P206" s="12"/>
      <c r="Q206" s="16"/>
      <c r="R206" s="41"/>
      <c r="S206" s="41"/>
      <c r="T206" s="41"/>
      <c r="U206" s="41"/>
      <c r="V206" s="41"/>
      <c r="W206" s="41"/>
      <c r="X206" s="41"/>
      <c r="Y206" s="41"/>
      <c r="Z206" s="41"/>
    </row>
    <row r="207" spans="1:26" ht="15.75" customHeight="1" x14ac:dyDescent="0.2">
      <c r="A207" s="16"/>
      <c r="B207" s="43"/>
      <c r="C207" s="43"/>
      <c r="D207" s="15"/>
      <c r="E207" s="15"/>
      <c r="F207" s="16"/>
      <c r="G207" s="12"/>
      <c r="H207" s="12"/>
      <c r="I207" s="12"/>
      <c r="J207" s="12"/>
      <c r="K207" s="12"/>
      <c r="L207" s="12"/>
      <c r="M207" s="12"/>
      <c r="N207" s="12"/>
      <c r="O207" s="12"/>
      <c r="P207" s="12"/>
      <c r="Q207" s="16"/>
      <c r="R207" s="41"/>
      <c r="S207" s="41"/>
      <c r="T207" s="41"/>
      <c r="U207" s="41"/>
      <c r="V207" s="41"/>
      <c r="W207" s="41"/>
      <c r="X207" s="41"/>
      <c r="Y207" s="41"/>
      <c r="Z207" s="41"/>
    </row>
    <row r="208" spans="1:26" ht="15.75" customHeight="1" x14ac:dyDescent="0.2">
      <c r="A208" s="16"/>
      <c r="B208" s="43"/>
      <c r="C208" s="43"/>
      <c r="D208" s="15"/>
      <c r="E208" s="15"/>
      <c r="F208" s="16"/>
      <c r="G208" s="12"/>
      <c r="H208" s="12"/>
      <c r="I208" s="12"/>
      <c r="J208" s="12"/>
      <c r="K208" s="12"/>
      <c r="L208" s="12"/>
      <c r="M208" s="12"/>
      <c r="N208" s="12"/>
      <c r="O208" s="12"/>
      <c r="P208" s="12"/>
      <c r="Q208" s="16"/>
      <c r="R208" s="41"/>
      <c r="S208" s="41"/>
      <c r="T208" s="41"/>
      <c r="U208" s="41"/>
      <c r="V208" s="41"/>
      <c r="W208" s="41"/>
      <c r="X208" s="41"/>
      <c r="Y208" s="41"/>
      <c r="Z208" s="41"/>
    </row>
    <row r="209" spans="1:26" ht="15.75" customHeight="1" x14ac:dyDescent="0.2">
      <c r="A209" s="16"/>
      <c r="B209" s="43"/>
      <c r="C209" s="43"/>
      <c r="D209" s="15"/>
      <c r="E209" s="15"/>
      <c r="F209" s="16"/>
      <c r="G209" s="12"/>
      <c r="H209" s="12"/>
      <c r="I209" s="12"/>
      <c r="J209" s="12"/>
      <c r="K209" s="12"/>
      <c r="L209" s="12"/>
      <c r="M209" s="12"/>
      <c r="N209" s="12"/>
      <c r="O209" s="12"/>
      <c r="P209" s="12"/>
      <c r="Q209" s="16"/>
      <c r="R209" s="41"/>
      <c r="S209" s="41"/>
      <c r="T209" s="41"/>
      <c r="U209" s="41"/>
      <c r="V209" s="41"/>
      <c r="W209" s="41"/>
      <c r="X209" s="41"/>
      <c r="Y209" s="41"/>
      <c r="Z209" s="41"/>
    </row>
    <row r="210" spans="1:26" ht="15.75" customHeight="1" x14ac:dyDescent="0.2">
      <c r="A210" s="16"/>
      <c r="B210" s="43"/>
      <c r="C210" s="43"/>
      <c r="D210" s="15"/>
      <c r="E210" s="15"/>
      <c r="F210" s="16"/>
      <c r="G210" s="12"/>
      <c r="H210" s="12"/>
      <c r="I210" s="12"/>
      <c r="J210" s="12"/>
      <c r="K210" s="12"/>
      <c r="L210" s="12"/>
      <c r="M210" s="12"/>
      <c r="N210" s="12"/>
      <c r="O210" s="12"/>
      <c r="P210" s="12"/>
      <c r="Q210" s="16"/>
      <c r="R210" s="41"/>
      <c r="S210" s="41"/>
      <c r="T210" s="41"/>
      <c r="U210" s="41"/>
      <c r="V210" s="41"/>
      <c r="W210" s="41"/>
      <c r="X210" s="41"/>
      <c r="Y210" s="41"/>
      <c r="Z210" s="41"/>
    </row>
    <row r="211" spans="1:26" ht="15.75" customHeight="1" x14ac:dyDescent="0.2">
      <c r="A211" s="16"/>
      <c r="B211" s="43"/>
      <c r="C211" s="43"/>
      <c r="D211" s="15"/>
      <c r="E211" s="15"/>
      <c r="F211" s="16"/>
      <c r="G211" s="12"/>
      <c r="H211" s="12"/>
      <c r="I211" s="12"/>
      <c r="J211" s="12"/>
      <c r="K211" s="12"/>
      <c r="L211" s="12"/>
      <c r="M211" s="12"/>
      <c r="N211" s="12"/>
      <c r="O211" s="12"/>
      <c r="P211" s="12"/>
      <c r="Q211" s="16"/>
      <c r="R211" s="41"/>
      <c r="S211" s="41"/>
      <c r="T211" s="41"/>
      <c r="U211" s="41"/>
      <c r="V211" s="41"/>
      <c r="W211" s="41"/>
      <c r="X211" s="41"/>
      <c r="Y211" s="41"/>
      <c r="Z211" s="41"/>
    </row>
    <row r="212" spans="1:26" ht="15.75" customHeight="1" x14ac:dyDescent="0.2">
      <c r="A212" s="16"/>
      <c r="B212" s="43"/>
      <c r="C212" s="43"/>
      <c r="D212" s="15"/>
      <c r="E212" s="15"/>
      <c r="F212" s="16"/>
      <c r="G212" s="12"/>
      <c r="H212" s="12"/>
      <c r="I212" s="12"/>
      <c r="J212" s="12"/>
      <c r="K212" s="12"/>
      <c r="L212" s="12"/>
      <c r="M212" s="12"/>
      <c r="N212" s="12"/>
      <c r="O212" s="12"/>
      <c r="P212" s="12"/>
      <c r="Q212" s="16"/>
      <c r="R212" s="41"/>
      <c r="S212" s="41"/>
      <c r="T212" s="41"/>
      <c r="U212" s="41"/>
      <c r="V212" s="41"/>
      <c r="W212" s="41"/>
      <c r="X212" s="41"/>
      <c r="Y212" s="41"/>
      <c r="Z212" s="41"/>
    </row>
    <row r="213" spans="1:26" ht="15.75" customHeight="1" x14ac:dyDescent="0.2">
      <c r="A213" s="16"/>
      <c r="B213" s="43"/>
      <c r="C213" s="43"/>
      <c r="D213" s="15"/>
      <c r="E213" s="15"/>
      <c r="F213" s="16"/>
      <c r="G213" s="12"/>
      <c r="H213" s="12"/>
      <c r="I213" s="12"/>
      <c r="J213" s="12"/>
      <c r="K213" s="12"/>
      <c r="L213" s="12"/>
      <c r="M213" s="12"/>
      <c r="N213" s="12"/>
      <c r="O213" s="12"/>
      <c r="P213" s="12"/>
      <c r="Q213" s="16"/>
      <c r="R213" s="41"/>
      <c r="S213" s="41"/>
      <c r="T213" s="41"/>
      <c r="U213" s="41"/>
      <c r="V213" s="41"/>
      <c r="W213" s="41"/>
      <c r="X213" s="41"/>
      <c r="Y213" s="41"/>
      <c r="Z213" s="41"/>
    </row>
    <row r="214" spans="1:26" ht="15.75" customHeight="1" x14ac:dyDescent="0.2">
      <c r="A214" s="16"/>
      <c r="B214" s="43"/>
      <c r="C214" s="43"/>
      <c r="D214" s="15"/>
      <c r="E214" s="15"/>
      <c r="F214" s="16"/>
      <c r="G214" s="12"/>
      <c r="H214" s="12"/>
      <c r="I214" s="12"/>
      <c r="J214" s="12"/>
      <c r="K214" s="12"/>
      <c r="L214" s="12"/>
      <c r="M214" s="12"/>
      <c r="N214" s="12"/>
      <c r="O214" s="12"/>
      <c r="P214" s="12"/>
      <c r="Q214" s="16"/>
      <c r="R214" s="41"/>
      <c r="S214" s="41"/>
      <c r="T214" s="41"/>
      <c r="U214" s="41"/>
      <c r="V214" s="41"/>
      <c r="W214" s="41"/>
      <c r="X214" s="41"/>
      <c r="Y214" s="41"/>
      <c r="Z214" s="41"/>
    </row>
    <row r="215" spans="1:26" ht="15.75" customHeight="1" x14ac:dyDescent="0.2">
      <c r="A215" s="16"/>
      <c r="B215" s="43"/>
      <c r="C215" s="43"/>
      <c r="D215" s="15"/>
      <c r="E215" s="15"/>
      <c r="F215" s="16"/>
      <c r="G215" s="12"/>
      <c r="H215" s="12"/>
      <c r="I215" s="12"/>
      <c r="J215" s="12"/>
      <c r="K215" s="12"/>
      <c r="L215" s="12"/>
      <c r="M215" s="12"/>
      <c r="N215" s="12"/>
      <c r="O215" s="12"/>
      <c r="P215" s="12"/>
      <c r="Q215" s="16"/>
      <c r="R215" s="41"/>
      <c r="S215" s="41"/>
      <c r="T215" s="41"/>
      <c r="U215" s="41"/>
      <c r="V215" s="41"/>
      <c r="W215" s="41"/>
      <c r="X215" s="41"/>
      <c r="Y215" s="41"/>
      <c r="Z215" s="41"/>
    </row>
    <row r="216" spans="1:26" ht="15.75" customHeight="1" x14ac:dyDescent="0.2">
      <c r="A216" s="16"/>
      <c r="B216" s="43"/>
      <c r="C216" s="43"/>
      <c r="D216" s="15"/>
      <c r="E216" s="15"/>
      <c r="F216" s="16"/>
      <c r="G216" s="12"/>
      <c r="H216" s="12"/>
      <c r="I216" s="12"/>
      <c r="J216" s="12"/>
      <c r="K216" s="12"/>
      <c r="L216" s="12"/>
      <c r="M216" s="12"/>
      <c r="N216" s="12"/>
      <c r="O216" s="12"/>
      <c r="P216" s="12"/>
      <c r="Q216" s="16"/>
      <c r="R216" s="41"/>
      <c r="S216" s="41"/>
      <c r="T216" s="41"/>
      <c r="U216" s="41"/>
      <c r="V216" s="41"/>
      <c r="W216" s="41"/>
      <c r="X216" s="41"/>
      <c r="Y216" s="41"/>
      <c r="Z216" s="41"/>
    </row>
    <row r="217" spans="1:26" ht="15.75" customHeight="1" x14ac:dyDescent="0.2">
      <c r="A217" s="16"/>
      <c r="B217" s="43"/>
      <c r="C217" s="43"/>
      <c r="D217" s="15"/>
      <c r="E217" s="15"/>
      <c r="F217" s="16"/>
      <c r="G217" s="12"/>
      <c r="H217" s="12"/>
      <c r="I217" s="12"/>
      <c r="J217" s="12"/>
      <c r="K217" s="12"/>
      <c r="L217" s="12"/>
      <c r="M217" s="12"/>
      <c r="N217" s="12"/>
      <c r="O217" s="12"/>
      <c r="P217" s="12"/>
      <c r="Q217" s="16"/>
      <c r="R217" s="41"/>
      <c r="S217" s="41"/>
      <c r="T217" s="41"/>
      <c r="U217" s="41"/>
      <c r="V217" s="41"/>
      <c r="W217" s="41"/>
      <c r="X217" s="41"/>
      <c r="Y217" s="41"/>
      <c r="Z217" s="41"/>
    </row>
    <row r="218" spans="1:26" ht="15.75" customHeight="1" x14ac:dyDescent="0.2">
      <c r="A218" s="16"/>
      <c r="B218" s="43"/>
      <c r="C218" s="43"/>
      <c r="D218" s="15"/>
      <c r="E218" s="15"/>
      <c r="F218" s="16"/>
      <c r="G218" s="12"/>
      <c r="H218" s="12"/>
      <c r="I218" s="12"/>
      <c r="J218" s="12"/>
      <c r="K218" s="12"/>
      <c r="L218" s="12"/>
      <c r="M218" s="12"/>
      <c r="N218" s="12"/>
      <c r="O218" s="12"/>
      <c r="P218" s="12"/>
      <c r="Q218" s="16"/>
      <c r="R218" s="41"/>
      <c r="S218" s="41"/>
      <c r="T218" s="41"/>
      <c r="U218" s="41"/>
      <c r="V218" s="41"/>
      <c r="W218" s="41"/>
      <c r="X218" s="41"/>
      <c r="Y218" s="41"/>
      <c r="Z218" s="41"/>
    </row>
    <row r="219" spans="1:26" ht="15.75" customHeight="1" x14ac:dyDescent="0.2">
      <c r="A219" s="16"/>
      <c r="B219" s="43"/>
      <c r="C219" s="43"/>
      <c r="D219" s="15"/>
      <c r="E219" s="15"/>
      <c r="F219" s="16"/>
      <c r="G219" s="12"/>
      <c r="H219" s="12"/>
      <c r="I219" s="12"/>
      <c r="J219" s="12"/>
      <c r="K219" s="12"/>
      <c r="L219" s="12"/>
      <c r="M219" s="12"/>
      <c r="N219" s="12"/>
      <c r="O219" s="12"/>
      <c r="P219" s="12"/>
      <c r="Q219" s="16"/>
      <c r="R219" s="41"/>
      <c r="S219" s="41"/>
      <c r="T219" s="41"/>
      <c r="U219" s="41"/>
      <c r="V219" s="41"/>
      <c r="W219" s="41"/>
      <c r="X219" s="41"/>
      <c r="Y219" s="41"/>
      <c r="Z219" s="41"/>
    </row>
    <row r="220" spans="1:26" ht="15.75" customHeight="1" x14ac:dyDescent="0.2">
      <c r="A220" s="16"/>
      <c r="B220" s="43"/>
      <c r="C220" s="43"/>
      <c r="D220" s="15"/>
      <c r="E220" s="15"/>
      <c r="F220" s="16"/>
      <c r="G220" s="12"/>
      <c r="H220" s="12"/>
      <c r="I220" s="12"/>
      <c r="J220" s="12"/>
      <c r="K220" s="12"/>
      <c r="L220" s="12"/>
      <c r="M220" s="12"/>
      <c r="N220" s="12"/>
      <c r="O220" s="12"/>
      <c r="P220" s="12"/>
      <c r="Q220" s="16"/>
      <c r="R220" s="41"/>
      <c r="S220" s="41"/>
      <c r="T220" s="41"/>
      <c r="U220" s="41"/>
      <c r="V220" s="41"/>
      <c r="W220" s="41"/>
      <c r="X220" s="41"/>
      <c r="Y220" s="41"/>
      <c r="Z220" s="41"/>
    </row>
    <row r="221" spans="1:26" ht="15.75" customHeight="1" x14ac:dyDescent="0.2">
      <c r="A221" s="16"/>
      <c r="B221" s="43"/>
      <c r="C221" s="43"/>
      <c r="D221" s="15"/>
      <c r="E221" s="15"/>
      <c r="F221" s="16"/>
      <c r="G221" s="12"/>
      <c r="H221" s="12"/>
      <c r="I221" s="12"/>
      <c r="J221" s="12"/>
      <c r="K221" s="12"/>
      <c r="L221" s="12"/>
      <c r="M221" s="12"/>
      <c r="N221" s="12"/>
      <c r="O221" s="12"/>
      <c r="P221" s="12"/>
      <c r="Q221" s="16"/>
      <c r="R221" s="41"/>
      <c r="S221" s="41"/>
      <c r="T221" s="41"/>
      <c r="U221" s="41"/>
      <c r="V221" s="41"/>
      <c r="W221" s="41"/>
      <c r="X221" s="41"/>
      <c r="Y221" s="41"/>
      <c r="Z221" s="41"/>
    </row>
    <row r="222" spans="1:26" ht="15.75" customHeight="1" x14ac:dyDescent="0.2">
      <c r="A222" s="16"/>
      <c r="B222" s="43"/>
      <c r="C222" s="43"/>
      <c r="D222" s="15"/>
      <c r="E222" s="15"/>
      <c r="F222" s="16"/>
      <c r="G222" s="12"/>
      <c r="H222" s="12"/>
      <c r="I222" s="12"/>
      <c r="J222" s="12"/>
      <c r="K222" s="12"/>
      <c r="L222" s="12"/>
      <c r="M222" s="12"/>
      <c r="N222" s="12"/>
      <c r="O222" s="12"/>
      <c r="P222" s="12"/>
      <c r="Q222" s="16"/>
      <c r="R222" s="41"/>
      <c r="S222" s="41"/>
      <c r="T222" s="41"/>
      <c r="U222" s="41"/>
      <c r="V222" s="41"/>
      <c r="W222" s="41"/>
      <c r="X222" s="41"/>
      <c r="Y222" s="41"/>
      <c r="Z222" s="41"/>
    </row>
    <row r="223" spans="1:26" ht="15.75" customHeight="1" x14ac:dyDescent="0.2">
      <c r="A223" s="16"/>
      <c r="B223" s="43"/>
      <c r="C223" s="43"/>
      <c r="D223" s="15"/>
      <c r="E223" s="15"/>
      <c r="F223" s="16"/>
      <c r="G223" s="12"/>
      <c r="H223" s="12"/>
      <c r="I223" s="12"/>
      <c r="J223" s="12"/>
      <c r="K223" s="12"/>
      <c r="L223" s="12"/>
      <c r="M223" s="12"/>
      <c r="N223" s="12"/>
      <c r="O223" s="12"/>
      <c r="P223" s="12"/>
      <c r="Q223" s="16"/>
      <c r="R223" s="41"/>
      <c r="S223" s="41"/>
      <c r="T223" s="41"/>
      <c r="U223" s="41"/>
      <c r="V223" s="41"/>
      <c r="W223" s="41"/>
      <c r="X223" s="41"/>
      <c r="Y223" s="41"/>
      <c r="Z223" s="41"/>
    </row>
    <row r="224" spans="1:26" ht="15.75" customHeight="1" x14ac:dyDescent="0.2">
      <c r="A224" s="16"/>
      <c r="B224" s="43"/>
      <c r="C224" s="43"/>
      <c r="D224" s="15"/>
      <c r="E224" s="15"/>
      <c r="F224" s="16"/>
      <c r="G224" s="12"/>
      <c r="H224" s="12"/>
      <c r="I224" s="12"/>
      <c r="J224" s="12"/>
      <c r="K224" s="12"/>
      <c r="L224" s="12"/>
      <c r="M224" s="12"/>
      <c r="N224" s="12"/>
      <c r="O224" s="12"/>
      <c r="P224" s="12"/>
      <c r="Q224" s="16"/>
      <c r="R224" s="41"/>
      <c r="S224" s="41"/>
      <c r="T224" s="41"/>
      <c r="U224" s="41"/>
      <c r="V224" s="41"/>
      <c r="W224" s="41"/>
      <c r="X224" s="41"/>
      <c r="Y224" s="41"/>
      <c r="Z224" s="41"/>
    </row>
    <row r="225" spans="1:26" ht="15.75" customHeight="1" x14ac:dyDescent="0.2">
      <c r="A225" s="16"/>
      <c r="B225" s="43"/>
      <c r="C225" s="43"/>
      <c r="D225" s="15"/>
      <c r="E225" s="15"/>
      <c r="F225" s="16"/>
      <c r="G225" s="12"/>
      <c r="H225" s="12"/>
      <c r="I225" s="12"/>
      <c r="J225" s="12"/>
      <c r="K225" s="12"/>
      <c r="L225" s="12"/>
      <c r="M225" s="12"/>
      <c r="N225" s="12"/>
      <c r="O225" s="12"/>
      <c r="P225" s="12"/>
      <c r="Q225" s="16"/>
      <c r="R225" s="41"/>
      <c r="S225" s="41"/>
      <c r="T225" s="41"/>
      <c r="U225" s="41"/>
      <c r="V225" s="41"/>
      <c r="W225" s="41"/>
      <c r="X225" s="41"/>
      <c r="Y225" s="41"/>
      <c r="Z225" s="41"/>
    </row>
    <row r="226" spans="1:26" ht="15.75" customHeight="1" x14ac:dyDescent="0.2">
      <c r="A226" s="16"/>
      <c r="B226" s="43"/>
      <c r="C226" s="43"/>
      <c r="D226" s="15"/>
      <c r="E226" s="15"/>
      <c r="F226" s="16"/>
      <c r="G226" s="12"/>
      <c r="H226" s="12"/>
      <c r="I226" s="12"/>
      <c r="J226" s="12"/>
      <c r="K226" s="12"/>
      <c r="L226" s="12"/>
      <c r="M226" s="12"/>
      <c r="N226" s="12"/>
      <c r="O226" s="12"/>
      <c r="P226" s="12"/>
      <c r="Q226" s="16"/>
      <c r="R226" s="41"/>
      <c r="S226" s="41"/>
      <c r="T226" s="41"/>
      <c r="U226" s="41"/>
      <c r="V226" s="41"/>
      <c r="W226" s="41"/>
      <c r="X226" s="41"/>
      <c r="Y226" s="41"/>
      <c r="Z226" s="41"/>
    </row>
    <row r="227" spans="1:26" ht="15.75" customHeight="1" x14ac:dyDescent="0.2">
      <c r="A227" s="16"/>
      <c r="B227" s="43"/>
      <c r="C227" s="43"/>
      <c r="D227" s="15"/>
      <c r="E227" s="15"/>
      <c r="F227" s="16"/>
      <c r="G227" s="12"/>
      <c r="H227" s="12"/>
      <c r="I227" s="12"/>
      <c r="J227" s="12"/>
      <c r="K227" s="12"/>
      <c r="L227" s="12"/>
      <c r="M227" s="12"/>
      <c r="N227" s="12"/>
      <c r="O227" s="12"/>
      <c r="P227" s="12"/>
      <c r="Q227" s="16"/>
      <c r="R227" s="41"/>
      <c r="S227" s="41"/>
      <c r="T227" s="41"/>
      <c r="U227" s="41"/>
      <c r="V227" s="41"/>
      <c r="W227" s="41"/>
      <c r="X227" s="41"/>
      <c r="Y227" s="41"/>
      <c r="Z227" s="41"/>
    </row>
    <row r="228" spans="1:26" ht="15.75" customHeight="1" x14ac:dyDescent="0.2">
      <c r="A228" s="16"/>
      <c r="B228" s="43"/>
      <c r="C228" s="43"/>
      <c r="D228" s="15"/>
      <c r="E228" s="15"/>
      <c r="F228" s="16"/>
      <c r="G228" s="12"/>
      <c r="H228" s="12"/>
      <c r="I228" s="12"/>
      <c r="J228" s="12"/>
      <c r="K228" s="12"/>
      <c r="L228" s="12"/>
      <c r="M228" s="12"/>
      <c r="N228" s="12"/>
      <c r="O228" s="12"/>
      <c r="P228" s="12"/>
      <c r="Q228" s="16"/>
      <c r="R228" s="41"/>
      <c r="S228" s="41"/>
      <c r="T228" s="41"/>
      <c r="U228" s="41"/>
      <c r="V228" s="41"/>
      <c r="W228" s="41"/>
      <c r="X228" s="41"/>
      <c r="Y228" s="41"/>
      <c r="Z228" s="41"/>
    </row>
    <row r="229" spans="1:26" ht="15.75" customHeight="1" x14ac:dyDescent="0.2">
      <c r="A229" s="16"/>
      <c r="B229" s="43"/>
      <c r="C229" s="43"/>
      <c r="D229" s="15"/>
      <c r="E229" s="15"/>
      <c r="F229" s="16"/>
      <c r="G229" s="12"/>
      <c r="H229" s="12"/>
      <c r="I229" s="12"/>
      <c r="J229" s="12"/>
      <c r="K229" s="12"/>
      <c r="L229" s="12"/>
      <c r="M229" s="12"/>
      <c r="N229" s="12"/>
      <c r="O229" s="12"/>
      <c r="P229" s="12"/>
      <c r="Q229" s="16"/>
      <c r="R229" s="41"/>
      <c r="S229" s="41"/>
      <c r="T229" s="41"/>
      <c r="U229" s="41"/>
      <c r="V229" s="41"/>
      <c r="W229" s="41"/>
      <c r="X229" s="41"/>
      <c r="Y229" s="41"/>
      <c r="Z229" s="41"/>
    </row>
    <row r="230" spans="1:26" ht="15.75" customHeight="1" x14ac:dyDescent="0.2">
      <c r="A230" s="16"/>
      <c r="B230" s="43"/>
      <c r="C230" s="43"/>
      <c r="D230" s="15"/>
      <c r="E230" s="15"/>
      <c r="F230" s="16"/>
      <c r="G230" s="12"/>
      <c r="H230" s="12"/>
      <c r="I230" s="12"/>
      <c r="J230" s="12"/>
      <c r="K230" s="12"/>
      <c r="L230" s="12"/>
      <c r="M230" s="12"/>
      <c r="N230" s="12"/>
      <c r="O230" s="12"/>
      <c r="P230" s="12"/>
      <c r="Q230" s="16"/>
      <c r="R230" s="41"/>
      <c r="S230" s="41"/>
      <c r="T230" s="41"/>
      <c r="U230" s="41"/>
      <c r="V230" s="41"/>
      <c r="W230" s="41"/>
      <c r="X230" s="41"/>
      <c r="Y230" s="41"/>
      <c r="Z230" s="41"/>
    </row>
    <row r="231" spans="1:26" ht="15.75" customHeight="1" x14ac:dyDescent="0.2">
      <c r="A231" s="16"/>
      <c r="B231" s="43"/>
      <c r="C231" s="43"/>
      <c r="D231" s="15"/>
      <c r="E231" s="15"/>
      <c r="F231" s="16"/>
      <c r="G231" s="12"/>
      <c r="H231" s="12"/>
      <c r="I231" s="12"/>
      <c r="J231" s="12"/>
      <c r="K231" s="12"/>
      <c r="L231" s="12"/>
      <c r="M231" s="12"/>
      <c r="N231" s="12"/>
      <c r="O231" s="12"/>
      <c r="P231" s="12"/>
      <c r="Q231" s="16"/>
      <c r="R231" s="41"/>
      <c r="S231" s="41"/>
      <c r="T231" s="41"/>
      <c r="U231" s="41"/>
      <c r="V231" s="41"/>
      <c r="W231" s="41"/>
      <c r="X231" s="41"/>
      <c r="Y231" s="41"/>
      <c r="Z231" s="41"/>
    </row>
    <row r="232" spans="1:26" ht="15.75" customHeight="1" x14ac:dyDescent="0.2">
      <c r="A232" s="16"/>
      <c r="B232" s="43"/>
      <c r="C232" s="43"/>
      <c r="D232" s="15"/>
      <c r="E232" s="15"/>
      <c r="F232" s="16"/>
      <c r="G232" s="12"/>
      <c r="H232" s="12"/>
      <c r="I232" s="12"/>
      <c r="J232" s="12"/>
      <c r="K232" s="12"/>
      <c r="L232" s="12"/>
      <c r="M232" s="12"/>
      <c r="N232" s="12"/>
      <c r="O232" s="12"/>
      <c r="P232" s="12"/>
      <c r="Q232" s="16"/>
      <c r="R232" s="41"/>
      <c r="S232" s="41"/>
      <c r="T232" s="41"/>
      <c r="U232" s="41"/>
      <c r="V232" s="41"/>
      <c r="W232" s="41"/>
      <c r="X232" s="41"/>
      <c r="Y232" s="41"/>
      <c r="Z232" s="41"/>
    </row>
    <row r="233" spans="1:26" ht="15.75" customHeight="1" x14ac:dyDescent="0.2">
      <c r="A233" s="16"/>
      <c r="B233" s="43"/>
      <c r="C233" s="43"/>
      <c r="D233" s="15"/>
      <c r="E233" s="15"/>
      <c r="F233" s="16"/>
      <c r="G233" s="12"/>
      <c r="H233" s="12"/>
      <c r="I233" s="12"/>
      <c r="J233" s="12"/>
      <c r="K233" s="12"/>
      <c r="L233" s="12"/>
      <c r="M233" s="12"/>
      <c r="N233" s="12"/>
      <c r="O233" s="12"/>
      <c r="P233" s="12"/>
      <c r="Q233" s="16"/>
      <c r="R233" s="41"/>
      <c r="S233" s="41"/>
      <c r="T233" s="41"/>
      <c r="U233" s="41"/>
      <c r="V233" s="41"/>
      <c r="W233" s="41"/>
      <c r="X233" s="41"/>
      <c r="Y233" s="41"/>
      <c r="Z233" s="41"/>
    </row>
    <row r="234" spans="1:26" ht="15.75" customHeight="1" x14ac:dyDescent="0.2">
      <c r="A234" s="16"/>
      <c r="B234" s="43"/>
      <c r="C234" s="43"/>
      <c r="D234" s="15"/>
      <c r="E234" s="15"/>
      <c r="F234" s="16"/>
      <c r="G234" s="12"/>
      <c r="H234" s="12"/>
      <c r="I234" s="12"/>
      <c r="J234" s="12"/>
      <c r="K234" s="12"/>
      <c r="L234" s="12"/>
      <c r="M234" s="12"/>
      <c r="N234" s="12"/>
      <c r="O234" s="12"/>
      <c r="P234" s="12"/>
      <c r="Q234" s="16"/>
      <c r="R234" s="41"/>
      <c r="S234" s="41"/>
      <c r="T234" s="41"/>
      <c r="U234" s="41"/>
      <c r="V234" s="41"/>
      <c r="W234" s="41"/>
      <c r="X234" s="41"/>
      <c r="Y234" s="41"/>
      <c r="Z234" s="41"/>
    </row>
    <row r="235" spans="1:26" ht="15.75" customHeight="1" x14ac:dyDescent="0.2">
      <c r="A235" s="16"/>
      <c r="B235" s="43"/>
      <c r="C235" s="43"/>
      <c r="D235" s="15"/>
      <c r="E235" s="15"/>
      <c r="F235" s="16"/>
      <c r="G235" s="12"/>
      <c r="H235" s="12"/>
      <c r="I235" s="12"/>
      <c r="J235" s="12"/>
      <c r="K235" s="12"/>
      <c r="L235" s="12"/>
      <c r="M235" s="12"/>
      <c r="N235" s="12"/>
      <c r="O235" s="12"/>
      <c r="P235" s="12"/>
      <c r="Q235" s="16"/>
      <c r="R235" s="41"/>
      <c r="S235" s="41"/>
      <c r="T235" s="41"/>
      <c r="U235" s="41"/>
      <c r="V235" s="41"/>
      <c r="W235" s="41"/>
      <c r="X235" s="41"/>
      <c r="Y235" s="41"/>
      <c r="Z235" s="41"/>
    </row>
    <row r="236" spans="1:26" ht="15.75" customHeight="1" x14ac:dyDescent="0.2">
      <c r="A236" s="16"/>
      <c r="B236" s="43"/>
      <c r="C236" s="43"/>
      <c r="D236" s="15"/>
      <c r="E236" s="15"/>
      <c r="F236" s="16"/>
      <c r="G236" s="12"/>
      <c r="H236" s="12"/>
      <c r="I236" s="12"/>
      <c r="J236" s="12"/>
      <c r="K236" s="12"/>
      <c r="L236" s="12"/>
      <c r="M236" s="12"/>
      <c r="N236" s="12"/>
      <c r="O236" s="12"/>
      <c r="P236" s="12"/>
      <c r="Q236" s="16"/>
      <c r="R236" s="41"/>
      <c r="S236" s="41"/>
      <c r="T236" s="41"/>
      <c r="U236" s="41"/>
      <c r="V236" s="41"/>
      <c r="W236" s="41"/>
      <c r="X236" s="41"/>
      <c r="Y236" s="41"/>
      <c r="Z236" s="41"/>
    </row>
    <row r="237" spans="1:26" ht="15.75" customHeight="1" x14ac:dyDescent="0.2">
      <c r="A237" s="16"/>
      <c r="B237" s="43"/>
      <c r="C237" s="43"/>
      <c r="D237" s="15"/>
      <c r="E237" s="15"/>
      <c r="F237" s="16"/>
      <c r="G237" s="12"/>
      <c r="H237" s="12"/>
      <c r="I237" s="12"/>
      <c r="J237" s="12"/>
      <c r="K237" s="12"/>
      <c r="L237" s="12"/>
      <c r="M237" s="12"/>
      <c r="N237" s="12"/>
      <c r="O237" s="12"/>
      <c r="P237" s="12"/>
      <c r="Q237" s="16"/>
      <c r="R237" s="41"/>
      <c r="S237" s="41"/>
      <c r="T237" s="41"/>
      <c r="U237" s="41"/>
      <c r="V237" s="41"/>
      <c r="W237" s="41"/>
      <c r="X237" s="41"/>
      <c r="Y237" s="41"/>
      <c r="Z237" s="41"/>
    </row>
    <row r="238" spans="1:26" ht="15.75" customHeight="1" x14ac:dyDescent="0.2">
      <c r="A238" s="16"/>
      <c r="B238" s="43"/>
      <c r="C238" s="43"/>
      <c r="D238" s="15"/>
      <c r="E238" s="15"/>
      <c r="F238" s="16"/>
      <c r="G238" s="12"/>
      <c r="H238" s="12"/>
      <c r="I238" s="12"/>
      <c r="J238" s="12"/>
      <c r="K238" s="12"/>
      <c r="L238" s="12"/>
      <c r="M238" s="12"/>
      <c r="N238" s="12"/>
      <c r="O238" s="12"/>
      <c r="P238" s="12"/>
      <c r="Q238" s="16"/>
      <c r="R238" s="41"/>
      <c r="S238" s="41"/>
      <c r="T238" s="41"/>
      <c r="U238" s="41"/>
      <c r="V238" s="41"/>
      <c r="W238" s="41"/>
      <c r="X238" s="41"/>
      <c r="Y238" s="41"/>
      <c r="Z238" s="41"/>
    </row>
    <row r="239" spans="1:26" ht="15.75" customHeight="1" x14ac:dyDescent="0.2">
      <c r="A239" s="16"/>
      <c r="B239" s="43"/>
      <c r="C239" s="43"/>
      <c r="D239" s="15"/>
      <c r="E239" s="15"/>
      <c r="F239" s="16"/>
      <c r="G239" s="12"/>
      <c r="H239" s="12"/>
      <c r="I239" s="12"/>
      <c r="J239" s="12"/>
      <c r="K239" s="12"/>
      <c r="L239" s="12"/>
      <c r="M239" s="12"/>
      <c r="N239" s="12"/>
      <c r="O239" s="12"/>
      <c r="P239" s="12"/>
      <c r="Q239" s="16"/>
      <c r="R239" s="41"/>
      <c r="S239" s="41"/>
      <c r="T239" s="41"/>
      <c r="U239" s="41"/>
      <c r="V239" s="41"/>
      <c r="W239" s="41"/>
      <c r="X239" s="41"/>
      <c r="Y239" s="41"/>
      <c r="Z239" s="41"/>
    </row>
    <row r="240" spans="1:26" ht="15.75" customHeight="1" x14ac:dyDescent="0.2">
      <c r="A240" s="16"/>
      <c r="B240" s="43"/>
      <c r="C240" s="43"/>
      <c r="D240" s="15"/>
      <c r="E240" s="15"/>
      <c r="F240" s="16"/>
      <c r="G240" s="12"/>
      <c r="H240" s="12"/>
      <c r="I240" s="12"/>
      <c r="J240" s="12"/>
      <c r="K240" s="12"/>
      <c r="L240" s="12"/>
      <c r="M240" s="12"/>
      <c r="N240" s="12"/>
      <c r="O240" s="12"/>
      <c r="P240" s="12"/>
      <c r="Q240" s="16"/>
      <c r="R240" s="41"/>
      <c r="S240" s="41"/>
      <c r="T240" s="41"/>
      <c r="U240" s="41"/>
      <c r="V240" s="41"/>
      <c r="W240" s="41"/>
      <c r="X240" s="41"/>
      <c r="Y240" s="41"/>
      <c r="Z240" s="41"/>
    </row>
    <row r="241" spans="1:26" ht="15.75" customHeight="1" x14ac:dyDescent="0.2">
      <c r="A241" s="16"/>
      <c r="B241" s="43"/>
      <c r="C241" s="43"/>
      <c r="D241" s="15"/>
      <c r="E241" s="15"/>
      <c r="F241" s="16"/>
      <c r="G241" s="12"/>
      <c r="H241" s="12"/>
      <c r="I241" s="12"/>
      <c r="J241" s="12"/>
      <c r="K241" s="12"/>
      <c r="L241" s="12"/>
      <c r="M241" s="12"/>
      <c r="N241" s="12"/>
      <c r="O241" s="12"/>
      <c r="P241" s="12"/>
      <c r="Q241" s="16"/>
      <c r="R241" s="41"/>
      <c r="S241" s="41"/>
      <c r="T241" s="41"/>
      <c r="U241" s="41"/>
      <c r="V241" s="41"/>
      <c r="W241" s="41"/>
      <c r="X241" s="41"/>
      <c r="Y241" s="41"/>
      <c r="Z241" s="41"/>
    </row>
    <row r="242" spans="1:26" ht="15.75" customHeight="1" x14ac:dyDescent="0.2">
      <c r="A242" s="16"/>
      <c r="B242" s="43"/>
      <c r="C242" s="43"/>
      <c r="D242" s="15"/>
      <c r="E242" s="15"/>
      <c r="F242" s="16"/>
      <c r="G242" s="12"/>
      <c r="H242" s="12"/>
      <c r="I242" s="12"/>
      <c r="J242" s="12"/>
      <c r="K242" s="12"/>
      <c r="L242" s="12"/>
      <c r="M242" s="12"/>
      <c r="N242" s="12"/>
      <c r="O242" s="12"/>
      <c r="P242" s="12"/>
      <c r="Q242" s="16"/>
      <c r="R242" s="41"/>
      <c r="S242" s="41"/>
      <c r="T242" s="41"/>
      <c r="U242" s="41"/>
      <c r="V242" s="41"/>
      <c r="W242" s="41"/>
      <c r="X242" s="41"/>
      <c r="Y242" s="41"/>
      <c r="Z242" s="41"/>
    </row>
    <row r="243" spans="1:26" ht="15.75" customHeight="1" x14ac:dyDescent="0.2">
      <c r="A243" s="16"/>
      <c r="B243" s="43"/>
      <c r="C243" s="43"/>
      <c r="D243" s="15"/>
      <c r="E243" s="15"/>
      <c r="F243" s="16"/>
      <c r="G243" s="12"/>
      <c r="H243" s="12"/>
      <c r="I243" s="12"/>
      <c r="J243" s="12"/>
      <c r="K243" s="12"/>
      <c r="L243" s="12"/>
      <c r="M243" s="12"/>
      <c r="N243" s="12"/>
      <c r="O243" s="12"/>
      <c r="P243" s="12"/>
      <c r="Q243" s="16"/>
      <c r="R243" s="41"/>
      <c r="S243" s="41"/>
      <c r="T243" s="41"/>
      <c r="U243" s="41"/>
      <c r="V243" s="41"/>
      <c r="W243" s="41"/>
      <c r="X243" s="41"/>
      <c r="Y243" s="41"/>
      <c r="Z243" s="41"/>
    </row>
    <row r="244" spans="1:26" ht="15.75" customHeight="1" x14ac:dyDescent="0.2">
      <c r="A244" s="16"/>
      <c r="B244" s="43"/>
      <c r="C244" s="43"/>
      <c r="D244" s="15"/>
      <c r="E244" s="15"/>
      <c r="F244" s="16"/>
      <c r="G244" s="12"/>
      <c r="H244" s="12"/>
      <c r="I244" s="12"/>
      <c r="J244" s="12"/>
      <c r="K244" s="12"/>
      <c r="L244" s="12"/>
      <c r="M244" s="12"/>
      <c r="N244" s="12"/>
      <c r="O244" s="12"/>
      <c r="P244" s="12"/>
      <c r="Q244" s="16"/>
      <c r="R244" s="41"/>
      <c r="S244" s="41"/>
      <c r="T244" s="41"/>
      <c r="U244" s="41"/>
      <c r="V244" s="41"/>
      <c r="W244" s="41"/>
      <c r="X244" s="41"/>
      <c r="Y244" s="41"/>
      <c r="Z244" s="41"/>
    </row>
    <row r="245" spans="1:26" ht="15.75" customHeight="1" x14ac:dyDescent="0.2">
      <c r="A245" s="16"/>
      <c r="B245" s="43"/>
      <c r="C245" s="43"/>
      <c r="D245" s="15"/>
      <c r="E245" s="15"/>
      <c r="F245" s="16"/>
      <c r="G245" s="12"/>
      <c r="H245" s="12"/>
      <c r="I245" s="12"/>
      <c r="J245" s="12"/>
      <c r="K245" s="12"/>
      <c r="L245" s="12"/>
      <c r="M245" s="12"/>
      <c r="N245" s="12"/>
      <c r="O245" s="12"/>
      <c r="P245" s="12"/>
      <c r="Q245" s="16"/>
      <c r="R245" s="41"/>
      <c r="S245" s="41"/>
      <c r="T245" s="41"/>
      <c r="U245" s="41"/>
      <c r="V245" s="41"/>
      <c r="W245" s="41"/>
      <c r="X245" s="41"/>
      <c r="Y245" s="41"/>
      <c r="Z245" s="41"/>
    </row>
    <row r="246" spans="1:26" ht="15.75" customHeight="1" x14ac:dyDescent="0.2">
      <c r="A246" s="16"/>
      <c r="B246" s="43"/>
      <c r="C246" s="43"/>
      <c r="D246" s="15"/>
      <c r="E246" s="15"/>
      <c r="F246" s="16"/>
      <c r="G246" s="12"/>
      <c r="H246" s="12"/>
      <c r="I246" s="12"/>
      <c r="J246" s="12"/>
      <c r="K246" s="12"/>
      <c r="L246" s="12"/>
      <c r="M246" s="12"/>
      <c r="N246" s="12"/>
      <c r="O246" s="12"/>
      <c r="P246" s="12"/>
      <c r="Q246" s="16"/>
      <c r="R246" s="41"/>
      <c r="S246" s="41"/>
      <c r="T246" s="41"/>
      <c r="U246" s="41"/>
      <c r="V246" s="41"/>
      <c r="W246" s="41"/>
      <c r="X246" s="41"/>
      <c r="Y246" s="41"/>
      <c r="Z246" s="41"/>
    </row>
    <row r="247" spans="1:26" ht="15.75" customHeight="1" x14ac:dyDescent="0.2">
      <c r="A247" s="16"/>
      <c r="B247" s="43"/>
      <c r="C247" s="43"/>
      <c r="D247" s="15"/>
      <c r="E247" s="15"/>
      <c r="F247" s="16"/>
      <c r="G247" s="12"/>
      <c r="H247" s="12"/>
      <c r="I247" s="12"/>
      <c r="J247" s="12"/>
      <c r="K247" s="12"/>
      <c r="L247" s="12"/>
      <c r="M247" s="12"/>
      <c r="N247" s="12"/>
      <c r="O247" s="12"/>
      <c r="P247" s="12"/>
      <c r="Q247" s="16"/>
      <c r="R247" s="41"/>
      <c r="S247" s="41"/>
      <c r="T247" s="41"/>
      <c r="U247" s="41"/>
      <c r="V247" s="41"/>
      <c r="W247" s="41"/>
      <c r="X247" s="41"/>
      <c r="Y247" s="41"/>
      <c r="Z247" s="41"/>
    </row>
    <row r="248" spans="1:26" ht="15.75" customHeight="1" x14ac:dyDescent="0.2">
      <c r="A248" s="16"/>
      <c r="B248" s="43"/>
      <c r="C248" s="43"/>
      <c r="D248" s="15"/>
      <c r="E248" s="15"/>
      <c r="F248" s="16"/>
      <c r="G248" s="12"/>
      <c r="H248" s="12"/>
      <c r="I248" s="12"/>
      <c r="J248" s="12"/>
      <c r="K248" s="12"/>
      <c r="L248" s="12"/>
      <c r="M248" s="12"/>
      <c r="N248" s="12"/>
      <c r="O248" s="12"/>
      <c r="P248" s="12"/>
      <c r="Q248" s="16"/>
      <c r="R248" s="41"/>
      <c r="S248" s="41"/>
      <c r="T248" s="41"/>
      <c r="U248" s="41"/>
      <c r="V248" s="41"/>
      <c r="W248" s="41"/>
      <c r="X248" s="41"/>
      <c r="Y248" s="41"/>
      <c r="Z248" s="41"/>
    </row>
    <row r="249" spans="1:26" ht="15.75" customHeight="1" x14ac:dyDescent="0.2">
      <c r="A249" s="16"/>
      <c r="B249" s="43"/>
      <c r="C249" s="43"/>
      <c r="D249" s="15"/>
      <c r="E249" s="15"/>
      <c r="F249" s="16"/>
      <c r="G249" s="12"/>
      <c r="H249" s="12"/>
      <c r="I249" s="12"/>
      <c r="J249" s="12"/>
      <c r="K249" s="12"/>
      <c r="L249" s="12"/>
      <c r="M249" s="12"/>
      <c r="N249" s="12"/>
      <c r="O249" s="12"/>
      <c r="P249" s="12"/>
      <c r="Q249" s="16"/>
      <c r="R249" s="41"/>
      <c r="S249" s="41"/>
      <c r="T249" s="41"/>
      <c r="U249" s="41"/>
      <c r="V249" s="41"/>
      <c r="W249" s="41"/>
      <c r="X249" s="41"/>
      <c r="Y249" s="41"/>
      <c r="Z249" s="41"/>
    </row>
    <row r="250" spans="1:26" ht="15.75" customHeight="1" x14ac:dyDescent="0.2">
      <c r="A250" s="16"/>
      <c r="B250" s="43"/>
      <c r="C250" s="43"/>
      <c r="D250" s="15"/>
      <c r="E250" s="15"/>
      <c r="F250" s="16"/>
      <c r="G250" s="12"/>
      <c r="H250" s="12"/>
      <c r="I250" s="12"/>
      <c r="J250" s="12"/>
      <c r="K250" s="12"/>
      <c r="L250" s="12"/>
      <c r="M250" s="12"/>
      <c r="N250" s="12"/>
      <c r="O250" s="12"/>
      <c r="P250" s="12"/>
      <c r="Q250" s="16"/>
      <c r="R250" s="41"/>
      <c r="S250" s="41"/>
      <c r="T250" s="41"/>
      <c r="U250" s="41"/>
      <c r="V250" s="41"/>
      <c r="W250" s="41"/>
      <c r="X250" s="41"/>
      <c r="Y250" s="41"/>
      <c r="Z250" s="41"/>
    </row>
    <row r="251" spans="1:26" ht="15.75" customHeight="1" x14ac:dyDescent="0.2">
      <c r="A251" s="16"/>
      <c r="B251" s="43"/>
      <c r="C251" s="43"/>
      <c r="D251" s="15"/>
      <c r="E251" s="15"/>
      <c r="F251" s="16"/>
      <c r="G251" s="12"/>
      <c r="H251" s="12"/>
      <c r="I251" s="12"/>
      <c r="J251" s="12"/>
      <c r="K251" s="12"/>
      <c r="L251" s="12"/>
      <c r="M251" s="12"/>
      <c r="N251" s="12"/>
      <c r="O251" s="12"/>
      <c r="P251" s="12"/>
      <c r="Q251" s="16"/>
      <c r="R251" s="41"/>
      <c r="S251" s="41"/>
      <c r="T251" s="41"/>
      <c r="U251" s="41"/>
      <c r="V251" s="41"/>
      <c r="W251" s="41"/>
      <c r="X251" s="41"/>
      <c r="Y251" s="41"/>
      <c r="Z251" s="41"/>
    </row>
    <row r="252" spans="1:26" ht="15.75" customHeight="1" x14ac:dyDescent="0.2">
      <c r="A252" s="16"/>
      <c r="B252" s="43"/>
      <c r="C252" s="43"/>
      <c r="D252" s="15"/>
      <c r="E252" s="15"/>
      <c r="F252" s="16"/>
      <c r="G252" s="12"/>
      <c r="H252" s="12"/>
      <c r="I252" s="12"/>
      <c r="J252" s="12"/>
      <c r="K252" s="12"/>
      <c r="L252" s="12"/>
      <c r="M252" s="12"/>
      <c r="N252" s="12"/>
      <c r="O252" s="12"/>
      <c r="P252" s="12"/>
      <c r="Q252" s="16"/>
      <c r="R252" s="41"/>
      <c r="S252" s="41"/>
      <c r="T252" s="41"/>
      <c r="U252" s="41"/>
      <c r="V252" s="41"/>
      <c r="W252" s="41"/>
      <c r="X252" s="41"/>
      <c r="Y252" s="41"/>
      <c r="Z252" s="41"/>
    </row>
    <row r="253" spans="1:26" ht="15.75" customHeight="1" x14ac:dyDescent="0.2">
      <c r="A253" s="16"/>
      <c r="B253" s="43"/>
      <c r="C253" s="43"/>
      <c r="D253" s="15"/>
      <c r="E253" s="15"/>
      <c r="F253" s="16"/>
      <c r="G253" s="12"/>
      <c r="H253" s="12"/>
      <c r="I253" s="12"/>
      <c r="J253" s="12"/>
      <c r="K253" s="12"/>
      <c r="L253" s="12"/>
      <c r="M253" s="12"/>
      <c r="N253" s="12"/>
      <c r="O253" s="12"/>
      <c r="P253" s="12"/>
      <c r="Q253" s="16"/>
      <c r="R253" s="41"/>
      <c r="S253" s="41"/>
      <c r="T253" s="41"/>
      <c r="U253" s="41"/>
      <c r="V253" s="41"/>
      <c r="W253" s="41"/>
      <c r="X253" s="41"/>
      <c r="Y253" s="41"/>
      <c r="Z253" s="41"/>
    </row>
    <row r="254" spans="1:26" ht="15.75" customHeight="1" x14ac:dyDescent="0.2">
      <c r="A254" s="16"/>
      <c r="B254" s="43"/>
      <c r="C254" s="43"/>
      <c r="D254" s="15"/>
      <c r="E254" s="15"/>
      <c r="F254" s="16"/>
      <c r="G254" s="12"/>
      <c r="H254" s="12"/>
      <c r="I254" s="12"/>
      <c r="J254" s="12"/>
      <c r="K254" s="12"/>
      <c r="L254" s="12"/>
      <c r="M254" s="12"/>
      <c r="N254" s="12"/>
      <c r="O254" s="12"/>
      <c r="P254" s="12"/>
      <c r="Q254" s="16"/>
      <c r="R254" s="41"/>
      <c r="S254" s="41"/>
      <c r="T254" s="41"/>
      <c r="U254" s="41"/>
      <c r="V254" s="41"/>
      <c r="W254" s="41"/>
      <c r="X254" s="41"/>
      <c r="Y254" s="41"/>
      <c r="Z254" s="41"/>
    </row>
    <row r="255" spans="1:26" ht="15.75" customHeight="1" x14ac:dyDescent="0.2">
      <c r="A255" s="16"/>
      <c r="B255" s="43"/>
      <c r="C255" s="43"/>
      <c r="D255" s="15"/>
      <c r="E255" s="15"/>
      <c r="F255" s="16"/>
      <c r="G255" s="12"/>
      <c r="H255" s="12"/>
      <c r="I255" s="12"/>
      <c r="J255" s="12"/>
      <c r="K255" s="12"/>
      <c r="L255" s="12"/>
      <c r="M255" s="12"/>
      <c r="N255" s="12"/>
      <c r="O255" s="12"/>
      <c r="P255" s="12"/>
      <c r="Q255" s="16"/>
      <c r="R255" s="41"/>
      <c r="S255" s="41"/>
      <c r="T255" s="41"/>
      <c r="U255" s="41"/>
      <c r="V255" s="41"/>
      <c r="W255" s="41"/>
      <c r="X255" s="41"/>
      <c r="Y255" s="41"/>
      <c r="Z255" s="41"/>
    </row>
    <row r="256" spans="1:26" ht="15.75" customHeight="1" x14ac:dyDescent="0.2">
      <c r="A256" s="16"/>
      <c r="B256" s="43"/>
      <c r="C256" s="43"/>
      <c r="D256" s="15"/>
      <c r="E256" s="15"/>
      <c r="F256" s="16"/>
      <c r="G256" s="12"/>
      <c r="H256" s="12"/>
      <c r="I256" s="12"/>
      <c r="J256" s="12"/>
      <c r="K256" s="12"/>
      <c r="L256" s="12"/>
      <c r="M256" s="12"/>
      <c r="N256" s="12"/>
      <c r="O256" s="12"/>
      <c r="P256" s="12"/>
      <c r="Q256" s="16"/>
      <c r="R256" s="41"/>
      <c r="S256" s="41"/>
      <c r="T256" s="41"/>
      <c r="U256" s="41"/>
      <c r="V256" s="41"/>
      <c r="W256" s="41"/>
      <c r="X256" s="41"/>
      <c r="Y256" s="41"/>
      <c r="Z256" s="41"/>
    </row>
    <row r="257" spans="1:26" ht="15.75" customHeight="1" x14ac:dyDescent="0.2">
      <c r="A257" s="16"/>
      <c r="B257" s="43"/>
      <c r="C257" s="43"/>
      <c r="D257" s="15"/>
      <c r="E257" s="15"/>
      <c r="F257" s="16"/>
      <c r="G257" s="12"/>
      <c r="H257" s="12"/>
      <c r="I257" s="12"/>
      <c r="J257" s="12"/>
      <c r="K257" s="12"/>
      <c r="L257" s="12"/>
      <c r="M257" s="12"/>
      <c r="N257" s="12"/>
      <c r="O257" s="12"/>
      <c r="P257" s="12"/>
      <c r="Q257" s="16"/>
      <c r="R257" s="41"/>
      <c r="S257" s="41"/>
      <c r="T257" s="41"/>
      <c r="U257" s="41"/>
      <c r="V257" s="41"/>
      <c r="W257" s="41"/>
      <c r="X257" s="41"/>
      <c r="Y257" s="41"/>
      <c r="Z257" s="41"/>
    </row>
    <row r="258" spans="1:26" ht="15.75" customHeight="1" x14ac:dyDescent="0.2">
      <c r="A258" s="16"/>
      <c r="B258" s="43"/>
      <c r="C258" s="43"/>
      <c r="D258" s="15"/>
      <c r="E258" s="15"/>
      <c r="F258" s="16"/>
      <c r="G258" s="12"/>
      <c r="H258" s="12"/>
      <c r="I258" s="12"/>
      <c r="J258" s="12"/>
      <c r="K258" s="12"/>
      <c r="L258" s="12"/>
      <c r="M258" s="12"/>
      <c r="N258" s="12"/>
      <c r="O258" s="12"/>
      <c r="P258" s="12"/>
      <c r="Q258" s="16"/>
      <c r="R258" s="41"/>
      <c r="S258" s="41"/>
      <c r="T258" s="41"/>
      <c r="U258" s="41"/>
      <c r="V258" s="41"/>
      <c r="W258" s="41"/>
      <c r="X258" s="41"/>
      <c r="Y258" s="41"/>
      <c r="Z258" s="41"/>
    </row>
    <row r="259" spans="1:26" ht="15.75" customHeight="1" x14ac:dyDescent="0.2">
      <c r="A259" s="16"/>
      <c r="B259" s="43"/>
      <c r="C259" s="43"/>
      <c r="D259" s="15"/>
      <c r="E259" s="15"/>
      <c r="F259" s="16"/>
      <c r="G259" s="12"/>
      <c r="H259" s="12"/>
      <c r="I259" s="12"/>
      <c r="J259" s="12"/>
      <c r="K259" s="12"/>
      <c r="L259" s="12"/>
      <c r="M259" s="12"/>
      <c r="N259" s="12"/>
      <c r="O259" s="12"/>
      <c r="P259" s="12"/>
      <c r="Q259" s="16"/>
      <c r="R259" s="41"/>
      <c r="S259" s="41"/>
      <c r="T259" s="41"/>
      <c r="U259" s="41"/>
      <c r="V259" s="41"/>
      <c r="W259" s="41"/>
      <c r="X259" s="41"/>
      <c r="Y259" s="41"/>
      <c r="Z259" s="41"/>
    </row>
    <row r="260" spans="1:26" ht="15.75" customHeight="1" x14ac:dyDescent="0.2">
      <c r="A260" s="16"/>
      <c r="B260" s="43"/>
      <c r="C260" s="43"/>
      <c r="D260" s="15"/>
      <c r="E260" s="15"/>
      <c r="F260" s="16"/>
      <c r="G260" s="12"/>
      <c r="H260" s="12"/>
      <c r="I260" s="12"/>
      <c r="J260" s="12"/>
      <c r="K260" s="12"/>
      <c r="L260" s="12"/>
      <c r="M260" s="12"/>
      <c r="N260" s="12"/>
      <c r="O260" s="12"/>
      <c r="P260" s="12"/>
      <c r="Q260" s="16"/>
      <c r="R260" s="41"/>
      <c r="S260" s="41"/>
      <c r="T260" s="41"/>
      <c r="U260" s="41"/>
      <c r="V260" s="41"/>
      <c r="W260" s="41"/>
      <c r="X260" s="41"/>
      <c r="Y260" s="41"/>
      <c r="Z260" s="41"/>
    </row>
    <row r="261" spans="1:26" ht="15.75" customHeight="1" x14ac:dyDescent="0.2">
      <c r="A261" s="16"/>
      <c r="B261" s="43"/>
      <c r="C261" s="43"/>
      <c r="D261" s="15"/>
      <c r="E261" s="15"/>
      <c r="F261" s="16"/>
      <c r="G261" s="12"/>
      <c r="H261" s="12"/>
      <c r="I261" s="12"/>
      <c r="J261" s="12"/>
      <c r="K261" s="12"/>
      <c r="L261" s="12"/>
      <c r="M261" s="12"/>
      <c r="N261" s="12"/>
      <c r="O261" s="12"/>
      <c r="P261" s="12"/>
      <c r="Q261" s="16"/>
      <c r="R261" s="41"/>
      <c r="S261" s="41"/>
      <c r="T261" s="41"/>
      <c r="U261" s="41"/>
      <c r="V261" s="41"/>
      <c r="W261" s="41"/>
      <c r="X261" s="41"/>
      <c r="Y261" s="41"/>
      <c r="Z261" s="41"/>
    </row>
    <row r="262" spans="1:26" ht="15.75" customHeight="1" x14ac:dyDescent="0.2">
      <c r="A262" s="16"/>
      <c r="B262" s="43"/>
      <c r="C262" s="43"/>
      <c r="D262" s="15"/>
      <c r="E262" s="15"/>
      <c r="F262" s="16"/>
      <c r="G262" s="12"/>
      <c r="H262" s="12"/>
      <c r="I262" s="12"/>
      <c r="J262" s="12"/>
      <c r="K262" s="12"/>
      <c r="L262" s="12"/>
      <c r="M262" s="12"/>
      <c r="N262" s="12"/>
      <c r="O262" s="12"/>
      <c r="P262" s="12"/>
      <c r="Q262" s="16"/>
      <c r="R262" s="41"/>
      <c r="S262" s="41"/>
      <c r="T262" s="41"/>
      <c r="U262" s="41"/>
      <c r="V262" s="41"/>
      <c r="W262" s="41"/>
      <c r="X262" s="41"/>
      <c r="Y262" s="41"/>
      <c r="Z262" s="41"/>
    </row>
    <row r="263" spans="1:26" ht="15.75" customHeight="1" x14ac:dyDescent="0.2">
      <c r="A263" s="16"/>
      <c r="B263" s="43"/>
      <c r="C263" s="43"/>
      <c r="D263" s="15"/>
      <c r="E263" s="15"/>
      <c r="F263" s="16"/>
      <c r="G263" s="12"/>
      <c r="H263" s="12"/>
      <c r="I263" s="12"/>
      <c r="J263" s="12"/>
      <c r="K263" s="12"/>
      <c r="L263" s="12"/>
      <c r="M263" s="12"/>
      <c r="N263" s="12"/>
      <c r="O263" s="12"/>
      <c r="P263" s="12"/>
      <c r="Q263" s="16"/>
      <c r="R263" s="41"/>
      <c r="S263" s="41"/>
      <c r="T263" s="41"/>
      <c r="U263" s="41"/>
      <c r="V263" s="41"/>
      <c r="W263" s="41"/>
      <c r="X263" s="41"/>
      <c r="Y263" s="41"/>
      <c r="Z263" s="41"/>
    </row>
    <row r="264" spans="1:26" ht="15.75" customHeight="1" x14ac:dyDescent="0.2">
      <c r="A264" s="16"/>
      <c r="B264" s="43"/>
      <c r="C264" s="43"/>
      <c r="D264" s="15"/>
      <c r="E264" s="15"/>
      <c r="F264" s="16"/>
      <c r="G264" s="12"/>
      <c r="H264" s="12"/>
      <c r="I264" s="12"/>
      <c r="J264" s="12"/>
      <c r="K264" s="12"/>
      <c r="L264" s="12"/>
      <c r="M264" s="12"/>
      <c r="N264" s="12"/>
      <c r="O264" s="12"/>
      <c r="P264" s="12"/>
      <c r="Q264" s="16"/>
      <c r="R264" s="41"/>
      <c r="S264" s="41"/>
      <c r="T264" s="41"/>
      <c r="U264" s="41"/>
      <c r="V264" s="41"/>
      <c r="W264" s="41"/>
      <c r="X264" s="41"/>
      <c r="Y264" s="41"/>
      <c r="Z264" s="41"/>
    </row>
    <row r="265" spans="1:26" ht="15.75" customHeight="1" x14ac:dyDescent="0.2">
      <c r="A265" s="16"/>
      <c r="B265" s="43"/>
      <c r="C265" s="43"/>
      <c r="D265" s="15"/>
      <c r="E265" s="15"/>
      <c r="F265" s="16"/>
      <c r="G265" s="12"/>
      <c r="H265" s="12"/>
      <c r="I265" s="12"/>
      <c r="J265" s="12"/>
      <c r="K265" s="12"/>
      <c r="L265" s="12"/>
      <c r="M265" s="12"/>
      <c r="N265" s="12"/>
      <c r="O265" s="12"/>
      <c r="P265" s="12"/>
      <c r="Q265" s="16"/>
      <c r="R265" s="41"/>
      <c r="S265" s="41"/>
      <c r="T265" s="41"/>
      <c r="U265" s="41"/>
      <c r="V265" s="41"/>
      <c r="W265" s="41"/>
      <c r="X265" s="41"/>
      <c r="Y265" s="41"/>
      <c r="Z265" s="41"/>
    </row>
    <row r="266" spans="1:26" ht="15.75" customHeight="1" x14ac:dyDescent="0.2">
      <c r="A266" s="16"/>
      <c r="B266" s="43"/>
      <c r="C266" s="43"/>
      <c r="D266" s="15"/>
      <c r="E266" s="15"/>
      <c r="F266" s="16"/>
      <c r="G266" s="12"/>
      <c r="H266" s="12"/>
      <c r="I266" s="12"/>
      <c r="J266" s="12"/>
      <c r="K266" s="12"/>
      <c r="L266" s="12"/>
      <c r="M266" s="12"/>
      <c r="N266" s="12"/>
      <c r="O266" s="12"/>
      <c r="P266" s="12"/>
      <c r="Q266" s="16"/>
      <c r="R266" s="41"/>
      <c r="S266" s="41"/>
      <c r="T266" s="41"/>
      <c r="U266" s="41"/>
      <c r="V266" s="41"/>
      <c r="W266" s="41"/>
      <c r="X266" s="41"/>
      <c r="Y266" s="41"/>
      <c r="Z266" s="41"/>
    </row>
    <row r="267" spans="1:26" ht="15.75" customHeight="1" x14ac:dyDescent="0.2">
      <c r="A267" s="16"/>
      <c r="B267" s="43"/>
      <c r="C267" s="43"/>
      <c r="D267" s="15"/>
      <c r="E267" s="15"/>
      <c r="F267" s="16"/>
      <c r="G267" s="12"/>
      <c r="H267" s="12"/>
      <c r="I267" s="12"/>
      <c r="J267" s="12"/>
      <c r="K267" s="12"/>
      <c r="L267" s="12"/>
      <c r="M267" s="12"/>
      <c r="N267" s="12"/>
      <c r="O267" s="12"/>
      <c r="P267" s="12"/>
      <c r="Q267" s="16"/>
      <c r="R267" s="41"/>
      <c r="S267" s="41"/>
      <c r="T267" s="41"/>
      <c r="U267" s="41"/>
      <c r="V267" s="41"/>
      <c r="W267" s="41"/>
      <c r="X267" s="41"/>
      <c r="Y267" s="41"/>
      <c r="Z267" s="41"/>
    </row>
    <row r="268" spans="1:26" ht="15.75" customHeight="1" x14ac:dyDescent="0.2">
      <c r="A268" s="16"/>
      <c r="B268" s="43"/>
      <c r="C268" s="43"/>
      <c r="D268" s="15"/>
      <c r="E268" s="15"/>
      <c r="F268" s="16"/>
      <c r="G268" s="12"/>
      <c r="H268" s="12"/>
      <c r="I268" s="12"/>
      <c r="J268" s="12"/>
      <c r="K268" s="12"/>
      <c r="L268" s="12"/>
      <c r="M268" s="12"/>
      <c r="N268" s="12"/>
      <c r="O268" s="12"/>
      <c r="P268" s="12"/>
      <c r="Q268" s="16"/>
      <c r="R268" s="41"/>
      <c r="S268" s="41"/>
      <c r="T268" s="41"/>
      <c r="U268" s="41"/>
      <c r="V268" s="41"/>
      <c r="W268" s="41"/>
      <c r="X268" s="41"/>
      <c r="Y268" s="41"/>
      <c r="Z268" s="41"/>
    </row>
    <row r="269" spans="1:26" ht="15.75" customHeight="1" x14ac:dyDescent="0.2">
      <c r="A269" s="16"/>
      <c r="B269" s="43"/>
      <c r="C269" s="43"/>
      <c r="D269" s="15"/>
      <c r="E269" s="15"/>
      <c r="F269" s="16"/>
      <c r="G269" s="12"/>
      <c r="H269" s="12"/>
      <c r="I269" s="12"/>
      <c r="J269" s="12"/>
      <c r="K269" s="12"/>
      <c r="L269" s="12"/>
      <c r="M269" s="12"/>
      <c r="N269" s="12"/>
      <c r="O269" s="12"/>
      <c r="P269" s="12"/>
      <c r="Q269" s="16"/>
      <c r="R269" s="41"/>
      <c r="S269" s="41"/>
      <c r="T269" s="41"/>
      <c r="U269" s="41"/>
      <c r="V269" s="41"/>
      <c r="W269" s="41"/>
      <c r="X269" s="41"/>
      <c r="Y269" s="41"/>
      <c r="Z269" s="41"/>
    </row>
    <row r="270" spans="1:26" ht="15.75" customHeight="1" x14ac:dyDescent="0.2">
      <c r="A270" s="16"/>
      <c r="B270" s="43"/>
      <c r="C270" s="43"/>
      <c r="D270" s="15"/>
      <c r="E270" s="15"/>
      <c r="F270" s="16"/>
      <c r="G270" s="12"/>
      <c r="H270" s="12"/>
      <c r="I270" s="12"/>
      <c r="J270" s="12"/>
      <c r="K270" s="12"/>
      <c r="L270" s="12"/>
      <c r="M270" s="12"/>
      <c r="N270" s="12"/>
      <c r="O270" s="12"/>
      <c r="P270" s="12"/>
      <c r="Q270" s="16"/>
      <c r="R270" s="41"/>
      <c r="S270" s="41"/>
      <c r="T270" s="41"/>
      <c r="U270" s="41"/>
      <c r="V270" s="41"/>
      <c r="W270" s="41"/>
      <c r="X270" s="41"/>
      <c r="Y270" s="41"/>
      <c r="Z270" s="41"/>
    </row>
    <row r="271" spans="1:26" ht="15.75" customHeight="1" x14ac:dyDescent="0.2">
      <c r="A271" s="16"/>
      <c r="B271" s="43"/>
      <c r="C271" s="43"/>
      <c r="D271" s="15"/>
      <c r="E271" s="15"/>
      <c r="F271" s="16"/>
      <c r="G271" s="12"/>
      <c r="H271" s="12"/>
      <c r="I271" s="12"/>
      <c r="J271" s="12"/>
      <c r="K271" s="12"/>
      <c r="L271" s="12"/>
      <c r="M271" s="12"/>
      <c r="N271" s="12"/>
      <c r="O271" s="12"/>
      <c r="P271" s="12"/>
      <c r="Q271" s="16"/>
      <c r="R271" s="41"/>
      <c r="S271" s="41"/>
      <c r="T271" s="41"/>
      <c r="U271" s="41"/>
      <c r="V271" s="41"/>
      <c r="W271" s="41"/>
      <c r="X271" s="41"/>
      <c r="Y271" s="41"/>
      <c r="Z271" s="41"/>
    </row>
    <row r="272" spans="1:26" ht="15.75" customHeight="1" x14ac:dyDescent="0.2">
      <c r="A272" s="16"/>
      <c r="B272" s="43"/>
      <c r="C272" s="43"/>
      <c r="D272" s="15"/>
      <c r="E272" s="15"/>
      <c r="F272" s="16"/>
      <c r="G272" s="12"/>
      <c r="H272" s="12"/>
      <c r="I272" s="12"/>
      <c r="J272" s="12"/>
      <c r="K272" s="12"/>
      <c r="L272" s="12"/>
      <c r="M272" s="12"/>
      <c r="N272" s="12"/>
      <c r="O272" s="12"/>
      <c r="P272" s="12"/>
      <c r="Q272" s="16"/>
      <c r="R272" s="41"/>
      <c r="S272" s="41"/>
      <c r="T272" s="41"/>
      <c r="U272" s="41"/>
      <c r="V272" s="41"/>
      <c r="W272" s="41"/>
      <c r="X272" s="41"/>
      <c r="Y272" s="41"/>
      <c r="Z272" s="41"/>
    </row>
    <row r="273" spans="1:26" ht="15.75" customHeight="1" x14ac:dyDescent="0.2">
      <c r="A273" s="16"/>
      <c r="B273" s="43"/>
      <c r="C273" s="43"/>
      <c r="D273" s="15"/>
      <c r="E273" s="15"/>
      <c r="F273" s="16"/>
      <c r="G273" s="12"/>
      <c r="H273" s="12"/>
      <c r="I273" s="12"/>
      <c r="J273" s="12"/>
      <c r="K273" s="12"/>
      <c r="L273" s="12"/>
      <c r="M273" s="12"/>
      <c r="N273" s="12"/>
      <c r="O273" s="12"/>
      <c r="P273" s="12"/>
      <c r="Q273" s="16"/>
      <c r="R273" s="41"/>
      <c r="S273" s="41"/>
      <c r="T273" s="41"/>
      <c r="U273" s="41"/>
      <c r="V273" s="41"/>
      <c r="W273" s="41"/>
      <c r="X273" s="41"/>
      <c r="Y273" s="41"/>
      <c r="Z273" s="41"/>
    </row>
    <row r="274" spans="1:26" ht="15.75" customHeight="1" x14ac:dyDescent="0.2">
      <c r="A274" s="16"/>
      <c r="B274" s="43"/>
      <c r="C274" s="43"/>
      <c r="D274" s="15"/>
      <c r="E274" s="15"/>
      <c r="F274" s="16"/>
      <c r="G274" s="12"/>
      <c r="H274" s="12"/>
      <c r="I274" s="12"/>
      <c r="J274" s="12"/>
      <c r="K274" s="12"/>
      <c r="L274" s="12"/>
      <c r="M274" s="12"/>
      <c r="N274" s="12"/>
      <c r="O274" s="12"/>
      <c r="P274" s="12"/>
      <c r="Q274" s="16"/>
      <c r="R274" s="41"/>
      <c r="S274" s="41"/>
      <c r="T274" s="41"/>
      <c r="U274" s="41"/>
      <c r="V274" s="41"/>
      <c r="W274" s="41"/>
      <c r="X274" s="41"/>
      <c r="Y274" s="41"/>
      <c r="Z274" s="41"/>
    </row>
    <row r="275" spans="1:26" ht="15.75" customHeight="1" x14ac:dyDescent="0.2">
      <c r="A275" s="16"/>
      <c r="B275" s="43"/>
      <c r="C275" s="43"/>
      <c r="D275" s="15"/>
      <c r="E275" s="15"/>
      <c r="F275" s="16"/>
      <c r="G275" s="12"/>
      <c r="H275" s="12"/>
      <c r="I275" s="12"/>
      <c r="J275" s="12"/>
      <c r="K275" s="12"/>
      <c r="L275" s="12"/>
      <c r="M275" s="12"/>
      <c r="N275" s="12"/>
      <c r="O275" s="12"/>
      <c r="P275" s="12"/>
      <c r="Q275" s="16"/>
      <c r="R275" s="41"/>
      <c r="S275" s="41"/>
      <c r="T275" s="41"/>
      <c r="U275" s="41"/>
      <c r="V275" s="41"/>
      <c r="W275" s="41"/>
      <c r="X275" s="41"/>
      <c r="Y275" s="41"/>
      <c r="Z275" s="41"/>
    </row>
    <row r="276" spans="1:26" ht="15.75" customHeight="1" x14ac:dyDescent="0.2">
      <c r="A276" s="16"/>
      <c r="B276" s="43"/>
      <c r="C276" s="43"/>
      <c r="D276" s="15"/>
      <c r="E276" s="15"/>
      <c r="F276" s="16"/>
      <c r="G276" s="12"/>
      <c r="H276" s="12"/>
      <c r="I276" s="12"/>
      <c r="J276" s="12"/>
      <c r="K276" s="12"/>
      <c r="L276" s="12"/>
      <c r="M276" s="12"/>
      <c r="N276" s="12"/>
      <c r="O276" s="12"/>
      <c r="P276" s="12"/>
      <c r="Q276" s="16"/>
      <c r="R276" s="41"/>
      <c r="S276" s="41"/>
      <c r="T276" s="41"/>
      <c r="U276" s="41"/>
      <c r="V276" s="41"/>
      <c r="W276" s="41"/>
      <c r="X276" s="41"/>
      <c r="Y276" s="41"/>
      <c r="Z276" s="41"/>
    </row>
    <row r="277" spans="1:26" ht="15.75" customHeight="1" x14ac:dyDescent="0.2">
      <c r="A277" s="16"/>
      <c r="B277" s="43"/>
      <c r="C277" s="43"/>
      <c r="D277" s="15"/>
      <c r="E277" s="15"/>
      <c r="F277" s="16"/>
      <c r="G277" s="12"/>
      <c r="H277" s="12"/>
      <c r="I277" s="12"/>
      <c r="J277" s="12"/>
      <c r="K277" s="12"/>
      <c r="L277" s="12"/>
      <c r="M277" s="12"/>
      <c r="N277" s="12"/>
      <c r="O277" s="12"/>
      <c r="P277" s="12"/>
      <c r="Q277" s="16"/>
      <c r="R277" s="41"/>
      <c r="S277" s="41"/>
      <c r="T277" s="41"/>
      <c r="U277" s="41"/>
      <c r="V277" s="41"/>
      <c r="W277" s="41"/>
      <c r="X277" s="41"/>
      <c r="Y277" s="41"/>
      <c r="Z277" s="41"/>
    </row>
    <row r="278" spans="1:26" ht="15.75" customHeight="1" x14ac:dyDescent="0.2">
      <c r="A278" s="16"/>
      <c r="B278" s="43"/>
      <c r="C278" s="43"/>
      <c r="D278" s="15"/>
      <c r="E278" s="15"/>
      <c r="F278" s="16"/>
      <c r="G278" s="12"/>
      <c r="H278" s="12"/>
      <c r="I278" s="12"/>
      <c r="J278" s="12"/>
      <c r="K278" s="12"/>
      <c r="L278" s="12"/>
      <c r="M278" s="12"/>
      <c r="N278" s="12"/>
      <c r="O278" s="12"/>
      <c r="P278" s="12"/>
      <c r="Q278" s="16"/>
      <c r="R278" s="41"/>
      <c r="S278" s="41"/>
      <c r="T278" s="41"/>
      <c r="U278" s="41"/>
      <c r="V278" s="41"/>
      <c r="W278" s="41"/>
      <c r="X278" s="41"/>
      <c r="Y278" s="41"/>
      <c r="Z278" s="41"/>
    </row>
    <row r="279" spans="1:26" ht="15.75" customHeight="1" x14ac:dyDescent="0.2">
      <c r="A279" s="16"/>
      <c r="B279" s="43"/>
      <c r="C279" s="43"/>
      <c r="D279" s="15"/>
      <c r="E279" s="15"/>
      <c r="F279" s="16"/>
      <c r="G279" s="12"/>
      <c r="H279" s="12"/>
      <c r="I279" s="12"/>
      <c r="J279" s="12"/>
      <c r="K279" s="12"/>
      <c r="L279" s="12"/>
      <c r="M279" s="12"/>
      <c r="N279" s="12"/>
      <c r="O279" s="12"/>
      <c r="P279" s="12"/>
      <c r="Q279" s="16"/>
      <c r="R279" s="41"/>
      <c r="S279" s="41"/>
      <c r="T279" s="41"/>
      <c r="U279" s="41"/>
      <c r="V279" s="41"/>
      <c r="W279" s="41"/>
      <c r="X279" s="41"/>
      <c r="Y279" s="41"/>
      <c r="Z279" s="41"/>
    </row>
    <row r="280" spans="1:26" ht="15.75" customHeight="1" x14ac:dyDescent="0.2">
      <c r="A280" s="16"/>
      <c r="B280" s="43"/>
      <c r="C280" s="43"/>
      <c r="D280" s="15"/>
      <c r="E280" s="15"/>
      <c r="F280" s="16"/>
      <c r="G280" s="12"/>
      <c r="H280" s="12"/>
      <c r="I280" s="12"/>
      <c r="J280" s="12"/>
      <c r="K280" s="12"/>
      <c r="L280" s="12"/>
      <c r="M280" s="12"/>
      <c r="N280" s="12"/>
      <c r="O280" s="12"/>
      <c r="P280" s="12"/>
      <c r="Q280" s="16"/>
      <c r="R280" s="41"/>
      <c r="S280" s="41"/>
      <c r="T280" s="41"/>
      <c r="U280" s="41"/>
      <c r="V280" s="41"/>
      <c r="W280" s="41"/>
      <c r="X280" s="41"/>
      <c r="Y280" s="41"/>
      <c r="Z280" s="41"/>
    </row>
    <row r="281" spans="1:26" ht="15.75" customHeight="1" x14ac:dyDescent="0.2">
      <c r="A281" s="16"/>
      <c r="B281" s="43"/>
      <c r="C281" s="43"/>
      <c r="D281" s="15"/>
      <c r="E281" s="15"/>
      <c r="F281" s="16"/>
      <c r="G281" s="12"/>
      <c r="H281" s="12"/>
      <c r="I281" s="12"/>
      <c r="J281" s="12"/>
      <c r="K281" s="12"/>
      <c r="L281" s="12"/>
      <c r="M281" s="12"/>
      <c r="N281" s="12"/>
      <c r="O281" s="12"/>
      <c r="P281" s="12"/>
      <c r="Q281" s="16"/>
      <c r="R281" s="41"/>
      <c r="S281" s="41"/>
      <c r="T281" s="41"/>
      <c r="U281" s="41"/>
      <c r="V281" s="41"/>
      <c r="W281" s="41"/>
      <c r="X281" s="41"/>
      <c r="Y281" s="41"/>
      <c r="Z281" s="41"/>
    </row>
    <row r="282" spans="1:26" ht="15.75" customHeight="1" x14ac:dyDescent="0.2">
      <c r="A282" s="16"/>
      <c r="B282" s="43"/>
      <c r="C282" s="43"/>
      <c r="D282" s="15"/>
      <c r="E282" s="15"/>
      <c r="F282" s="16"/>
      <c r="G282" s="12"/>
      <c r="H282" s="12"/>
      <c r="I282" s="12"/>
      <c r="J282" s="12"/>
      <c r="K282" s="12"/>
      <c r="L282" s="12"/>
      <c r="M282" s="12"/>
      <c r="N282" s="12"/>
      <c r="O282" s="12"/>
      <c r="P282" s="12"/>
      <c r="Q282" s="16"/>
      <c r="R282" s="41"/>
      <c r="S282" s="41"/>
      <c r="T282" s="41"/>
      <c r="U282" s="41"/>
      <c r="V282" s="41"/>
      <c r="W282" s="41"/>
      <c r="X282" s="41"/>
      <c r="Y282" s="41"/>
      <c r="Z282" s="41"/>
    </row>
    <row r="283" spans="1:26" ht="15.75" customHeight="1" x14ac:dyDescent="0.2">
      <c r="A283" s="16"/>
      <c r="B283" s="43"/>
      <c r="C283" s="43"/>
      <c r="D283" s="15"/>
      <c r="E283" s="15"/>
      <c r="F283" s="16"/>
      <c r="G283" s="12"/>
      <c r="H283" s="12"/>
      <c r="I283" s="12"/>
      <c r="J283" s="12"/>
      <c r="K283" s="12"/>
      <c r="L283" s="12"/>
      <c r="M283" s="12"/>
      <c r="N283" s="12"/>
      <c r="O283" s="12"/>
      <c r="P283" s="12"/>
      <c r="Q283" s="16"/>
      <c r="R283" s="41"/>
      <c r="S283" s="41"/>
      <c r="T283" s="41"/>
      <c r="U283" s="41"/>
      <c r="V283" s="41"/>
      <c r="W283" s="41"/>
      <c r="X283" s="41"/>
      <c r="Y283" s="41"/>
      <c r="Z283" s="41"/>
    </row>
    <row r="284" spans="1:26" ht="15.75" customHeight="1" x14ac:dyDescent="0.2">
      <c r="A284" s="16"/>
      <c r="B284" s="43"/>
      <c r="C284" s="43"/>
      <c r="D284" s="15"/>
      <c r="E284" s="15"/>
      <c r="F284" s="16"/>
      <c r="G284" s="12"/>
      <c r="H284" s="12"/>
      <c r="I284" s="12"/>
      <c r="J284" s="12"/>
      <c r="K284" s="12"/>
      <c r="L284" s="12"/>
      <c r="M284" s="12"/>
      <c r="N284" s="12"/>
      <c r="O284" s="12"/>
      <c r="P284" s="12"/>
      <c r="Q284" s="16"/>
      <c r="R284" s="41"/>
      <c r="S284" s="41"/>
      <c r="T284" s="41"/>
      <c r="U284" s="41"/>
      <c r="V284" s="41"/>
      <c r="W284" s="41"/>
      <c r="X284" s="41"/>
      <c r="Y284" s="41"/>
      <c r="Z284" s="41"/>
    </row>
    <row r="285" spans="1:26" ht="15.75" customHeight="1" x14ac:dyDescent="0.2">
      <c r="A285" s="16"/>
      <c r="B285" s="43"/>
      <c r="C285" s="43"/>
      <c r="D285" s="15"/>
      <c r="E285" s="15"/>
      <c r="F285" s="16"/>
      <c r="G285" s="12"/>
      <c r="H285" s="12"/>
      <c r="I285" s="12"/>
      <c r="J285" s="12"/>
      <c r="K285" s="12"/>
      <c r="L285" s="12"/>
      <c r="M285" s="12"/>
      <c r="N285" s="12"/>
      <c r="O285" s="12"/>
      <c r="P285" s="12"/>
      <c r="Q285" s="16"/>
      <c r="R285" s="41"/>
      <c r="S285" s="41"/>
      <c r="T285" s="41"/>
      <c r="U285" s="41"/>
      <c r="V285" s="41"/>
      <c r="W285" s="41"/>
      <c r="X285" s="41"/>
      <c r="Y285" s="41"/>
      <c r="Z285" s="41"/>
    </row>
    <row r="286" spans="1:26" ht="15.75" customHeight="1" x14ac:dyDescent="0.2">
      <c r="A286" s="16"/>
      <c r="B286" s="43"/>
      <c r="C286" s="43"/>
      <c r="D286" s="15"/>
      <c r="E286" s="15"/>
      <c r="F286" s="16"/>
      <c r="G286" s="12"/>
      <c r="H286" s="12"/>
      <c r="I286" s="12"/>
      <c r="J286" s="12"/>
      <c r="K286" s="12"/>
      <c r="L286" s="12"/>
      <c r="M286" s="12"/>
      <c r="N286" s="12"/>
      <c r="O286" s="12"/>
      <c r="P286" s="12"/>
      <c r="Q286" s="16"/>
      <c r="R286" s="41"/>
      <c r="S286" s="41"/>
      <c r="T286" s="41"/>
      <c r="U286" s="41"/>
      <c r="V286" s="41"/>
      <c r="W286" s="41"/>
      <c r="X286" s="41"/>
      <c r="Y286" s="41"/>
      <c r="Z286" s="41"/>
    </row>
    <row r="287" spans="1:26" ht="15.75" customHeight="1" x14ac:dyDescent="0.2">
      <c r="A287" s="16"/>
      <c r="B287" s="43"/>
      <c r="C287" s="43"/>
      <c r="D287" s="15"/>
      <c r="E287" s="15"/>
      <c r="F287" s="16"/>
      <c r="G287" s="12"/>
      <c r="H287" s="12"/>
      <c r="I287" s="12"/>
      <c r="J287" s="12"/>
      <c r="K287" s="12"/>
      <c r="L287" s="12"/>
      <c r="M287" s="12"/>
      <c r="N287" s="12"/>
      <c r="O287" s="12"/>
      <c r="P287" s="12"/>
      <c r="Q287" s="16"/>
      <c r="R287" s="41"/>
      <c r="S287" s="41"/>
      <c r="T287" s="41"/>
      <c r="U287" s="41"/>
      <c r="V287" s="41"/>
      <c r="W287" s="41"/>
      <c r="X287" s="41"/>
      <c r="Y287" s="41"/>
      <c r="Z287" s="41"/>
    </row>
    <row r="288" spans="1:26" ht="15.75" customHeight="1" x14ac:dyDescent="0.2">
      <c r="A288" s="16"/>
      <c r="B288" s="43"/>
      <c r="C288" s="43"/>
      <c r="D288" s="15"/>
      <c r="E288" s="15"/>
      <c r="F288" s="16"/>
      <c r="G288" s="12"/>
      <c r="H288" s="12"/>
      <c r="I288" s="12"/>
      <c r="J288" s="12"/>
      <c r="K288" s="12"/>
      <c r="L288" s="12"/>
      <c r="M288" s="12"/>
      <c r="N288" s="12"/>
      <c r="O288" s="12"/>
      <c r="P288" s="12"/>
      <c r="Q288" s="16"/>
      <c r="R288" s="41"/>
      <c r="S288" s="41"/>
      <c r="T288" s="41"/>
      <c r="U288" s="41"/>
      <c r="V288" s="41"/>
      <c r="W288" s="41"/>
      <c r="X288" s="41"/>
      <c r="Y288" s="41"/>
      <c r="Z288" s="41"/>
    </row>
    <row r="289" spans="1:26" ht="15.75" customHeight="1" x14ac:dyDescent="0.2">
      <c r="A289" s="16"/>
      <c r="B289" s="43"/>
      <c r="C289" s="43"/>
      <c r="D289" s="15"/>
      <c r="E289" s="15"/>
      <c r="F289" s="16"/>
      <c r="G289" s="12"/>
      <c r="H289" s="12"/>
      <c r="I289" s="12"/>
      <c r="J289" s="12"/>
      <c r="K289" s="12"/>
      <c r="L289" s="12"/>
      <c r="M289" s="12"/>
      <c r="N289" s="12"/>
      <c r="O289" s="12"/>
      <c r="P289" s="12"/>
      <c r="Q289" s="16"/>
      <c r="R289" s="41"/>
      <c r="S289" s="41"/>
      <c r="T289" s="41"/>
      <c r="U289" s="41"/>
      <c r="V289" s="41"/>
      <c r="W289" s="41"/>
      <c r="X289" s="41"/>
      <c r="Y289" s="41"/>
      <c r="Z289" s="41"/>
    </row>
    <row r="290" spans="1:26" ht="15.75" customHeight="1" x14ac:dyDescent="0.2">
      <c r="A290" s="16"/>
      <c r="B290" s="43"/>
      <c r="C290" s="43"/>
      <c r="D290" s="15"/>
      <c r="E290" s="15"/>
      <c r="F290" s="16"/>
      <c r="G290" s="12"/>
      <c r="H290" s="12"/>
      <c r="I290" s="12"/>
      <c r="J290" s="12"/>
      <c r="K290" s="12"/>
      <c r="L290" s="12"/>
      <c r="M290" s="12"/>
      <c r="N290" s="12"/>
      <c r="O290" s="12"/>
      <c r="P290" s="12"/>
      <c r="Q290" s="16"/>
      <c r="R290" s="41"/>
      <c r="S290" s="41"/>
      <c r="T290" s="41"/>
      <c r="U290" s="41"/>
      <c r="V290" s="41"/>
      <c r="W290" s="41"/>
      <c r="X290" s="41"/>
      <c r="Y290" s="41"/>
      <c r="Z290" s="41"/>
    </row>
    <row r="291" spans="1:26" ht="15.75" customHeight="1" x14ac:dyDescent="0.2">
      <c r="A291" s="16"/>
      <c r="B291" s="43"/>
      <c r="C291" s="43"/>
      <c r="D291" s="15"/>
      <c r="E291" s="15"/>
      <c r="F291" s="16"/>
      <c r="G291" s="12"/>
      <c r="H291" s="12"/>
      <c r="I291" s="12"/>
      <c r="J291" s="12"/>
      <c r="K291" s="12"/>
      <c r="L291" s="12"/>
      <c r="M291" s="12"/>
      <c r="N291" s="12"/>
      <c r="O291" s="12"/>
      <c r="P291" s="12"/>
      <c r="Q291" s="16"/>
      <c r="R291" s="41"/>
      <c r="S291" s="41"/>
      <c r="T291" s="41"/>
      <c r="U291" s="41"/>
      <c r="V291" s="41"/>
      <c r="W291" s="41"/>
      <c r="X291" s="41"/>
      <c r="Y291" s="41"/>
      <c r="Z291" s="41"/>
    </row>
    <row r="292" spans="1:26" ht="15.75" customHeight="1" x14ac:dyDescent="0.2">
      <c r="A292" s="16"/>
      <c r="B292" s="43"/>
      <c r="C292" s="43"/>
      <c r="D292" s="15"/>
      <c r="E292" s="15"/>
      <c r="F292" s="16"/>
      <c r="G292" s="12"/>
      <c r="H292" s="12"/>
      <c r="I292" s="12"/>
      <c r="J292" s="12"/>
      <c r="K292" s="12"/>
      <c r="L292" s="12"/>
      <c r="M292" s="12"/>
      <c r="N292" s="12"/>
      <c r="O292" s="12"/>
      <c r="P292" s="12"/>
      <c r="Q292" s="16"/>
      <c r="R292" s="41"/>
      <c r="S292" s="41"/>
      <c r="T292" s="41"/>
      <c r="U292" s="41"/>
      <c r="V292" s="41"/>
      <c r="W292" s="41"/>
      <c r="X292" s="41"/>
      <c r="Y292" s="41"/>
      <c r="Z292" s="41"/>
    </row>
    <row r="293" spans="1:26" ht="15.75" customHeight="1" x14ac:dyDescent="0.2">
      <c r="A293" s="16"/>
      <c r="B293" s="43"/>
      <c r="C293" s="43"/>
      <c r="D293" s="15"/>
      <c r="E293" s="15"/>
      <c r="F293" s="16"/>
      <c r="G293" s="12"/>
      <c r="H293" s="12"/>
      <c r="I293" s="12"/>
      <c r="J293" s="12"/>
      <c r="K293" s="12"/>
      <c r="L293" s="12"/>
      <c r="M293" s="12"/>
      <c r="N293" s="12"/>
      <c r="O293" s="12"/>
      <c r="P293" s="12"/>
      <c r="Q293" s="16"/>
      <c r="R293" s="41"/>
      <c r="S293" s="41"/>
      <c r="T293" s="41"/>
      <c r="U293" s="41"/>
      <c r="V293" s="41"/>
      <c r="W293" s="41"/>
      <c r="X293" s="41"/>
      <c r="Y293" s="41"/>
      <c r="Z293" s="41"/>
    </row>
    <row r="294" spans="1:26" ht="15.75" customHeight="1" x14ac:dyDescent="0.2">
      <c r="A294" s="16"/>
      <c r="B294" s="43"/>
      <c r="C294" s="43"/>
      <c r="D294" s="15"/>
      <c r="E294" s="15"/>
      <c r="F294" s="16"/>
      <c r="G294" s="12"/>
      <c r="H294" s="12"/>
      <c r="I294" s="12"/>
      <c r="J294" s="12"/>
      <c r="K294" s="12"/>
      <c r="L294" s="12"/>
      <c r="M294" s="12"/>
      <c r="N294" s="12"/>
      <c r="O294" s="12"/>
      <c r="P294" s="12"/>
      <c r="Q294" s="16"/>
      <c r="R294" s="41"/>
      <c r="S294" s="41"/>
      <c r="T294" s="41"/>
      <c r="U294" s="41"/>
      <c r="V294" s="41"/>
      <c r="W294" s="41"/>
      <c r="X294" s="41"/>
      <c r="Y294" s="41"/>
      <c r="Z294" s="41"/>
    </row>
    <row r="295" spans="1:26" ht="15.75" customHeight="1" x14ac:dyDescent="0.2">
      <c r="A295" s="16"/>
      <c r="B295" s="43"/>
      <c r="C295" s="43"/>
      <c r="D295" s="15"/>
      <c r="E295" s="15"/>
      <c r="F295" s="16"/>
      <c r="G295" s="12"/>
      <c r="H295" s="12"/>
      <c r="I295" s="12"/>
      <c r="J295" s="12"/>
      <c r="K295" s="12"/>
      <c r="L295" s="12"/>
      <c r="M295" s="12"/>
      <c r="N295" s="12"/>
      <c r="O295" s="12"/>
      <c r="P295" s="12"/>
      <c r="Q295" s="16"/>
      <c r="R295" s="41"/>
      <c r="S295" s="41"/>
      <c r="T295" s="41"/>
      <c r="U295" s="41"/>
      <c r="V295" s="41"/>
      <c r="W295" s="41"/>
      <c r="X295" s="41"/>
      <c r="Y295" s="41"/>
      <c r="Z295" s="41"/>
    </row>
    <row r="296" spans="1:26" ht="15.75" customHeight="1" x14ac:dyDescent="0.2">
      <c r="A296" s="16"/>
      <c r="B296" s="43"/>
      <c r="C296" s="43"/>
      <c r="D296" s="15"/>
      <c r="E296" s="15"/>
      <c r="F296" s="16"/>
      <c r="G296" s="12"/>
      <c r="H296" s="12"/>
      <c r="I296" s="12"/>
      <c r="J296" s="12"/>
      <c r="K296" s="12"/>
      <c r="L296" s="12"/>
      <c r="M296" s="12"/>
      <c r="N296" s="12"/>
      <c r="O296" s="12"/>
      <c r="P296" s="12"/>
      <c r="Q296" s="16"/>
      <c r="R296" s="41"/>
      <c r="S296" s="41"/>
      <c r="T296" s="41"/>
      <c r="U296" s="41"/>
      <c r="V296" s="41"/>
      <c r="W296" s="41"/>
      <c r="X296" s="41"/>
      <c r="Y296" s="41"/>
      <c r="Z296" s="41"/>
    </row>
    <row r="297" spans="1:26" ht="15.75" customHeight="1" x14ac:dyDescent="0.2">
      <c r="A297" s="16"/>
      <c r="B297" s="43"/>
      <c r="C297" s="43"/>
      <c r="D297" s="15"/>
      <c r="E297" s="15"/>
      <c r="F297" s="16"/>
      <c r="G297" s="12"/>
      <c r="H297" s="12"/>
      <c r="I297" s="12"/>
      <c r="J297" s="12"/>
      <c r="K297" s="12"/>
      <c r="L297" s="12"/>
      <c r="M297" s="12"/>
      <c r="N297" s="12"/>
      <c r="O297" s="12"/>
      <c r="P297" s="12"/>
      <c r="Q297" s="16"/>
      <c r="R297" s="41"/>
      <c r="S297" s="41"/>
      <c r="T297" s="41"/>
      <c r="U297" s="41"/>
      <c r="V297" s="41"/>
      <c r="W297" s="41"/>
      <c r="X297" s="41"/>
      <c r="Y297" s="41"/>
      <c r="Z297" s="41"/>
    </row>
    <row r="298" spans="1:26" ht="15.75" customHeight="1" x14ac:dyDescent="0.2">
      <c r="A298" s="16"/>
      <c r="B298" s="43"/>
      <c r="C298" s="43"/>
      <c r="D298" s="15"/>
      <c r="E298" s="15"/>
      <c r="F298" s="16"/>
      <c r="G298" s="12"/>
      <c r="H298" s="12"/>
      <c r="I298" s="12"/>
      <c r="J298" s="12"/>
      <c r="K298" s="12"/>
      <c r="L298" s="12"/>
      <c r="M298" s="12"/>
      <c r="N298" s="12"/>
      <c r="O298" s="12"/>
      <c r="P298" s="12"/>
      <c r="Q298" s="16"/>
      <c r="R298" s="41"/>
      <c r="S298" s="41"/>
      <c r="T298" s="41"/>
      <c r="U298" s="41"/>
      <c r="V298" s="41"/>
      <c r="W298" s="41"/>
      <c r="X298" s="41"/>
      <c r="Y298" s="41"/>
      <c r="Z298" s="41"/>
    </row>
    <row r="299" spans="1:26" ht="15.75" customHeight="1" x14ac:dyDescent="0.2">
      <c r="A299" s="16"/>
      <c r="B299" s="43"/>
      <c r="C299" s="43"/>
      <c r="D299" s="15"/>
      <c r="E299" s="15"/>
      <c r="F299" s="16"/>
      <c r="G299" s="12"/>
      <c r="H299" s="12"/>
      <c r="I299" s="12"/>
      <c r="J299" s="12"/>
      <c r="K299" s="12"/>
      <c r="L299" s="12"/>
      <c r="M299" s="12"/>
      <c r="N299" s="12"/>
      <c r="O299" s="12"/>
      <c r="P299" s="12"/>
      <c r="Q299" s="16"/>
      <c r="R299" s="41"/>
      <c r="S299" s="41"/>
      <c r="T299" s="41"/>
      <c r="U299" s="41"/>
      <c r="V299" s="41"/>
      <c r="W299" s="41"/>
      <c r="X299" s="41"/>
      <c r="Y299" s="41"/>
      <c r="Z299" s="41"/>
    </row>
    <row r="300" spans="1:26" ht="15.75" customHeight="1" x14ac:dyDescent="0.2">
      <c r="A300" s="16"/>
      <c r="B300" s="43"/>
      <c r="C300" s="43"/>
      <c r="D300" s="15"/>
      <c r="E300" s="15"/>
      <c r="F300" s="16"/>
      <c r="G300" s="12"/>
      <c r="H300" s="12"/>
      <c r="I300" s="12"/>
      <c r="J300" s="12"/>
      <c r="K300" s="12"/>
      <c r="L300" s="12"/>
      <c r="M300" s="12"/>
      <c r="N300" s="12"/>
      <c r="O300" s="12"/>
      <c r="P300" s="12"/>
      <c r="Q300" s="16"/>
      <c r="R300" s="41"/>
      <c r="S300" s="41"/>
      <c r="T300" s="41"/>
      <c r="U300" s="41"/>
      <c r="V300" s="41"/>
      <c r="W300" s="41"/>
      <c r="X300" s="41"/>
      <c r="Y300" s="41"/>
      <c r="Z300" s="41"/>
    </row>
    <row r="301" spans="1:26" ht="15.75" customHeight="1" x14ac:dyDescent="0.2">
      <c r="A301" s="16"/>
      <c r="B301" s="43"/>
      <c r="C301" s="43"/>
      <c r="D301" s="15"/>
      <c r="E301" s="15"/>
      <c r="F301" s="16"/>
      <c r="G301" s="12"/>
      <c r="H301" s="12"/>
      <c r="I301" s="12"/>
      <c r="J301" s="12"/>
      <c r="K301" s="12"/>
      <c r="L301" s="12"/>
      <c r="M301" s="12"/>
      <c r="N301" s="12"/>
      <c r="O301" s="12"/>
      <c r="P301" s="12"/>
      <c r="Q301" s="16"/>
      <c r="R301" s="41"/>
      <c r="S301" s="41"/>
      <c r="T301" s="41"/>
      <c r="U301" s="41"/>
      <c r="V301" s="41"/>
      <c r="W301" s="41"/>
      <c r="X301" s="41"/>
      <c r="Y301" s="41"/>
      <c r="Z301" s="41"/>
    </row>
    <row r="302" spans="1:26" ht="15.75" customHeight="1" x14ac:dyDescent="0.2">
      <c r="A302" s="16"/>
      <c r="B302" s="43"/>
      <c r="C302" s="43"/>
      <c r="D302" s="15"/>
      <c r="E302" s="15"/>
      <c r="F302" s="16"/>
      <c r="G302" s="12"/>
      <c r="H302" s="12"/>
      <c r="I302" s="12"/>
      <c r="J302" s="12"/>
      <c r="K302" s="12"/>
      <c r="L302" s="12"/>
      <c r="M302" s="12"/>
      <c r="N302" s="12"/>
      <c r="O302" s="12"/>
      <c r="P302" s="12"/>
      <c r="Q302" s="16"/>
      <c r="R302" s="41"/>
      <c r="S302" s="41"/>
      <c r="T302" s="41"/>
      <c r="U302" s="41"/>
      <c r="V302" s="41"/>
      <c r="W302" s="41"/>
      <c r="X302" s="41"/>
      <c r="Y302" s="41"/>
      <c r="Z302" s="41"/>
    </row>
    <row r="303" spans="1:26" ht="15.75" customHeight="1" x14ac:dyDescent="0.2">
      <c r="A303" s="16"/>
      <c r="B303" s="43"/>
      <c r="C303" s="43"/>
      <c r="D303" s="15"/>
      <c r="E303" s="15"/>
      <c r="F303" s="16"/>
      <c r="G303" s="12"/>
      <c r="H303" s="12"/>
      <c r="I303" s="12"/>
      <c r="J303" s="12"/>
      <c r="K303" s="12"/>
      <c r="L303" s="12"/>
      <c r="M303" s="12"/>
      <c r="N303" s="12"/>
      <c r="O303" s="12"/>
      <c r="P303" s="12"/>
      <c r="Q303" s="16"/>
      <c r="R303" s="41"/>
      <c r="S303" s="41"/>
      <c r="T303" s="41"/>
      <c r="U303" s="41"/>
      <c r="V303" s="41"/>
      <c r="W303" s="41"/>
      <c r="X303" s="41"/>
      <c r="Y303" s="41"/>
      <c r="Z303" s="41"/>
    </row>
    <row r="304" spans="1:26" ht="15.75" customHeight="1" x14ac:dyDescent="0.2">
      <c r="A304" s="16"/>
      <c r="B304" s="43"/>
      <c r="C304" s="43"/>
      <c r="D304" s="15"/>
      <c r="E304" s="15"/>
      <c r="F304" s="16"/>
      <c r="G304" s="12"/>
      <c r="H304" s="12"/>
      <c r="I304" s="12"/>
      <c r="J304" s="12"/>
      <c r="K304" s="12"/>
      <c r="L304" s="12"/>
      <c r="M304" s="12"/>
      <c r="N304" s="12"/>
      <c r="O304" s="12"/>
      <c r="P304" s="12"/>
      <c r="Q304" s="16"/>
      <c r="R304" s="41"/>
      <c r="S304" s="41"/>
      <c r="T304" s="41"/>
      <c r="U304" s="41"/>
      <c r="V304" s="41"/>
      <c r="W304" s="41"/>
      <c r="X304" s="41"/>
      <c r="Y304" s="41"/>
      <c r="Z304" s="41"/>
    </row>
    <row r="305" spans="1:26" ht="15.75" customHeight="1" x14ac:dyDescent="0.2">
      <c r="A305" s="16"/>
      <c r="B305" s="43"/>
      <c r="C305" s="43"/>
      <c r="D305" s="15"/>
      <c r="E305" s="15"/>
      <c r="F305" s="16"/>
      <c r="G305" s="12"/>
      <c r="H305" s="12"/>
      <c r="I305" s="12"/>
      <c r="J305" s="12"/>
      <c r="K305" s="12"/>
      <c r="L305" s="12"/>
      <c r="M305" s="12"/>
      <c r="N305" s="12"/>
      <c r="O305" s="12"/>
      <c r="P305" s="12"/>
      <c r="Q305" s="16"/>
      <c r="R305" s="41"/>
      <c r="S305" s="41"/>
      <c r="T305" s="41"/>
      <c r="U305" s="41"/>
      <c r="V305" s="41"/>
      <c r="W305" s="41"/>
      <c r="X305" s="41"/>
      <c r="Y305" s="41"/>
      <c r="Z305" s="41"/>
    </row>
    <row r="306" spans="1:26" ht="15.75" customHeight="1" x14ac:dyDescent="0.2">
      <c r="A306" s="16"/>
      <c r="B306" s="43"/>
      <c r="C306" s="43"/>
      <c r="D306" s="15"/>
      <c r="E306" s="15"/>
      <c r="F306" s="16"/>
      <c r="G306" s="12"/>
      <c r="H306" s="12"/>
      <c r="I306" s="12"/>
      <c r="J306" s="12"/>
      <c r="K306" s="12"/>
      <c r="L306" s="12"/>
      <c r="M306" s="12"/>
      <c r="N306" s="12"/>
      <c r="O306" s="12"/>
      <c r="P306" s="12"/>
      <c r="Q306" s="16"/>
      <c r="R306" s="41"/>
      <c r="S306" s="41"/>
      <c r="T306" s="41"/>
      <c r="U306" s="41"/>
      <c r="V306" s="41"/>
      <c r="W306" s="41"/>
      <c r="X306" s="41"/>
      <c r="Y306" s="41"/>
      <c r="Z306" s="41"/>
    </row>
    <row r="307" spans="1:26" ht="15.75" customHeight="1" x14ac:dyDescent="0.2">
      <c r="A307" s="16"/>
      <c r="B307" s="43"/>
      <c r="C307" s="43"/>
      <c r="D307" s="15"/>
      <c r="E307" s="15"/>
      <c r="F307" s="16"/>
      <c r="G307" s="12"/>
      <c r="H307" s="12"/>
      <c r="I307" s="12"/>
      <c r="J307" s="12"/>
      <c r="K307" s="12"/>
      <c r="L307" s="12"/>
      <c r="M307" s="12"/>
      <c r="N307" s="12"/>
      <c r="O307" s="12"/>
      <c r="P307" s="12"/>
      <c r="Q307" s="16"/>
      <c r="R307" s="41"/>
      <c r="S307" s="41"/>
      <c r="T307" s="41"/>
      <c r="U307" s="41"/>
      <c r="V307" s="41"/>
      <c r="W307" s="41"/>
      <c r="X307" s="41"/>
      <c r="Y307" s="41"/>
      <c r="Z307" s="41"/>
    </row>
    <row r="308" spans="1:26" ht="15.75" customHeight="1" x14ac:dyDescent="0.2">
      <c r="A308" s="16"/>
      <c r="B308" s="43"/>
      <c r="C308" s="43"/>
      <c r="D308" s="15"/>
      <c r="E308" s="15"/>
      <c r="F308" s="16"/>
      <c r="G308" s="12"/>
      <c r="H308" s="12"/>
      <c r="I308" s="12"/>
      <c r="J308" s="12"/>
      <c r="K308" s="12"/>
      <c r="L308" s="12"/>
      <c r="M308" s="12"/>
      <c r="N308" s="12"/>
      <c r="O308" s="12"/>
      <c r="P308" s="12"/>
      <c r="Q308" s="16"/>
      <c r="R308" s="41"/>
      <c r="S308" s="41"/>
      <c r="T308" s="41"/>
      <c r="U308" s="41"/>
      <c r="V308" s="41"/>
      <c r="W308" s="41"/>
      <c r="X308" s="41"/>
      <c r="Y308" s="41"/>
      <c r="Z308" s="41"/>
    </row>
    <row r="309" spans="1:26" ht="15.75" customHeight="1" x14ac:dyDescent="0.2">
      <c r="A309" s="16"/>
      <c r="B309" s="43"/>
      <c r="C309" s="43"/>
      <c r="D309" s="15"/>
      <c r="E309" s="15"/>
      <c r="F309" s="16"/>
      <c r="G309" s="12"/>
      <c r="H309" s="12"/>
      <c r="I309" s="12"/>
      <c r="J309" s="12"/>
      <c r="K309" s="12"/>
      <c r="L309" s="12"/>
      <c r="M309" s="12"/>
      <c r="N309" s="12"/>
      <c r="O309" s="12"/>
      <c r="P309" s="12"/>
      <c r="Q309" s="16"/>
      <c r="R309" s="41"/>
      <c r="S309" s="41"/>
      <c r="T309" s="41"/>
      <c r="U309" s="41"/>
      <c r="V309" s="41"/>
      <c r="W309" s="41"/>
      <c r="X309" s="41"/>
      <c r="Y309" s="41"/>
      <c r="Z309" s="41"/>
    </row>
    <row r="310" spans="1:26" ht="15.75" customHeight="1" x14ac:dyDescent="0.2">
      <c r="A310" s="16"/>
      <c r="B310" s="43"/>
      <c r="C310" s="43"/>
      <c r="D310" s="15"/>
      <c r="E310" s="15"/>
      <c r="F310" s="16"/>
      <c r="G310" s="12"/>
      <c r="H310" s="12"/>
      <c r="I310" s="12"/>
      <c r="J310" s="12"/>
      <c r="K310" s="12"/>
      <c r="L310" s="12"/>
      <c r="M310" s="12"/>
      <c r="N310" s="12"/>
      <c r="O310" s="12"/>
      <c r="P310" s="12"/>
      <c r="Q310" s="16"/>
      <c r="R310" s="41"/>
      <c r="S310" s="41"/>
      <c r="T310" s="41"/>
      <c r="U310" s="41"/>
      <c r="V310" s="41"/>
      <c r="W310" s="41"/>
      <c r="X310" s="41"/>
      <c r="Y310" s="41"/>
      <c r="Z310" s="41"/>
    </row>
    <row r="311" spans="1:26" ht="15.75" customHeight="1" x14ac:dyDescent="0.2">
      <c r="A311" s="16"/>
      <c r="B311" s="43"/>
      <c r="C311" s="43"/>
      <c r="D311" s="15"/>
      <c r="E311" s="15"/>
      <c r="F311" s="16"/>
      <c r="G311" s="12"/>
      <c r="H311" s="12"/>
      <c r="I311" s="12"/>
      <c r="J311" s="12"/>
      <c r="K311" s="12"/>
      <c r="L311" s="12"/>
      <c r="M311" s="12"/>
      <c r="N311" s="12"/>
      <c r="O311" s="12"/>
      <c r="P311" s="12"/>
      <c r="Q311" s="16"/>
      <c r="R311" s="41"/>
      <c r="S311" s="41"/>
      <c r="T311" s="41"/>
      <c r="U311" s="41"/>
      <c r="V311" s="41"/>
      <c r="W311" s="41"/>
      <c r="X311" s="41"/>
      <c r="Y311" s="41"/>
      <c r="Z311" s="41"/>
    </row>
    <row r="312" spans="1:26" ht="15.75" customHeight="1" x14ac:dyDescent="0.2">
      <c r="A312" s="16"/>
      <c r="B312" s="43"/>
      <c r="C312" s="43"/>
      <c r="D312" s="15"/>
      <c r="E312" s="15"/>
      <c r="F312" s="16"/>
      <c r="G312" s="12"/>
      <c r="H312" s="12"/>
      <c r="I312" s="12"/>
      <c r="J312" s="12"/>
      <c r="K312" s="12"/>
      <c r="L312" s="12"/>
      <c r="M312" s="12"/>
      <c r="N312" s="12"/>
      <c r="O312" s="12"/>
      <c r="P312" s="12"/>
      <c r="Q312" s="16"/>
      <c r="R312" s="41"/>
      <c r="S312" s="41"/>
      <c r="T312" s="41"/>
      <c r="U312" s="41"/>
      <c r="V312" s="41"/>
      <c r="W312" s="41"/>
      <c r="X312" s="41"/>
      <c r="Y312" s="41"/>
      <c r="Z312" s="41"/>
    </row>
    <row r="313" spans="1:26" ht="15.75" customHeight="1" x14ac:dyDescent="0.2">
      <c r="A313" s="16"/>
      <c r="B313" s="43"/>
      <c r="C313" s="43"/>
      <c r="D313" s="15"/>
      <c r="E313" s="15"/>
      <c r="F313" s="16"/>
      <c r="G313" s="12"/>
      <c r="H313" s="12"/>
      <c r="I313" s="12"/>
      <c r="J313" s="12"/>
      <c r="K313" s="12"/>
      <c r="L313" s="12"/>
      <c r="M313" s="12"/>
      <c r="N313" s="12"/>
      <c r="O313" s="12"/>
      <c r="P313" s="12"/>
      <c r="Q313" s="16"/>
      <c r="R313" s="41"/>
      <c r="S313" s="41"/>
      <c r="T313" s="41"/>
      <c r="U313" s="41"/>
      <c r="V313" s="41"/>
      <c r="W313" s="41"/>
      <c r="X313" s="41"/>
      <c r="Y313" s="41"/>
      <c r="Z313" s="41"/>
    </row>
    <row r="314" spans="1:26" ht="15.75" customHeight="1" x14ac:dyDescent="0.2">
      <c r="A314" s="16"/>
      <c r="B314" s="43"/>
      <c r="C314" s="43"/>
      <c r="D314" s="15"/>
      <c r="E314" s="15"/>
      <c r="F314" s="16"/>
      <c r="G314" s="12"/>
      <c r="H314" s="12"/>
      <c r="I314" s="12"/>
      <c r="J314" s="12"/>
      <c r="K314" s="12"/>
      <c r="L314" s="12"/>
      <c r="M314" s="12"/>
      <c r="N314" s="12"/>
      <c r="O314" s="12"/>
      <c r="P314" s="12"/>
      <c r="Q314" s="16"/>
      <c r="R314" s="41"/>
      <c r="S314" s="41"/>
      <c r="T314" s="41"/>
      <c r="U314" s="41"/>
      <c r="V314" s="41"/>
      <c r="W314" s="41"/>
      <c r="X314" s="41"/>
      <c r="Y314" s="41"/>
      <c r="Z314" s="41"/>
    </row>
    <row r="315" spans="1:26" ht="15.75" customHeight="1" x14ac:dyDescent="0.2">
      <c r="A315" s="16"/>
      <c r="B315" s="43"/>
      <c r="C315" s="43"/>
      <c r="D315" s="15"/>
      <c r="E315" s="15"/>
      <c r="F315" s="16"/>
      <c r="G315" s="12"/>
      <c r="H315" s="12"/>
      <c r="I315" s="12"/>
      <c r="J315" s="12"/>
      <c r="K315" s="12"/>
      <c r="L315" s="12"/>
      <c r="M315" s="12"/>
      <c r="N315" s="12"/>
      <c r="O315" s="12"/>
      <c r="P315" s="12"/>
      <c r="Q315" s="16"/>
      <c r="R315" s="41"/>
      <c r="S315" s="41"/>
      <c r="T315" s="41"/>
      <c r="U315" s="41"/>
      <c r="V315" s="41"/>
      <c r="W315" s="41"/>
      <c r="X315" s="41"/>
      <c r="Y315" s="41"/>
      <c r="Z315" s="41"/>
    </row>
    <row r="316" spans="1:26" ht="15.75" customHeight="1" x14ac:dyDescent="0.2">
      <c r="A316" s="16"/>
      <c r="B316" s="43"/>
      <c r="C316" s="43"/>
      <c r="D316" s="15"/>
      <c r="E316" s="15"/>
      <c r="F316" s="16"/>
      <c r="G316" s="12"/>
      <c r="H316" s="12"/>
      <c r="I316" s="12"/>
      <c r="J316" s="12"/>
      <c r="K316" s="12"/>
      <c r="L316" s="12"/>
      <c r="M316" s="12"/>
      <c r="N316" s="12"/>
      <c r="O316" s="12"/>
      <c r="P316" s="12"/>
      <c r="Q316" s="16"/>
      <c r="R316" s="41"/>
      <c r="S316" s="41"/>
      <c r="T316" s="41"/>
      <c r="U316" s="41"/>
      <c r="V316" s="41"/>
      <c r="W316" s="41"/>
      <c r="X316" s="41"/>
      <c r="Y316" s="41"/>
      <c r="Z316" s="41"/>
    </row>
    <row r="317" spans="1:26" ht="15.75" customHeight="1" x14ac:dyDescent="0.2">
      <c r="A317" s="16"/>
      <c r="B317" s="43"/>
      <c r="C317" s="43"/>
      <c r="D317" s="15"/>
      <c r="E317" s="15"/>
      <c r="F317" s="16"/>
      <c r="G317" s="12"/>
      <c r="H317" s="12"/>
      <c r="I317" s="12"/>
      <c r="J317" s="12"/>
      <c r="K317" s="12"/>
      <c r="L317" s="12"/>
      <c r="M317" s="12"/>
      <c r="N317" s="12"/>
      <c r="O317" s="12"/>
      <c r="P317" s="12"/>
      <c r="Q317" s="16"/>
      <c r="R317" s="41"/>
      <c r="S317" s="41"/>
      <c r="T317" s="41"/>
      <c r="U317" s="41"/>
      <c r="V317" s="41"/>
      <c r="W317" s="41"/>
      <c r="X317" s="41"/>
      <c r="Y317" s="41"/>
      <c r="Z317" s="41"/>
    </row>
    <row r="318" spans="1:26" ht="15.75" customHeight="1" x14ac:dyDescent="0.2">
      <c r="A318" s="16"/>
      <c r="B318" s="43"/>
      <c r="C318" s="43"/>
      <c r="D318" s="15"/>
      <c r="E318" s="15"/>
      <c r="F318" s="16"/>
      <c r="G318" s="12"/>
      <c r="H318" s="12"/>
      <c r="I318" s="12"/>
      <c r="J318" s="12"/>
      <c r="K318" s="12"/>
      <c r="L318" s="12"/>
      <c r="M318" s="12"/>
      <c r="N318" s="12"/>
      <c r="O318" s="12"/>
      <c r="P318" s="12"/>
      <c r="Q318" s="16"/>
      <c r="R318" s="41"/>
      <c r="S318" s="41"/>
      <c r="T318" s="41"/>
      <c r="U318" s="41"/>
      <c r="V318" s="41"/>
      <c r="W318" s="41"/>
      <c r="X318" s="41"/>
      <c r="Y318" s="41"/>
      <c r="Z318" s="41"/>
    </row>
    <row r="319" spans="1:26" ht="15.75" customHeight="1" x14ac:dyDescent="0.2">
      <c r="A319" s="16"/>
      <c r="B319" s="43"/>
      <c r="C319" s="43"/>
      <c r="D319" s="15"/>
      <c r="E319" s="15"/>
      <c r="F319" s="16"/>
      <c r="G319" s="12"/>
      <c r="H319" s="12"/>
      <c r="I319" s="12"/>
      <c r="J319" s="12"/>
      <c r="K319" s="12"/>
      <c r="L319" s="12"/>
      <c r="M319" s="12"/>
      <c r="N319" s="12"/>
      <c r="O319" s="12"/>
      <c r="P319" s="12"/>
      <c r="Q319" s="16"/>
      <c r="R319" s="41"/>
      <c r="S319" s="41"/>
      <c r="T319" s="41"/>
      <c r="U319" s="41"/>
      <c r="V319" s="41"/>
      <c r="W319" s="41"/>
      <c r="X319" s="41"/>
      <c r="Y319" s="41"/>
      <c r="Z319" s="41"/>
    </row>
    <row r="320" spans="1:26" ht="15.75" customHeight="1" x14ac:dyDescent="0.2">
      <c r="A320" s="16"/>
      <c r="B320" s="43"/>
      <c r="C320" s="43"/>
      <c r="D320" s="15"/>
      <c r="E320" s="15"/>
      <c r="F320" s="16"/>
      <c r="G320" s="12"/>
      <c r="H320" s="12"/>
      <c r="I320" s="12"/>
      <c r="J320" s="12"/>
      <c r="K320" s="12"/>
      <c r="L320" s="12"/>
      <c r="M320" s="12"/>
      <c r="N320" s="12"/>
      <c r="O320" s="12"/>
      <c r="P320" s="12"/>
      <c r="Q320" s="16"/>
      <c r="R320" s="41"/>
      <c r="S320" s="41"/>
      <c r="T320" s="41"/>
      <c r="U320" s="41"/>
      <c r="V320" s="41"/>
      <c r="W320" s="41"/>
      <c r="X320" s="41"/>
      <c r="Y320" s="41"/>
      <c r="Z320" s="41"/>
    </row>
    <row r="321" spans="1:26" ht="15.75" customHeight="1" x14ac:dyDescent="0.2">
      <c r="A321" s="16"/>
      <c r="B321" s="43"/>
      <c r="C321" s="43"/>
      <c r="D321" s="15"/>
      <c r="E321" s="15"/>
      <c r="F321" s="16"/>
      <c r="G321" s="12"/>
      <c r="H321" s="12"/>
      <c r="I321" s="12"/>
      <c r="J321" s="12"/>
      <c r="K321" s="12"/>
      <c r="L321" s="12"/>
      <c r="M321" s="12"/>
      <c r="N321" s="12"/>
      <c r="O321" s="12"/>
      <c r="P321" s="12"/>
      <c r="Q321" s="16"/>
      <c r="R321" s="41"/>
      <c r="S321" s="41"/>
      <c r="T321" s="41"/>
      <c r="U321" s="41"/>
      <c r="V321" s="41"/>
      <c r="W321" s="41"/>
      <c r="X321" s="41"/>
      <c r="Y321" s="41"/>
      <c r="Z321" s="41"/>
    </row>
    <row r="322" spans="1:26" ht="15.75" customHeight="1" x14ac:dyDescent="0.2">
      <c r="A322" s="16"/>
      <c r="B322" s="43"/>
      <c r="C322" s="43"/>
      <c r="D322" s="15"/>
      <c r="E322" s="15"/>
      <c r="F322" s="16"/>
      <c r="G322" s="12"/>
      <c r="H322" s="12"/>
      <c r="I322" s="12"/>
      <c r="J322" s="12"/>
      <c r="K322" s="12"/>
      <c r="L322" s="12"/>
      <c r="M322" s="12"/>
      <c r="N322" s="12"/>
      <c r="O322" s="12"/>
      <c r="P322" s="12"/>
      <c r="Q322" s="16"/>
      <c r="R322" s="41"/>
      <c r="S322" s="41"/>
      <c r="T322" s="41"/>
      <c r="U322" s="41"/>
      <c r="V322" s="41"/>
      <c r="W322" s="41"/>
      <c r="X322" s="41"/>
      <c r="Y322" s="41"/>
      <c r="Z322" s="41"/>
    </row>
    <row r="323" spans="1:26" ht="15.75" customHeight="1" x14ac:dyDescent="0.2">
      <c r="A323" s="16"/>
      <c r="B323" s="43"/>
      <c r="C323" s="43"/>
      <c r="D323" s="15"/>
      <c r="E323" s="15"/>
      <c r="F323" s="16"/>
      <c r="G323" s="12"/>
      <c r="H323" s="12"/>
      <c r="I323" s="12"/>
      <c r="J323" s="12"/>
      <c r="K323" s="12"/>
      <c r="L323" s="12"/>
      <c r="M323" s="12"/>
      <c r="N323" s="12"/>
      <c r="O323" s="12"/>
      <c r="P323" s="12"/>
      <c r="Q323" s="16"/>
      <c r="R323" s="41"/>
      <c r="S323" s="41"/>
      <c r="T323" s="41"/>
      <c r="U323" s="41"/>
      <c r="V323" s="41"/>
      <c r="W323" s="41"/>
      <c r="X323" s="41"/>
      <c r="Y323" s="41"/>
      <c r="Z323" s="41"/>
    </row>
    <row r="324" spans="1:26" ht="15.75" customHeight="1" x14ac:dyDescent="0.2">
      <c r="A324" s="16"/>
      <c r="B324" s="43"/>
      <c r="C324" s="43"/>
      <c r="D324" s="15"/>
      <c r="E324" s="15"/>
      <c r="F324" s="16"/>
      <c r="G324" s="12"/>
      <c r="H324" s="12"/>
      <c r="I324" s="12"/>
      <c r="J324" s="12"/>
      <c r="K324" s="12"/>
      <c r="L324" s="12"/>
      <c r="M324" s="12"/>
      <c r="N324" s="12"/>
      <c r="O324" s="12"/>
      <c r="P324" s="12"/>
      <c r="Q324" s="16"/>
      <c r="R324" s="41"/>
      <c r="S324" s="41"/>
      <c r="T324" s="41"/>
      <c r="U324" s="41"/>
      <c r="V324" s="41"/>
      <c r="W324" s="41"/>
      <c r="X324" s="41"/>
      <c r="Y324" s="41"/>
      <c r="Z324" s="41"/>
    </row>
    <row r="325" spans="1:26" ht="15.75" customHeight="1" x14ac:dyDescent="0.2">
      <c r="A325" s="16"/>
      <c r="B325" s="43"/>
      <c r="C325" s="43"/>
      <c r="D325" s="15"/>
      <c r="E325" s="15"/>
      <c r="F325" s="16"/>
      <c r="G325" s="12"/>
      <c r="H325" s="12"/>
      <c r="I325" s="12"/>
      <c r="J325" s="12"/>
      <c r="K325" s="12"/>
      <c r="L325" s="12"/>
      <c r="M325" s="12"/>
      <c r="N325" s="12"/>
      <c r="O325" s="12"/>
      <c r="P325" s="12"/>
      <c r="Q325" s="16"/>
      <c r="R325" s="41"/>
      <c r="S325" s="41"/>
      <c r="T325" s="41"/>
      <c r="U325" s="41"/>
      <c r="V325" s="41"/>
      <c r="W325" s="41"/>
      <c r="X325" s="41"/>
      <c r="Y325" s="41"/>
      <c r="Z325" s="41"/>
    </row>
    <row r="326" spans="1:26" ht="15.75" customHeight="1" x14ac:dyDescent="0.2">
      <c r="A326" s="16"/>
      <c r="B326" s="43"/>
      <c r="C326" s="43"/>
      <c r="D326" s="15"/>
      <c r="E326" s="15"/>
      <c r="F326" s="16"/>
      <c r="G326" s="12"/>
      <c r="H326" s="12"/>
      <c r="I326" s="12"/>
      <c r="J326" s="12"/>
      <c r="K326" s="12"/>
      <c r="L326" s="12"/>
      <c r="M326" s="12"/>
      <c r="N326" s="12"/>
      <c r="O326" s="12"/>
      <c r="P326" s="12"/>
      <c r="Q326" s="16"/>
      <c r="R326" s="41"/>
      <c r="S326" s="41"/>
      <c r="T326" s="41"/>
      <c r="U326" s="41"/>
      <c r="V326" s="41"/>
      <c r="W326" s="41"/>
      <c r="X326" s="41"/>
      <c r="Y326" s="41"/>
      <c r="Z326" s="41"/>
    </row>
    <row r="327" spans="1:26" ht="15.75" customHeight="1" x14ac:dyDescent="0.2">
      <c r="A327" s="16"/>
      <c r="B327" s="43"/>
      <c r="C327" s="43"/>
      <c r="D327" s="15"/>
      <c r="E327" s="15"/>
      <c r="F327" s="16"/>
      <c r="G327" s="12"/>
      <c r="H327" s="12"/>
      <c r="I327" s="12"/>
      <c r="J327" s="12"/>
      <c r="K327" s="12"/>
      <c r="L327" s="12"/>
      <c r="M327" s="12"/>
      <c r="N327" s="12"/>
      <c r="O327" s="12"/>
      <c r="P327" s="12"/>
      <c r="Q327" s="16"/>
      <c r="R327" s="41"/>
      <c r="S327" s="41"/>
      <c r="T327" s="41"/>
      <c r="U327" s="41"/>
      <c r="V327" s="41"/>
      <c r="W327" s="41"/>
      <c r="X327" s="41"/>
      <c r="Y327" s="41"/>
      <c r="Z327" s="41"/>
    </row>
    <row r="328" spans="1:26" ht="15.75" customHeight="1" x14ac:dyDescent="0.2">
      <c r="A328" s="16"/>
      <c r="B328" s="43"/>
      <c r="C328" s="43"/>
      <c r="D328" s="15"/>
      <c r="E328" s="15"/>
      <c r="F328" s="16"/>
      <c r="G328" s="12"/>
      <c r="H328" s="12"/>
      <c r="I328" s="12"/>
      <c r="J328" s="12"/>
      <c r="K328" s="12"/>
      <c r="L328" s="12"/>
      <c r="M328" s="12"/>
      <c r="N328" s="12"/>
      <c r="O328" s="12"/>
      <c r="P328" s="12"/>
      <c r="Q328" s="16"/>
      <c r="R328" s="41"/>
      <c r="S328" s="41"/>
      <c r="T328" s="41"/>
      <c r="U328" s="41"/>
      <c r="V328" s="41"/>
      <c r="W328" s="41"/>
      <c r="X328" s="41"/>
      <c r="Y328" s="41"/>
      <c r="Z328" s="41"/>
    </row>
    <row r="329" spans="1:26" ht="15.75"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hyperlinks>
    <hyperlink ref="A2" r:id="rId1" xr:uid="{00000000-0004-0000-1400-000000000000}"/>
    <hyperlink ref="Q3" r:id="rId2" location="elite" xr:uid="{00000000-0004-0000-1400-000001000000}"/>
    <hyperlink ref="Q4" r:id="rId3" xr:uid="{00000000-0004-0000-1400-000002000000}"/>
    <hyperlink ref="Q5" r:id="rId4" xr:uid="{00000000-0004-0000-1400-000003000000}"/>
    <hyperlink ref="Q6" r:id="rId5" xr:uid="{00000000-0004-0000-1400-000004000000}"/>
    <hyperlink ref="Q7" r:id="rId6" xr:uid="{00000000-0004-0000-1400-000005000000}"/>
    <hyperlink ref="Q8" r:id="rId7" xr:uid="{00000000-0004-0000-1400-000006000000}"/>
    <hyperlink ref="Q9" r:id="rId8" xr:uid="{00000000-0004-0000-1400-000007000000}"/>
    <hyperlink ref="Q10" r:id="rId9" xr:uid="{00000000-0004-0000-1400-000008000000}"/>
    <hyperlink ref="Q11" r:id="rId10" xr:uid="{00000000-0004-0000-1400-000009000000}"/>
    <hyperlink ref="Q12" r:id="rId11" xr:uid="{00000000-0004-0000-1400-00000A000000}"/>
    <hyperlink ref="Q13" r:id="rId12" location="Equipment_Chest" xr:uid="{00000000-0004-0000-1400-00000B000000}"/>
  </hyperlink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DJ318"/>
  <sheetViews>
    <sheetView workbookViewId="0"/>
  </sheetViews>
  <sheetFormatPr baseColWidth="10" defaultColWidth="14.5" defaultRowHeight="15" customHeight="1" x14ac:dyDescent="0.15"/>
  <cols>
    <col min="1" max="6" width="14.33203125" customWidth="1"/>
    <col min="7" max="32" width="13" customWidth="1"/>
    <col min="34" max="59" width="13" customWidth="1"/>
    <col min="60" max="60" width="8.6640625" customWidth="1"/>
    <col min="61" max="86" width="13" customWidth="1"/>
    <col min="88" max="113" width="13" customWidth="1"/>
  </cols>
  <sheetData>
    <row r="1" spans="1:114" ht="15.75" customHeight="1" x14ac:dyDescent="0.15">
      <c r="A1" s="38" t="s">
        <v>1175</v>
      </c>
      <c r="B1" s="38"/>
      <c r="C1" s="38"/>
      <c r="D1" s="38"/>
      <c r="E1" s="38"/>
      <c r="F1" s="38"/>
      <c r="G1" s="38" t="s">
        <v>1176</v>
      </c>
      <c r="H1" s="138"/>
      <c r="I1" s="138"/>
      <c r="J1" s="3"/>
      <c r="K1" s="3"/>
      <c r="L1" s="3"/>
      <c r="M1" s="40"/>
      <c r="N1" s="40"/>
      <c r="O1" s="138"/>
      <c r="P1" s="138"/>
      <c r="Q1" s="2"/>
      <c r="R1" s="2"/>
      <c r="S1" s="40"/>
      <c r="T1" s="40"/>
      <c r="U1" s="38"/>
      <c r="V1" s="40"/>
      <c r="W1" s="40"/>
      <c r="X1" s="38"/>
      <c r="Y1" s="40"/>
      <c r="Z1" s="40"/>
      <c r="AA1" s="2"/>
      <c r="AB1" s="2"/>
      <c r="AC1" s="2"/>
      <c r="AD1" s="2"/>
      <c r="AE1" s="2"/>
      <c r="AF1" s="2"/>
      <c r="AG1" s="2"/>
      <c r="AH1" s="38" t="s">
        <v>1177</v>
      </c>
      <c r="AI1" s="138"/>
      <c r="AJ1" s="138"/>
      <c r="AK1" s="3"/>
      <c r="AL1" s="3"/>
      <c r="AM1" s="3"/>
      <c r="AN1" s="40"/>
      <c r="AO1" s="40"/>
      <c r="AP1" s="138"/>
      <c r="AQ1" s="138"/>
      <c r="AR1" s="2"/>
      <c r="AS1" s="2"/>
      <c r="AT1" s="40"/>
      <c r="AU1" s="40"/>
      <c r="AV1" s="38"/>
      <c r="AW1" s="40"/>
      <c r="AX1" s="40"/>
      <c r="AY1" s="38"/>
      <c r="AZ1" s="40"/>
      <c r="BA1" s="40"/>
      <c r="BB1" s="2"/>
      <c r="BC1" s="2"/>
      <c r="BD1" s="2"/>
      <c r="BE1" s="2"/>
      <c r="BF1" s="2"/>
      <c r="BG1" s="2"/>
      <c r="BH1" s="2"/>
      <c r="BI1" s="38" t="s">
        <v>1178</v>
      </c>
      <c r="BJ1" s="138"/>
      <c r="BK1" s="138"/>
      <c r="BL1" s="3"/>
      <c r="BM1" s="3"/>
      <c r="BN1" s="3"/>
      <c r="BO1" s="40"/>
      <c r="BP1" s="40"/>
      <c r="BQ1" s="138"/>
      <c r="BR1" s="138"/>
      <c r="BS1" s="2"/>
      <c r="BT1" s="2"/>
      <c r="BU1" s="40"/>
      <c r="BV1" s="40"/>
      <c r="BW1" s="38"/>
      <c r="BX1" s="40"/>
      <c r="BY1" s="40"/>
      <c r="BZ1" s="38"/>
      <c r="CA1" s="40"/>
      <c r="CB1" s="40"/>
      <c r="CC1" s="2"/>
      <c r="CD1" s="2"/>
      <c r="CE1" s="2"/>
      <c r="CF1" s="2"/>
      <c r="CG1" s="2"/>
      <c r="CH1" s="2"/>
      <c r="CI1" s="2"/>
      <c r="CJ1" s="38" t="s">
        <v>1179</v>
      </c>
      <c r="CK1" s="138"/>
      <c r="CL1" s="138"/>
      <c r="CM1" s="3"/>
      <c r="CN1" s="3"/>
      <c r="CO1" s="3"/>
      <c r="CP1" s="40"/>
      <c r="CQ1" s="40"/>
      <c r="CR1" s="138"/>
      <c r="CS1" s="138"/>
      <c r="CT1" s="2"/>
      <c r="CU1" s="2"/>
      <c r="CV1" s="40"/>
      <c r="CW1" s="40"/>
      <c r="CX1" s="38"/>
      <c r="CY1" s="40"/>
      <c r="CZ1" s="40"/>
      <c r="DA1" s="38"/>
      <c r="DB1" s="40"/>
      <c r="DC1" s="40"/>
      <c r="DD1" s="2"/>
      <c r="DE1" s="2"/>
      <c r="DF1" s="2"/>
      <c r="DG1" s="2"/>
      <c r="DH1" s="2"/>
      <c r="DI1" s="2"/>
      <c r="DJ1" s="2"/>
    </row>
    <row r="2" spans="1:114" ht="15.75" customHeight="1" x14ac:dyDescent="0.15">
      <c r="A2" s="186" t="s">
        <v>8</v>
      </c>
      <c r="B2" s="186" t="s">
        <v>1180</v>
      </c>
      <c r="C2" s="186" t="s">
        <v>1181</v>
      </c>
      <c r="D2" s="186" t="s">
        <v>1182</v>
      </c>
      <c r="E2" s="186" t="s">
        <v>1183</v>
      </c>
      <c r="F2" s="187"/>
      <c r="G2" s="188" t="s">
        <v>1184</v>
      </c>
      <c r="H2" s="51"/>
      <c r="I2" s="51"/>
      <c r="J2" s="51"/>
      <c r="K2" s="51"/>
      <c r="L2" s="51"/>
      <c r="M2" s="51"/>
      <c r="N2" s="51"/>
      <c r="O2" s="51"/>
      <c r="P2" s="51"/>
      <c r="Q2" s="51"/>
      <c r="R2" s="51"/>
      <c r="S2" s="51"/>
      <c r="T2" s="51"/>
      <c r="U2" s="51"/>
      <c r="V2" s="51"/>
      <c r="W2" s="51"/>
      <c r="X2" s="51"/>
      <c r="Y2" s="51"/>
      <c r="Z2" s="51"/>
      <c r="AA2" s="51"/>
      <c r="AB2" s="51"/>
      <c r="AC2" s="51"/>
      <c r="AD2" s="51"/>
      <c r="AE2" s="51"/>
      <c r="AF2" s="51"/>
      <c r="AG2" s="12"/>
      <c r="AH2" s="188" t="s">
        <v>1184</v>
      </c>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12"/>
      <c r="BI2" s="188" t="s">
        <v>1184</v>
      </c>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12"/>
      <c r="CJ2" s="188" t="s">
        <v>1184</v>
      </c>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12"/>
    </row>
    <row r="3" spans="1:114" ht="15.75" customHeight="1" x14ac:dyDescent="0.15">
      <c r="A3" s="65" t="s">
        <v>5</v>
      </c>
      <c r="B3" s="189">
        <f>Q29</f>
        <v>4.1097759999999992</v>
      </c>
      <c r="C3" s="189">
        <f>Q59</f>
        <v>10.220345466666666</v>
      </c>
      <c r="D3" s="189">
        <f t="shared" ref="D3:D6" si="0">B3*C3</f>
        <v>42.003330510615456</v>
      </c>
      <c r="E3" s="190">
        <f t="shared" ref="E3:E6" si="1">D3/60</f>
        <v>0.70005550851025755</v>
      </c>
      <c r="F3" s="191"/>
      <c r="G3" s="192" t="s">
        <v>1185</v>
      </c>
      <c r="H3" s="192" t="s">
        <v>1186</v>
      </c>
      <c r="I3" s="192" t="s">
        <v>1187</v>
      </c>
      <c r="J3" s="192" t="s">
        <v>1188</v>
      </c>
      <c r="K3" s="192" t="s">
        <v>1189</v>
      </c>
      <c r="L3" s="192" t="s">
        <v>1190</v>
      </c>
      <c r="M3" s="192" t="s">
        <v>1191</v>
      </c>
      <c r="N3" s="192" t="s">
        <v>1192</v>
      </c>
      <c r="O3" s="192" t="s">
        <v>1193</v>
      </c>
      <c r="P3" s="192" t="s">
        <v>1194</v>
      </c>
      <c r="Q3" s="192" t="s">
        <v>1195</v>
      </c>
      <c r="R3" s="192" t="s">
        <v>1196</v>
      </c>
      <c r="S3" s="192" t="s">
        <v>1197</v>
      </c>
      <c r="T3" s="192" t="s">
        <v>1198</v>
      </c>
      <c r="U3" s="192" t="s">
        <v>1199</v>
      </c>
      <c r="V3" s="192" t="s">
        <v>1200</v>
      </c>
      <c r="W3" s="192" t="s">
        <v>1201</v>
      </c>
      <c r="X3" s="192" t="s">
        <v>1202</v>
      </c>
      <c r="Y3" s="192" t="s">
        <v>1203</v>
      </c>
      <c r="Z3" s="192" t="s">
        <v>1204</v>
      </c>
      <c r="AA3" s="192" t="s">
        <v>1205</v>
      </c>
      <c r="AB3" s="192" t="s">
        <v>1206</v>
      </c>
      <c r="AC3" s="192" t="s">
        <v>1207</v>
      </c>
      <c r="AD3" s="192" t="s">
        <v>1208</v>
      </c>
      <c r="AE3" s="192" t="s">
        <v>1209</v>
      </c>
      <c r="AF3" s="192" t="s">
        <v>1210</v>
      </c>
      <c r="AG3" s="193"/>
      <c r="AH3" s="192" t="s">
        <v>1185</v>
      </c>
      <c r="AI3" s="192" t="s">
        <v>1186</v>
      </c>
      <c r="AJ3" s="192" t="s">
        <v>1187</v>
      </c>
      <c r="AK3" s="192" t="s">
        <v>1188</v>
      </c>
      <c r="AL3" s="192" t="s">
        <v>1189</v>
      </c>
      <c r="AM3" s="192" t="s">
        <v>1190</v>
      </c>
      <c r="AN3" s="192" t="s">
        <v>1191</v>
      </c>
      <c r="AO3" s="192" t="s">
        <v>1192</v>
      </c>
      <c r="AP3" s="192" t="s">
        <v>1193</v>
      </c>
      <c r="AQ3" s="192" t="s">
        <v>1194</v>
      </c>
      <c r="AR3" s="192" t="s">
        <v>1195</v>
      </c>
      <c r="AS3" s="192" t="s">
        <v>1196</v>
      </c>
      <c r="AT3" s="192" t="s">
        <v>1197</v>
      </c>
      <c r="AU3" s="192" t="s">
        <v>1198</v>
      </c>
      <c r="AV3" s="192" t="s">
        <v>1199</v>
      </c>
      <c r="AW3" s="192" t="s">
        <v>1200</v>
      </c>
      <c r="AX3" s="192" t="s">
        <v>1201</v>
      </c>
      <c r="AY3" s="192" t="s">
        <v>1202</v>
      </c>
      <c r="AZ3" s="192" t="s">
        <v>1203</v>
      </c>
      <c r="BA3" s="192" t="s">
        <v>1204</v>
      </c>
      <c r="BB3" s="192" t="s">
        <v>1205</v>
      </c>
      <c r="BC3" s="192" t="s">
        <v>1206</v>
      </c>
      <c r="BD3" s="192" t="s">
        <v>1207</v>
      </c>
      <c r="BE3" s="192" t="s">
        <v>1208</v>
      </c>
      <c r="BF3" s="192" t="s">
        <v>1209</v>
      </c>
      <c r="BG3" s="192" t="s">
        <v>1210</v>
      </c>
      <c r="BH3" s="193"/>
      <c r="BI3" s="192" t="s">
        <v>1185</v>
      </c>
      <c r="BJ3" s="192" t="s">
        <v>1186</v>
      </c>
      <c r="BK3" s="192" t="s">
        <v>1187</v>
      </c>
      <c r="BL3" s="192" t="s">
        <v>1188</v>
      </c>
      <c r="BM3" s="192" t="s">
        <v>1189</v>
      </c>
      <c r="BN3" s="192" t="s">
        <v>1190</v>
      </c>
      <c r="BO3" s="192" t="s">
        <v>1191</v>
      </c>
      <c r="BP3" s="192" t="s">
        <v>1192</v>
      </c>
      <c r="BQ3" s="192" t="s">
        <v>1193</v>
      </c>
      <c r="BR3" s="194" t="s">
        <v>1194</v>
      </c>
      <c r="BS3" s="192" t="s">
        <v>1195</v>
      </c>
      <c r="BT3" s="195" t="s">
        <v>1196</v>
      </c>
      <c r="BU3" s="195" t="s">
        <v>1197</v>
      </c>
      <c r="BV3" s="195" t="s">
        <v>1198</v>
      </c>
      <c r="BW3" s="195" t="s">
        <v>1199</v>
      </c>
      <c r="BX3" s="195" t="s">
        <v>1200</v>
      </c>
      <c r="BY3" s="195" t="s">
        <v>1201</v>
      </c>
      <c r="BZ3" s="195" t="s">
        <v>1202</v>
      </c>
      <c r="CA3" s="195" t="s">
        <v>1203</v>
      </c>
      <c r="CB3" s="195" t="s">
        <v>1204</v>
      </c>
      <c r="CC3" s="195" t="s">
        <v>1205</v>
      </c>
      <c r="CD3" s="195" t="s">
        <v>1206</v>
      </c>
      <c r="CE3" s="195" t="s">
        <v>1207</v>
      </c>
      <c r="CF3" s="195" t="s">
        <v>1208</v>
      </c>
      <c r="CG3" s="195" t="s">
        <v>1209</v>
      </c>
      <c r="CH3" s="195" t="s">
        <v>1210</v>
      </c>
      <c r="CI3" s="193"/>
      <c r="CJ3" s="192" t="s">
        <v>1185</v>
      </c>
      <c r="CK3" s="192" t="s">
        <v>1186</v>
      </c>
      <c r="CL3" s="192" t="s">
        <v>1187</v>
      </c>
      <c r="CM3" s="192" t="s">
        <v>1188</v>
      </c>
      <c r="CN3" s="192" t="s">
        <v>1189</v>
      </c>
      <c r="CO3" s="192" t="s">
        <v>1190</v>
      </c>
      <c r="CP3" s="192" t="s">
        <v>1191</v>
      </c>
      <c r="CQ3" s="192" t="s">
        <v>1192</v>
      </c>
      <c r="CR3" s="192" t="s">
        <v>1193</v>
      </c>
      <c r="CS3" s="192" t="s">
        <v>1194</v>
      </c>
      <c r="CT3" s="192" t="s">
        <v>1195</v>
      </c>
      <c r="CU3" s="192" t="s">
        <v>1196</v>
      </c>
      <c r="CV3" s="192" t="s">
        <v>1197</v>
      </c>
      <c r="CW3" s="192" t="s">
        <v>1198</v>
      </c>
      <c r="CX3" s="192" t="s">
        <v>1199</v>
      </c>
      <c r="CY3" s="192" t="s">
        <v>1200</v>
      </c>
      <c r="CZ3" s="192" t="s">
        <v>1201</v>
      </c>
      <c r="DA3" s="192" t="s">
        <v>1202</v>
      </c>
      <c r="DB3" s="192" t="s">
        <v>1203</v>
      </c>
      <c r="DC3" s="192" t="s">
        <v>1204</v>
      </c>
      <c r="DD3" s="192" t="s">
        <v>1205</v>
      </c>
      <c r="DE3" s="192" t="s">
        <v>1206</v>
      </c>
      <c r="DF3" s="192" t="s">
        <v>1207</v>
      </c>
      <c r="DG3" s="192" t="s">
        <v>1208</v>
      </c>
      <c r="DH3" s="192" t="s">
        <v>1209</v>
      </c>
      <c r="DI3" s="192" t="s">
        <v>1210</v>
      </c>
      <c r="DJ3" s="193"/>
    </row>
    <row r="4" spans="1:114" ht="15.75" customHeight="1" x14ac:dyDescent="0.2">
      <c r="A4" s="65" t="s">
        <v>4</v>
      </c>
      <c r="B4" s="190">
        <f>AR39</f>
        <v>3.4647057142857149</v>
      </c>
      <c r="C4" s="189">
        <f>AR79</f>
        <v>8.7351753809523807</v>
      </c>
      <c r="D4" s="189">
        <f t="shared" si="0"/>
        <v>30.264812057673609</v>
      </c>
      <c r="E4" s="190">
        <f t="shared" si="1"/>
        <v>0.50441353429456015</v>
      </c>
      <c r="F4" s="196"/>
      <c r="G4" s="65" t="s">
        <v>1211</v>
      </c>
      <c r="H4" s="65" t="s">
        <v>1212</v>
      </c>
      <c r="I4" s="65" t="s">
        <v>1213</v>
      </c>
      <c r="J4" s="65" t="s">
        <v>1214</v>
      </c>
      <c r="K4" s="65">
        <v>880047117</v>
      </c>
      <c r="L4" s="65" t="s">
        <v>1212</v>
      </c>
      <c r="M4" s="65">
        <v>298910979</v>
      </c>
      <c r="N4" s="65" t="s">
        <v>1215</v>
      </c>
      <c r="O4" s="65" t="s">
        <v>1216</v>
      </c>
      <c r="P4" s="197">
        <v>44013</v>
      </c>
      <c r="Q4" s="65">
        <v>3.2890000000000001</v>
      </c>
      <c r="R4" s="198">
        <v>0.4965</v>
      </c>
      <c r="S4" s="198">
        <v>0.16420000000000001</v>
      </c>
      <c r="T4" s="198">
        <v>8.5900000000000004E-2</v>
      </c>
      <c r="U4" s="198">
        <v>5.4300000000000001E-2</v>
      </c>
      <c r="V4" s="198">
        <v>3.7999999999999999E-2</v>
      </c>
      <c r="W4" s="198">
        <v>2.8400000000000002E-2</v>
      </c>
      <c r="X4" s="198">
        <v>2.2200000000000001E-2</v>
      </c>
      <c r="Y4" s="198">
        <v>1.7899999999999999E-2</v>
      </c>
      <c r="Z4" s="198">
        <v>6.9800000000000001E-2</v>
      </c>
      <c r="AA4" s="198">
        <v>1.7899999999999999E-2</v>
      </c>
      <c r="AB4" s="198">
        <v>3.5999999999999999E-3</v>
      </c>
      <c r="AC4" s="198">
        <v>1.1000000000000001E-3</v>
      </c>
      <c r="AD4" s="198">
        <v>1E-4</v>
      </c>
      <c r="AE4" s="198">
        <v>0</v>
      </c>
      <c r="AF4" s="198">
        <v>0</v>
      </c>
      <c r="AG4" s="199"/>
      <c r="AH4" s="65" t="s">
        <v>1217</v>
      </c>
      <c r="AI4" s="65" t="s">
        <v>1218</v>
      </c>
      <c r="AJ4" s="65" t="s">
        <v>1219</v>
      </c>
      <c r="AK4" s="65" t="s">
        <v>1220</v>
      </c>
      <c r="AL4" s="65">
        <v>509000000</v>
      </c>
      <c r="AM4" s="65" t="s">
        <v>1221</v>
      </c>
      <c r="AN4" s="65">
        <v>311000000</v>
      </c>
      <c r="AO4" s="65" t="s">
        <v>1222</v>
      </c>
      <c r="AP4" s="65" t="s">
        <v>1216</v>
      </c>
      <c r="AQ4" s="197">
        <v>44013</v>
      </c>
      <c r="AR4" s="65">
        <v>2.0545</v>
      </c>
      <c r="AS4" s="198">
        <v>0.65410000000000001</v>
      </c>
      <c r="AT4" s="198">
        <v>0.15359999999999999</v>
      </c>
      <c r="AU4" s="198">
        <v>6.5799999999999997E-2</v>
      </c>
      <c r="AV4" s="198">
        <v>3.61E-2</v>
      </c>
      <c r="AW4" s="198">
        <v>2.2599999999999999E-2</v>
      </c>
      <c r="AX4" s="198">
        <v>1.55E-2</v>
      </c>
      <c r="AY4" s="198">
        <v>1.12E-2</v>
      </c>
      <c r="AZ4" s="198">
        <v>8.5000000000000006E-3</v>
      </c>
      <c r="BA4" s="198">
        <v>2.7799999999999998E-2</v>
      </c>
      <c r="BB4" s="198">
        <v>4.7000000000000002E-3</v>
      </c>
      <c r="BC4" s="198">
        <v>1E-4</v>
      </c>
      <c r="BD4" s="198">
        <v>0</v>
      </c>
      <c r="BE4" s="198">
        <v>0</v>
      </c>
      <c r="BF4" s="198">
        <v>0</v>
      </c>
      <c r="BG4" s="198">
        <v>0</v>
      </c>
      <c r="BH4" s="199"/>
      <c r="BI4" s="65" t="s">
        <v>1223</v>
      </c>
      <c r="BJ4" s="65" t="s">
        <v>1224</v>
      </c>
      <c r="BK4" s="65" t="s">
        <v>1225</v>
      </c>
      <c r="BL4" s="65" t="s">
        <v>1226</v>
      </c>
      <c r="BM4" s="65">
        <v>1000000000</v>
      </c>
      <c r="BN4" s="65" t="s">
        <v>1224</v>
      </c>
      <c r="BO4" s="65">
        <v>303000000</v>
      </c>
      <c r="BP4" s="65" t="s">
        <v>1227</v>
      </c>
      <c r="BQ4" s="65" t="s">
        <v>1216</v>
      </c>
      <c r="BR4" s="197">
        <v>44013</v>
      </c>
      <c r="BS4" s="65">
        <v>4.431</v>
      </c>
      <c r="BT4" s="198">
        <v>0.43359999999999999</v>
      </c>
      <c r="BU4" s="198">
        <v>0.16059999999999999</v>
      </c>
      <c r="BV4" s="198">
        <v>8.9800000000000005E-2</v>
      </c>
      <c r="BW4" s="198">
        <v>5.9499999999999997E-2</v>
      </c>
      <c r="BX4" s="198">
        <v>4.3200000000000002E-2</v>
      </c>
      <c r="BY4" s="198">
        <v>3.3300000000000003E-2</v>
      </c>
      <c r="BZ4" s="198">
        <v>2.6700000000000002E-2</v>
      </c>
      <c r="CA4" s="198">
        <v>2.1999999999999999E-2</v>
      </c>
      <c r="CB4" s="198">
        <v>9.0700000000000003E-2</v>
      </c>
      <c r="CC4" s="198">
        <v>2.7E-2</v>
      </c>
      <c r="CD4" s="198">
        <v>7.6E-3</v>
      </c>
      <c r="CE4" s="198">
        <v>3.7000000000000002E-3</v>
      </c>
      <c r="CF4" s="198">
        <v>2.3E-3</v>
      </c>
      <c r="CG4" s="198">
        <v>0</v>
      </c>
      <c r="CH4" s="198">
        <v>0</v>
      </c>
      <c r="CI4" s="199"/>
      <c r="CJ4" s="65" t="s">
        <v>1228</v>
      </c>
      <c r="CK4" s="65" t="s">
        <v>1229</v>
      </c>
      <c r="CL4" s="65" t="s">
        <v>1230</v>
      </c>
      <c r="CM4" s="65" t="s">
        <v>1231</v>
      </c>
      <c r="CN4" s="65">
        <v>1071310449</v>
      </c>
      <c r="CO4" s="65" t="s">
        <v>1229</v>
      </c>
      <c r="CP4" s="65">
        <v>575608309</v>
      </c>
      <c r="CQ4" s="65" t="s">
        <v>1232</v>
      </c>
      <c r="CR4" s="65" t="s">
        <v>1216</v>
      </c>
      <c r="CS4" s="197">
        <v>44013</v>
      </c>
      <c r="CT4" s="65">
        <v>3.472</v>
      </c>
      <c r="CU4" s="198">
        <v>0.46710000000000002</v>
      </c>
      <c r="CV4" s="198">
        <v>0.1638</v>
      </c>
      <c r="CW4" s="198">
        <v>8.8700000000000001E-2</v>
      </c>
      <c r="CX4" s="198">
        <v>5.74E-2</v>
      </c>
      <c r="CY4" s="198">
        <v>4.1000000000000002E-2</v>
      </c>
      <c r="CZ4" s="198">
        <v>3.1099999999999999E-2</v>
      </c>
      <c r="DA4" s="198">
        <v>2.46E-2</v>
      </c>
      <c r="DB4" s="198">
        <v>2.01E-2</v>
      </c>
      <c r="DC4" s="198">
        <v>8.0299999999999996E-2</v>
      </c>
      <c r="DD4" s="198">
        <v>2.18E-2</v>
      </c>
      <c r="DE4" s="198">
        <v>4.0000000000000001E-3</v>
      </c>
      <c r="DF4" s="198">
        <v>2.0000000000000001E-4</v>
      </c>
      <c r="DG4" s="198">
        <v>0</v>
      </c>
      <c r="DH4" s="198">
        <v>0</v>
      </c>
      <c r="DI4" s="198">
        <v>0</v>
      </c>
      <c r="DJ4" s="200"/>
    </row>
    <row r="5" spans="1:114" ht="15.75" customHeight="1" x14ac:dyDescent="0.2">
      <c r="A5" s="65" t="s">
        <v>7</v>
      </c>
      <c r="B5" s="189">
        <f>BS21</f>
        <v>7.3370647058823533</v>
      </c>
      <c r="C5" s="189">
        <f>BS43</f>
        <v>10.329037450980392</v>
      </c>
      <c r="D5" s="189">
        <f t="shared" si="0"/>
        <v>75.784816127325257</v>
      </c>
      <c r="E5" s="190">
        <f t="shared" si="1"/>
        <v>1.2630802687887543</v>
      </c>
      <c r="F5" s="196"/>
      <c r="G5" s="65" t="s">
        <v>1233</v>
      </c>
      <c r="H5" s="65" t="s">
        <v>1234</v>
      </c>
      <c r="I5" s="65" t="s">
        <v>1235</v>
      </c>
      <c r="J5" s="65" t="s">
        <v>1236</v>
      </c>
      <c r="K5" s="65">
        <v>868013618</v>
      </c>
      <c r="L5" s="65" t="s">
        <v>1237</v>
      </c>
      <c r="M5" s="65">
        <v>868013621</v>
      </c>
      <c r="N5" s="65" t="s">
        <v>1238</v>
      </c>
      <c r="O5" s="65" t="s">
        <v>1216</v>
      </c>
      <c r="P5" s="197">
        <v>44013</v>
      </c>
      <c r="Q5" s="65">
        <v>4.2328999999999999</v>
      </c>
      <c r="R5" s="198">
        <v>0.4254</v>
      </c>
      <c r="S5" s="198">
        <v>0.1603</v>
      </c>
      <c r="T5" s="198">
        <v>9.06E-2</v>
      </c>
      <c r="U5" s="198">
        <v>6.0400000000000002E-2</v>
      </c>
      <c r="V5" s="198">
        <v>4.41E-2</v>
      </c>
      <c r="W5" s="198">
        <v>3.4099999999999998E-2</v>
      </c>
      <c r="X5" s="198">
        <v>2.75E-2</v>
      </c>
      <c r="Y5" s="198">
        <v>2.2800000000000001E-2</v>
      </c>
      <c r="Z5" s="198">
        <v>9.4500000000000001E-2</v>
      </c>
      <c r="AA5" s="198">
        <v>2.86E-2</v>
      </c>
      <c r="AB5" s="198">
        <v>8.0000000000000002E-3</v>
      </c>
      <c r="AC5" s="198">
        <v>3.0999999999999999E-3</v>
      </c>
      <c r="AD5" s="198">
        <v>5.9999999999999995E-4</v>
      </c>
      <c r="AE5" s="198">
        <v>0</v>
      </c>
      <c r="AF5" s="198">
        <v>0</v>
      </c>
      <c r="AG5" s="199"/>
      <c r="AH5" s="65" t="s">
        <v>1239</v>
      </c>
      <c r="AI5" s="65" t="s">
        <v>1240</v>
      </c>
      <c r="AJ5" s="65" t="s">
        <v>1235</v>
      </c>
      <c r="AK5" s="65" t="s">
        <v>1236</v>
      </c>
      <c r="AL5" s="65">
        <v>530000000</v>
      </c>
      <c r="AM5" s="65" t="s">
        <v>1240</v>
      </c>
      <c r="AN5" s="65">
        <v>505000000</v>
      </c>
      <c r="AO5" s="65" t="s">
        <v>1241</v>
      </c>
      <c r="AP5" s="65" t="s">
        <v>1216</v>
      </c>
      <c r="AQ5" s="197">
        <v>44013</v>
      </c>
      <c r="AR5" s="65">
        <v>2.3759000000000001</v>
      </c>
      <c r="AS5" s="198">
        <v>0.60119999999999996</v>
      </c>
      <c r="AT5" s="198">
        <v>0.1603</v>
      </c>
      <c r="AU5" s="198">
        <v>7.3899999999999993E-2</v>
      </c>
      <c r="AV5" s="198">
        <v>4.2700000000000002E-2</v>
      </c>
      <c r="AW5" s="198">
        <v>2.7900000000000001E-2</v>
      </c>
      <c r="AX5" s="198">
        <v>1.9699999999999999E-2</v>
      </c>
      <c r="AY5" s="198">
        <v>1.47E-2</v>
      </c>
      <c r="AZ5" s="198">
        <v>1.14E-2</v>
      </c>
      <c r="BA5" s="198">
        <v>3.9800000000000002E-2</v>
      </c>
      <c r="BB5" s="198">
        <v>7.9000000000000008E-3</v>
      </c>
      <c r="BC5" s="198">
        <v>5.9999999999999995E-4</v>
      </c>
      <c r="BD5" s="198">
        <v>0</v>
      </c>
      <c r="BE5" s="198">
        <v>0</v>
      </c>
      <c r="BF5" s="198">
        <v>0</v>
      </c>
      <c r="BG5" s="198">
        <v>0</v>
      </c>
      <c r="BH5" s="199"/>
      <c r="BI5" s="65" t="s">
        <v>1242</v>
      </c>
      <c r="BJ5" s="65" t="s">
        <v>1243</v>
      </c>
      <c r="BK5" s="65" t="s">
        <v>1244</v>
      </c>
      <c r="BL5" s="65" t="s">
        <v>1245</v>
      </c>
      <c r="BM5" s="65">
        <v>1120000000</v>
      </c>
      <c r="BN5" s="65" t="s">
        <v>1246</v>
      </c>
      <c r="BO5" s="65">
        <v>791000000</v>
      </c>
      <c r="BP5" s="65" t="s">
        <v>1247</v>
      </c>
      <c r="BQ5" s="65" t="s">
        <v>1216</v>
      </c>
      <c r="BR5" s="197">
        <v>44013</v>
      </c>
      <c r="BS5" s="65">
        <v>7.9623999999999997</v>
      </c>
      <c r="BT5" s="198">
        <v>0.25569999999999998</v>
      </c>
      <c r="BU5" s="198">
        <v>0.1303</v>
      </c>
      <c r="BV5" s="198">
        <v>8.7800000000000003E-2</v>
      </c>
      <c r="BW5" s="198">
        <v>6.6299999999999998E-2</v>
      </c>
      <c r="BX5" s="198">
        <v>5.33E-2</v>
      </c>
      <c r="BY5" s="198">
        <v>4.4600000000000001E-2</v>
      </c>
      <c r="BZ5" s="198">
        <v>3.8399999999999997E-2</v>
      </c>
      <c r="CA5" s="198">
        <v>3.3700000000000001E-2</v>
      </c>
      <c r="CB5" s="198">
        <v>0.16259999999999999</v>
      </c>
      <c r="CC5" s="198">
        <v>7.2700000000000001E-2</v>
      </c>
      <c r="CD5" s="198">
        <v>3.6499999999999998E-2</v>
      </c>
      <c r="CE5" s="198">
        <v>1.6799999999999999E-2</v>
      </c>
      <c r="CF5" s="198">
        <v>1.2999999999999999E-3</v>
      </c>
      <c r="CG5" s="198">
        <v>0</v>
      </c>
      <c r="CH5" s="198">
        <v>0</v>
      </c>
      <c r="CI5" s="199"/>
      <c r="CJ5" s="65" t="s">
        <v>1248</v>
      </c>
      <c r="CK5" s="65" t="s">
        <v>1249</v>
      </c>
      <c r="CL5" s="65" t="s">
        <v>1250</v>
      </c>
      <c r="CM5" s="65" t="s">
        <v>1251</v>
      </c>
      <c r="CN5" s="65">
        <v>1179915619</v>
      </c>
      <c r="CO5" s="65" t="s">
        <v>1249</v>
      </c>
      <c r="CP5" s="65">
        <v>1062496488</v>
      </c>
      <c r="CQ5" s="65" t="s">
        <v>1251</v>
      </c>
      <c r="CR5" s="65" t="s">
        <v>1216</v>
      </c>
      <c r="CS5" s="197">
        <v>44013</v>
      </c>
      <c r="CT5" s="65">
        <v>5.9050000000000002</v>
      </c>
      <c r="CU5" s="198">
        <v>0.37419999999999998</v>
      </c>
      <c r="CV5" s="198">
        <v>0.1535</v>
      </c>
      <c r="CW5" s="198">
        <v>9.11E-2</v>
      </c>
      <c r="CX5" s="198">
        <v>6.3E-2</v>
      </c>
      <c r="CY5" s="198">
        <v>4.7300000000000002E-2</v>
      </c>
      <c r="CZ5" s="198">
        <v>3.7400000000000003E-2</v>
      </c>
      <c r="DA5" s="198">
        <v>3.0700000000000002E-2</v>
      </c>
      <c r="DB5" s="198">
        <v>2.58E-2</v>
      </c>
      <c r="DC5" s="198">
        <v>0.112</v>
      </c>
      <c r="DD5" s="198">
        <v>3.8100000000000002E-2</v>
      </c>
      <c r="DE5" s="198">
        <v>1.37E-2</v>
      </c>
      <c r="DF5" s="198">
        <v>7.7000000000000002E-3</v>
      </c>
      <c r="DG5" s="198">
        <v>5.4000000000000003E-3</v>
      </c>
      <c r="DH5" s="198">
        <v>1E-4</v>
      </c>
      <c r="DI5" s="198">
        <v>0</v>
      </c>
      <c r="DJ5" s="200"/>
    </row>
    <row r="6" spans="1:114" ht="15.75" customHeight="1" x14ac:dyDescent="0.2">
      <c r="A6" s="65" t="s">
        <v>6</v>
      </c>
      <c r="B6" s="189">
        <f>CT24</f>
        <v>5.023550000000002</v>
      </c>
      <c r="C6" s="189">
        <f>CT49</f>
        <v>7.7533913333333357</v>
      </c>
      <c r="D6" s="189">
        <f t="shared" si="0"/>
        <v>38.949549032566694</v>
      </c>
      <c r="E6" s="190">
        <f t="shared" si="1"/>
        <v>0.64915915054277817</v>
      </c>
      <c r="F6" s="196"/>
      <c r="G6" s="65" t="s">
        <v>1252</v>
      </c>
      <c r="H6" s="65" t="s">
        <v>1253</v>
      </c>
      <c r="I6" s="65" t="s">
        <v>1254</v>
      </c>
      <c r="J6" s="65" t="s">
        <v>1255</v>
      </c>
      <c r="K6" s="65">
        <v>1095254858</v>
      </c>
      <c r="L6" s="65" t="s">
        <v>1253</v>
      </c>
      <c r="M6" s="65">
        <v>526656015</v>
      </c>
      <c r="N6" s="65" t="s">
        <v>1255</v>
      </c>
      <c r="O6" s="65" t="s">
        <v>1216</v>
      </c>
      <c r="P6" s="197">
        <v>44013</v>
      </c>
      <c r="Q6" s="65">
        <v>3.1684000000000001</v>
      </c>
      <c r="R6" s="198">
        <v>0.49370000000000003</v>
      </c>
      <c r="S6" s="198">
        <v>0.16489999999999999</v>
      </c>
      <c r="T6" s="198">
        <v>8.6800000000000002E-2</v>
      </c>
      <c r="U6" s="198">
        <v>5.5E-2</v>
      </c>
      <c r="V6" s="198">
        <v>3.8600000000000002E-2</v>
      </c>
      <c r="W6" s="198">
        <v>2.8899999999999999E-2</v>
      </c>
      <c r="X6" s="198">
        <v>2.2700000000000001E-2</v>
      </c>
      <c r="Y6" s="198">
        <v>1.83E-2</v>
      </c>
      <c r="Z6" s="198">
        <v>7.1400000000000005E-2</v>
      </c>
      <c r="AA6" s="198">
        <v>1.78E-2</v>
      </c>
      <c r="AB6" s="198">
        <v>1.8E-3</v>
      </c>
      <c r="AC6" s="198">
        <v>0</v>
      </c>
      <c r="AD6" s="198">
        <v>0</v>
      </c>
      <c r="AE6" s="198">
        <v>0</v>
      </c>
      <c r="AF6" s="198">
        <v>0</v>
      </c>
      <c r="AG6" s="199"/>
      <c r="AH6" s="65" t="s">
        <v>1256</v>
      </c>
      <c r="AI6" s="65" t="s">
        <v>1257</v>
      </c>
      <c r="AJ6" s="65" t="s">
        <v>1258</v>
      </c>
      <c r="AK6" s="65" t="s">
        <v>1259</v>
      </c>
      <c r="AL6" s="65">
        <v>538000000</v>
      </c>
      <c r="AM6" s="65" t="s">
        <v>1257</v>
      </c>
      <c r="AN6" s="65">
        <v>293000000</v>
      </c>
      <c r="AO6" s="65" t="s">
        <v>1260</v>
      </c>
      <c r="AP6" s="65" t="s">
        <v>1216</v>
      </c>
      <c r="AQ6" s="197">
        <v>44013</v>
      </c>
      <c r="AR6" s="65">
        <v>4.1543999999999999</v>
      </c>
      <c r="AS6" s="198">
        <v>0.4153</v>
      </c>
      <c r="AT6" s="198">
        <v>0.15989999999999999</v>
      </c>
      <c r="AU6" s="198">
        <v>9.1499999999999998E-2</v>
      </c>
      <c r="AV6" s="198">
        <v>6.1499999999999999E-2</v>
      </c>
      <c r="AW6" s="198">
        <v>4.5199999999999997E-2</v>
      </c>
      <c r="AX6" s="198">
        <v>3.5200000000000002E-2</v>
      </c>
      <c r="AY6" s="198">
        <v>2.8400000000000002E-2</v>
      </c>
      <c r="AZ6" s="198">
        <v>2.3699999999999999E-2</v>
      </c>
      <c r="BA6" s="198">
        <v>9.9199999999999997E-2</v>
      </c>
      <c r="BB6" s="198">
        <v>3.0499999999999999E-2</v>
      </c>
      <c r="BC6" s="198">
        <v>8.0000000000000002E-3</v>
      </c>
      <c r="BD6" s="198">
        <v>1.6000000000000001E-3</v>
      </c>
      <c r="BE6" s="198">
        <v>0</v>
      </c>
      <c r="BF6" s="198">
        <v>0</v>
      </c>
      <c r="BG6" s="198">
        <v>0</v>
      </c>
      <c r="BH6" s="199"/>
      <c r="BI6" s="65" t="s">
        <v>1261</v>
      </c>
      <c r="BJ6" s="65" t="s">
        <v>1262</v>
      </c>
      <c r="BK6" s="65" t="s">
        <v>1263</v>
      </c>
      <c r="BL6" s="65" t="s">
        <v>1264</v>
      </c>
      <c r="BM6" s="65">
        <v>1360000000</v>
      </c>
      <c r="BN6" s="65" t="s">
        <v>1262</v>
      </c>
      <c r="BO6" s="65">
        <v>352000000</v>
      </c>
      <c r="BP6" s="65" t="s">
        <v>1264</v>
      </c>
      <c r="BQ6" s="65" t="s">
        <v>1216</v>
      </c>
      <c r="BR6" s="197">
        <v>44013</v>
      </c>
      <c r="BS6" s="65">
        <v>4.4740000000000002</v>
      </c>
      <c r="BT6" s="198">
        <v>0.39290000000000003</v>
      </c>
      <c r="BU6" s="198">
        <v>0.1575</v>
      </c>
      <c r="BV6" s="198">
        <v>9.2200000000000004E-2</v>
      </c>
      <c r="BW6" s="198">
        <v>6.3100000000000003E-2</v>
      </c>
      <c r="BX6" s="198">
        <v>4.7E-2</v>
      </c>
      <c r="BY6" s="198">
        <v>3.6900000000000002E-2</v>
      </c>
      <c r="BZ6" s="198">
        <v>3.0099999999999998E-2</v>
      </c>
      <c r="CA6" s="198">
        <v>2.52E-2</v>
      </c>
      <c r="CB6" s="198">
        <v>0.108</v>
      </c>
      <c r="CC6" s="198">
        <v>3.49E-2</v>
      </c>
      <c r="CD6" s="198">
        <v>0.01</v>
      </c>
      <c r="CE6" s="198">
        <v>2.2000000000000001E-3</v>
      </c>
      <c r="CF6" s="198">
        <v>0</v>
      </c>
      <c r="CG6" s="198">
        <v>0</v>
      </c>
      <c r="CH6" s="198">
        <v>0</v>
      </c>
      <c r="CI6" s="199"/>
      <c r="CJ6" s="65" t="s">
        <v>1265</v>
      </c>
      <c r="CK6" s="65" t="s">
        <v>1266</v>
      </c>
      <c r="CL6" s="65" t="s">
        <v>1267</v>
      </c>
      <c r="CM6" s="65" t="s">
        <v>1268</v>
      </c>
      <c r="CN6" s="65">
        <v>1277029359</v>
      </c>
      <c r="CO6" s="65" t="s">
        <v>1266</v>
      </c>
      <c r="CP6" s="65">
        <v>1215846356</v>
      </c>
      <c r="CQ6" s="65" t="s">
        <v>1269</v>
      </c>
      <c r="CR6" s="65" t="s">
        <v>1216</v>
      </c>
      <c r="CS6" s="197">
        <v>44013</v>
      </c>
      <c r="CT6" s="65">
        <v>3.3159000000000001</v>
      </c>
      <c r="CU6" s="198">
        <v>0.48089999999999999</v>
      </c>
      <c r="CV6" s="198">
        <v>0.16439999999999999</v>
      </c>
      <c r="CW6" s="198">
        <v>8.77E-2</v>
      </c>
      <c r="CX6" s="198">
        <v>5.62E-2</v>
      </c>
      <c r="CY6" s="198">
        <v>3.9699999999999999E-2</v>
      </c>
      <c r="CZ6" s="198">
        <v>0.03</v>
      </c>
      <c r="DA6" s="198">
        <v>2.3599999999999999E-2</v>
      </c>
      <c r="DB6" s="198">
        <v>1.9199999999999998E-2</v>
      </c>
      <c r="DC6" s="198">
        <v>7.5600000000000001E-2</v>
      </c>
      <c r="DD6" s="198">
        <v>1.9699999999999999E-2</v>
      </c>
      <c r="DE6" s="198">
        <v>3.0000000000000001E-3</v>
      </c>
      <c r="DF6" s="198">
        <v>0</v>
      </c>
      <c r="DG6" s="198">
        <v>0</v>
      </c>
      <c r="DH6" s="198">
        <v>0</v>
      </c>
      <c r="DI6" s="198">
        <v>0</v>
      </c>
      <c r="DJ6" s="200"/>
    </row>
    <row r="7" spans="1:114" ht="15.75" customHeight="1" x14ac:dyDescent="0.2">
      <c r="A7" s="196"/>
      <c r="B7" s="196"/>
      <c r="C7" s="196"/>
      <c r="D7" s="196"/>
      <c r="E7" s="196"/>
      <c r="F7" s="196"/>
      <c r="G7" s="65" t="s">
        <v>1270</v>
      </c>
      <c r="H7" s="65" t="s">
        <v>1271</v>
      </c>
      <c r="I7" s="65" t="s">
        <v>1254</v>
      </c>
      <c r="J7" s="65" t="s">
        <v>1255</v>
      </c>
      <c r="K7" s="65">
        <v>1047246341</v>
      </c>
      <c r="L7" s="65" t="s">
        <v>1271</v>
      </c>
      <c r="M7" s="65">
        <v>526656015</v>
      </c>
      <c r="N7" s="65" t="s">
        <v>1255</v>
      </c>
      <c r="O7" s="65" t="s">
        <v>1216</v>
      </c>
      <c r="P7" s="197">
        <v>44013</v>
      </c>
      <c r="Q7" s="65">
        <v>3.2111999999999998</v>
      </c>
      <c r="R7" s="198">
        <v>0.49569999999999997</v>
      </c>
      <c r="S7" s="198">
        <v>0.16450000000000001</v>
      </c>
      <c r="T7" s="198">
        <v>8.6300000000000002E-2</v>
      </c>
      <c r="U7" s="198">
        <v>5.4600000000000003E-2</v>
      </c>
      <c r="V7" s="198">
        <v>3.8199999999999998E-2</v>
      </c>
      <c r="W7" s="198">
        <v>2.86E-2</v>
      </c>
      <c r="X7" s="198">
        <v>2.24E-2</v>
      </c>
      <c r="Y7" s="198">
        <v>1.8100000000000002E-2</v>
      </c>
      <c r="Z7" s="198">
        <v>7.0400000000000004E-2</v>
      </c>
      <c r="AA7" s="198">
        <v>1.7899999999999999E-2</v>
      </c>
      <c r="AB7" s="198">
        <v>3.0999999999999999E-3</v>
      </c>
      <c r="AC7" s="198">
        <v>2.0000000000000001E-4</v>
      </c>
      <c r="AD7" s="198">
        <v>0</v>
      </c>
      <c r="AE7" s="198">
        <v>0</v>
      </c>
      <c r="AF7" s="198">
        <v>0</v>
      </c>
      <c r="AG7" s="199"/>
      <c r="AH7" s="65" t="s">
        <v>1272</v>
      </c>
      <c r="AI7" s="65" t="s">
        <v>1273</v>
      </c>
      <c r="AJ7" s="65" t="s">
        <v>1274</v>
      </c>
      <c r="AK7" s="65" t="s">
        <v>1275</v>
      </c>
      <c r="AL7" s="65">
        <v>1270000000</v>
      </c>
      <c r="AM7" s="65" t="s">
        <v>1273</v>
      </c>
      <c r="AN7" s="65">
        <v>1180000000</v>
      </c>
      <c r="AO7" s="201" t="s">
        <v>1276</v>
      </c>
      <c r="AP7" s="65" t="s">
        <v>1216</v>
      </c>
      <c r="AQ7" s="197">
        <v>44013</v>
      </c>
      <c r="AR7" s="65">
        <v>2.0678999999999998</v>
      </c>
      <c r="AS7" s="198">
        <v>0.64870000000000005</v>
      </c>
      <c r="AT7" s="198">
        <v>0.15479999999999999</v>
      </c>
      <c r="AU7" s="198">
        <v>6.6900000000000001E-2</v>
      </c>
      <c r="AV7" s="198">
        <v>3.6900000000000002E-2</v>
      </c>
      <c r="AW7" s="198">
        <v>2.3199999999999998E-2</v>
      </c>
      <c r="AX7" s="198">
        <v>1.5900000000000001E-2</v>
      </c>
      <c r="AY7" s="198">
        <v>1.1599999999999999E-2</v>
      </c>
      <c r="AZ7" s="198">
        <v>8.6999999999999994E-3</v>
      </c>
      <c r="BA7" s="198">
        <v>2.87E-2</v>
      </c>
      <c r="BB7" s="198">
        <v>4.4000000000000003E-3</v>
      </c>
      <c r="BC7" s="198">
        <v>0</v>
      </c>
      <c r="BD7" s="198">
        <v>0</v>
      </c>
      <c r="BE7" s="198">
        <v>0</v>
      </c>
      <c r="BF7" s="198">
        <v>0</v>
      </c>
      <c r="BG7" s="198">
        <v>0</v>
      </c>
      <c r="BH7" s="199"/>
      <c r="BI7" s="65" t="s">
        <v>1277</v>
      </c>
      <c r="BJ7" s="65" t="s">
        <v>1278</v>
      </c>
      <c r="BK7" s="65" t="s">
        <v>1279</v>
      </c>
      <c r="BL7" s="65" t="s">
        <v>1280</v>
      </c>
      <c r="BM7" s="65">
        <v>1380000000</v>
      </c>
      <c r="BN7" s="65" t="s">
        <v>1281</v>
      </c>
      <c r="BO7" s="65">
        <v>982000000</v>
      </c>
      <c r="BP7" s="65" t="s">
        <v>1282</v>
      </c>
      <c r="BQ7" s="65" t="s">
        <v>1216</v>
      </c>
      <c r="BR7" s="197">
        <v>44013</v>
      </c>
      <c r="BS7" s="65">
        <v>4.3685999999999998</v>
      </c>
      <c r="BT7" s="198">
        <v>0.40350000000000003</v>
      </c>
      <c r="BU7" s="198">
        <v>0.15859999999999999</v>
      </c>
      <c r="BV7" s="198">
        <v>9.1800000000000007E-2</v>
      </c>
      <c r="BW7" s="198">
        <v>6.2300000000000001E-2</v>
      </c>
      <c r="BX7" s="198">
        <v>4.6100000000000002E-2</v>
      </c>
      <c r="BY7" s="198">
        <v>3.5999999999999997E-2</v>
      </c>
      <c r="BZ7" s="198">
        <v>2.93E-2</v>
      </c>
      <c r="CA7" s="198">
        <v>2.4400000000000002E-2</v>
      </c>
      <c r="CB7" s="198">
        <v>0.10349999999999999</v>
      </c>
      <c r="CC7" s="198">
        <v>3.27E-2</v>
      </c>
      <c r="CD7" s="198">
        <v>9.2999999999999992E-3</v>
      </c>
      <c r="CE7" s="198">
        <v>2.5000000000000001E-3</v>
      </c>
      <c r="CF7" s="198">
        <v>0</v>
      </c>
      <c r="CG7" s="198">
        <v>0</v>
      </c>
      <c r="CH7" s="198">
        <v>0</v>
      </c>
      <c r="CI7" s="199"/>
      <c r="CJ7" s="65" t="s">
        <v>1283</v>
      </c>
      <c r="CK7" s="65" t="s">
        <v>1284</v>
      </c>
      <c r="CL7" s="65" t="s">
        <v>1285</v>
      </c>
      <c r="CM7" s="65" t="s">
        <v>1286</v>
      </c>
      <c r="CN7" s="65">
        <v>1374403536</v>
      </c>
      <c r="CO7" s="65" t="s">
        <v>1284</v>
      </c>
      <c r="CP7" s="65">
        <v>284954685</v>
      </c>
      <c r="CQ7" s="65" t="s">
        <v>1287</v>
      </c>
      <c r="CR7" s="65" t="s">
        <v>1216</v>
      </c>
      <c r="CS7" s="197">
        <v>44013</v>
      </c>
      <c r="CT7" s="65">
        <v>4.7271999999999998</v>
      </c>
      <c r="CU7" s="198">
        <v>0.3982</v>
      </c>
      <c r="CV7" s="198">
        <v>0.15740000000000001</v>
      </c>
      <c r="CW7" s="198">
        <v>9.1499999999999998E-2</v>
      </c>
      <c r="CX7" s="198">
        <v>6.2199999999999998E-2</v>
      </c>
      <c r="CY7" s="198">
        <v>4.6199999999999998E-2</v>
      </c>
      <c r="CZ7" s="198">
        <v>3.6200000000000003E-2</v>
      </c>
      <c r="DA7" s="198">
        <v>2.9399999999999999E-2</v>
      </c>
      <c r="DB7" s="198">
        <v>2.46E-2</v>
      </c>
      <c r="DC7" s="198">
        <v>0.1046</v>
      </c>
      <c r="DD7" s="198">
        <v>3.3599999999999998E-2</v>
      </c>
      <c r="DE7" s="198">
        <v>1.0500000000000001E-2</v>
      </c>
      <c r="DF7" s="198">
        <v>4.4999999999999997E-3</v>
      </c>
      <c r="DG7" s="198">
        <v>1.1000000000000001E-3</v>
      </c>
      <c r="DH7" s="198">
        <v>0</v>
      </c>
      <c r="DI7" s="198">
        <v>0</v>
      </c>
      <c r="DJ7" s="200"/>
    </row>
    <row r="8" spans="1:114" ht="15.75" customHeight="1" x14ac:dyDescent="0.2">
      <c r="A8" s="196"/>
      <c r="B8" s="196"/>
      <c r="C8" s="196"/>
      <c r="D8" s="196"/>
      <c r="E8" s="196"/>
      <c r="F8" s="196"/>
      <c r="G8" s="65" t="s">
        <v>1288</v>
      </c>
      <c r="H8" s="65" t="s">
        <v>63</v>
      </c>
      <c r="I8" s="65" t="s">
        <v>1254</v>
      </c>
      <c r="J8" s="65" t="s">
        <v>1255</v>
      </c>
      <c r="K8" s="65">
        <v>850417475</v>
      </c>
      <c r="L8" s="65" t="s">
        <v>63</v>
      </c>
      <c r="M8" s="65">
        <v>526656015</v>
      </c>
      <c r="N8" s="65" t="s">
        <v>1255</v>
      </c>
      <c r="O8" s="65" t="s">
        <v>1216</v>
      </c>
      <c r="P8" s="197">
        <v>44013</v>
      </c>
      <c r="Q8" s="65">
        <v>3.2437999999999998</v>
      </c>
      <c r="R8" s="198">
        <v>0.4975</v>
      </c>
      <c r="S8" s="198">
        <v>0.1643</v>
      </c>
      <c r="T8" s="198">
        <v>8.5900000000000004E-2</v>
      </c>
      <c r="U8" s="198">
        <v>5.4300000000000001E-2</v>
      </c>
      <c r="V8" s="198">
        <v>3.7999999999999999E-2</v>
      </c>
      <c r="W8" s="198">
        <v>2.8400000000000002E-2</v>
      </c>
      <c r="X8" s="198">
        <v>2.2200000000000001E-2</v>
      </c>
      <c r="Y8" s="198">
        <v>1.7899999999999999E-2</v>
      </c>
      <c r="Z8" s="198">
        <v>6.9599999999999995E-2</v>
      </c>
      <c r="AA8" s="198">
        <v>1.78E-2</v>
      </c>
      <c r="AB8" s="198">
        <v>3.3999999999999998E-3</v>
      </c>
      <c r="AC8" s="198">
        <v>8.0000000000000004E-4</v>
      </c>
      <c r="AD8" s="198">
        <v>0</v>
      </c>
      <c r="AE8" s="198">
        <v>0</v>
      </c>
      <c r="AF8" s="198">
        <v>0</v>
      </c>
      <c r="AG8" s="199"/>
      <c r="AH8" s="65" t="s">
        <v>1289</v>
      </c>
      <c r="AI8" s="65" t="s">
        <v>1290</v>
      </c>
      <c r="AJ8" s="65" t="s">
        <v>1291</v>
      </c>
      <c r="AK8" s="65" t="s">
        <v>1292</v>
      </c>
      <c r="AL8" s="65">
        <v>547305617</v>
      </c>
      <c r="AM8" s="65" t="s">
        <v>1293</v>
      </c>
      <c r="AN8" s="65">
        <v>290671617</v>
      </c>
      <c r="AO8" s="65" t="s">
        <v>1294</v>
      </c>
      <c r="AP8" s="65" t="s">
        <v>1216</v>
      </c>
      <c r="AQ8" s="197">
        <v>44013</v>
      </c>
      <c r="AR8" s="65">
        <v>3.1000999999999999</v>
      </c>
      <c r="AS8" s="198">
        <v>0.504</v>
      </c>
      <c r="AT8" s="198">
        <v>0.1648</v>
      </c>
      <c r="AU8" s="198">
        <v>8.5699999999999998E-2</v>
      </c>
      <c r="AV8" s="198">
        <v>5.3900000000000003E-2</v>
      </c>
      <c r="AW8" s="198">
        <v>3.7600000000000001E-2</v>
      </c>
      <c r="AX8" s="198">
        <v>2.8000000000000001E-2</v>
      </c>
      <c r="AY8" s="198">
        <v>2.18E-2</v>
      </c>
      <c r="AZ8" s="198">
        <v>1.7600000000000001E-2</v>
      </c>
      <c r="BA8" s="198">
        <v>6.7799999999999999E-2</v>
      </c>
      <c r="BB8" s="198">
        <v>1.6799999999999999E-2</v>
      </c>
      <c r="BC8" s="198">
        <v>2.0999999999999999E-3</v>
      </c>
      <c r="BD8" s="198">
        <v>0</v>
      </c>
      <c r="BE8" s="198">
        <v>0</v>
      </c>
      <c r="BF8" s="198">
        <v>0</v>
      </c>
      <c r="BG8" s="198">
        <v>0</v>
      </c>
      <c r="BH8" s="199"/>
      <c r="BI8" s="65" t="s">
        <v>1295</v>
      </c>
      <c r="BJ8" s="65" t="s">
        <v>1296</v>
      </c>
      <c r="BK8" s="65" t="s">
        <v>1250</v>
      </c>
      <c r="BL8" s="65" t="s">
        <v>1251</v>
      </c>
      <c r="BM8" s="65">
        <v>1180000000</v>
      </c>
      <c r="BN8" s="65" t="s">
        <v>1296</v>
      </c>
      <c r="BO8" s="65">
        <v>1060000000</v>
      </c>
      <c r="BP8" s="65" t="s">
        <v>1251</v>
      </c>
      <c r="BQ8" s="65" t="s">
        <v>1216</v>
      </c>
      <c r="BR8" s="197">
        <v>44013</v>
      </c>
      <c r="BS8" s="65">
        <v>6.8868999999999998</v>
      </c>
      <c r="BT8" s="198">
        <v>0.34620000000000001</v>
      </c>
      <c r="BU8" s="198">
        <v>0.14879999999999999</v>
      </c>
      <c r="BV8" s="198">
        <v>9.0800000000000006E-2</v>
      </c>
      <c r="BW8" s="198">
        <v>6.3899999999999998E-2</v>
      </c>
      <c r="BX8" s="198">
        <v>4.87E-2</v>
      </c>
      <c r="BY8" s="198">
        <v>3.9E-2</v>
      </c>
      <c r="BZ8" s="198">
        <v>3.2300000000000002E-2</v>
      </c>
      <c r="CA8" s="198">
        <v>2.75E-2</v>
      </c>
      <c r="CB8" s="198">
        <v>0.122</v>
      </c>
      <c r="CC8" s="198">
        <v>4.4200000000000003E-2</v>
      </c>
      <c r="CD8" s="198">
        <v>1.78E-2</v>
      </c>
      <c r="CE8" s="198">
        <v>1.0699999999999999E-2</v>
      </c>
      <c r="CF8" s="198">
        <v>7.9000000000000008E-3</v>
      </c>
      <c r="CG8" s="198">
        <v>2.0000000000000001E-4</v>
      </c>
      <c r="CH8" s="198">
        <v>0</v>
      </c>
      <c r="CI8" s="199"/>
      <c r="CJ8" s="65" t="s">
        <v>1297</v>
      </c>
      <c r="CK8" s="65" t="s">
        <v>1298</v>
      </c>
      <c r="CL8" s="65" t="s">
        <v>1299</v>
      </c>
      <c r="CM8" s="65" t="s">
        <v>1300</v>
      </c>
      <c r="CN8" s="65">
        <v>620112416</v>
      </c>
      <c r="CO8" s="65" t="s">
        <v>1298</v>
      </c>
      <c r="CP8" s="65">
        <v>321598392</v>
      </c>
      <c r="CQ8" s="65" t="s">
        <v>1301</v>
      </c>
      <c r="CR8" s="65" t="s">
        <v>1216</v>
      </c>
      <c r="CS8" s="197">
        <v>44013</v>
      </c>
      <c r="CT8" s="65">
        <v>3.6168</v>
      </c>
      <c r="CU8" s="198">
        <v>0.45850000000000002</v>
      </c>
      <c r="CV8" s="198">
        <v>0.16320000000000001</v>
      </c>
      <c r="CW8" s="198">
        <v>8.9099999999999999E-2</v>
      </c>
      <c r="CX8" s="198">
        <v>5.8000000000000003E-2</v>
      </c>
      <c r="CY8" s="198">
        <v>4.1599999999999998E-2</v>
      </c>
      <c r="CZ8" s="198">
        <v>3.1699999999999999E-2</v>
      </c>
      <c r="DA8" s="198">
        <v>2.52E-2</v>
      </c>
      <c r="DB8" s="198">
        <v>2.06E-2</v>
      </c>
      <c r="DC8" s="198">
        <v>8.3099999999999993E-2</v>
      </c>
      <c r="DD8" s="198">
        <v>2.3099999999999999E-2</v>
      </c>
      <c r="DE8" s="198">
        <v>5.0000000000000001E-3</v>
      </c>
      <c r="DF8" s="198">
        <v>8.0000000000000004E-4</v>
      </c>
      <c r="DG8" s="198">
        <v>0</v>
      </c>
      <c r="DH8" s="198">
        <v>0</v>
      </c>
      <c r="DI8" s="198">
        <v>0</v>
      </c>
      <c r="DJ8" s="200"/>
    </row>
    <row r="9" spans="1:114" ht="15.75" customHeight="1" x14ac:dyDescent="0.2">
      <c r="A9" s="196"/>
      <c r="B9" s="196"/>
      <c r="C9" s="196"/>
      <c r="D9" s="196"/>
      <c r="E9" s="196"/>
      <c r="F9" s="196"/>
      <c r="G9" s="65" t="s">
        <v>1302</v>
      </c>
      <c r="H9" s="65" t="s">
        <v>1303</v>
      </c>
      <c r="I9" s="65" t="s">
        <v>1254</v>
      </c>
      <c r="J9" s="65" t="s">
        <v>1255</v>
      </c>
      <c r="K9" s="65">
        <v>553834731</v>
      </c>
      <c r="L9" s="65" t="s">
        <v>1303</v>
      </c>
      <c r="M9" s="65">
        <v>526656015</v>
      </c>
      <c r="N9" s="65" t="s">
        <v>1255</v>
      </c>
      <c r="O9" s="65" t="s">
        <v>1216</v>
      </c>
      <c r="P9" s="197">
        <v>44013</v>
      </c>
      <c r="Q9" s="65">
        <v>3.8622999999999998</v>
      </c>
      <c r="R9" s="198">
        <v>0.44350000000000001</v>
      </c>
      <c r="S9" s="198">
        <v>0.16200000000000001</v>
      </c>
      <c r="T9" s="198">
        <v>8.9899999999999994E-2</v>
      </c>
      <c r="U9" s="198">
        <v>5.9200000000000003E-2</v>
      </c>
      <c r="V9" s="198">
        <v>4.2799999999999998E-2</v>
      </c>
      <c r="W9" s="198">
        <v>3.2800000000000003E-2</v>
      </c>
      <c r="X9" s="198">
        <v>2.6200000000000001E-2</v>
      </c>
      <c r="Y9" s="198">
        <v>2.1600000000000001E-2</v>
      </c>
      <c r="Z9" s="198">
        <v>8.8300000000000003E-2</v>
      </c>
      <c r="AA9" s="198">
        <v>2.5499999999999998E-2</v>
      </c>
      <c r="AB9" s="198">
        <v>6.3E-3</v>
      </c>
      <c r="AC9" s="198">
        <v>1.8E-3</v>
      </c>
      <c r="AD9" s="198">
        <v>0</v>
      </c>
      <c r="AE9" s="198">
        <v>0</v>
      </c>
      <c r="AF9" s="198">
        <v>0</v>
      </c>
      <c r="AG9" s="12"/>
      <c r="AH9" s="65" t="s">
        <v>1304</v>
      </c>
      <c r="AI9" s="65" t="s">
        <v>1305</v>
      </c>
      <c r="AJ9" s="65" t="s">
        <v>1235</v>
      </c>
      <c r="AK9" s="65" t="s">
        <v>1236</v>
      </c>
      <c r="AL9" s="65">
        <v>603097018</v>
      </c>
      <c r="AM9" s="65" t="s">
        <v>1306</v>
      </c>
      <c r="AN9" s="65">
        <v>447553567</v>
      </c>
      <c r="AO9" s="65" t="s">
        <v>1236</v>
      </c>
      <c r="AP9" s="65" t="s">
        <v>1216</v>
      </c>
      <c r="AQ9" s="197">
        <v>44013</v>
      </c>
      <c r="AR9" s="65">
        <v>3.1612</v>
      </c>
      <c r="AS9" s="198">
        <v>0.49130000000000001</v>
      </c>
      <c r="AT9" s="198">
        <v>0.16520000000000001</v>
      </c>
      <c r="AU9" s="198">
        <v>8.7300000000000003E-2</v>
      </c>
      <c r="AV9" s="198">
        <v>5.5500000000000001E-2</v>
      </c>
      <c r="AW9" s="198">
        <v>3.9E-2</v>
      </c>
      <c r="AX9" s="198">
        <v>2.92E-2</v>
      </c>
      <c r="AY9" s="198">
        <v>2.29E-2</v>
      </c>
      <c r="AZ9" s="198">
        <v>1.8499999999999999E-2</v>
      </c>
      <c r="BA9" s="198">
        <v>7.2300000000000003E-2</v>
      </c>
      <c r="BB9" s="198">
        <v>1.77E-2</v>
      </c>
      <c r="BC9" s="198">
        <v>1.1000000000000001E-3</v>
      </c>
      <c r="BD9" s="198">
        <v>0</v>
      </c>
      <c r="BE9" s="198">
        <v>0</v>
      </c>
      <c r="BF9" s="198">
        <v>0</v>
      </c>
      <c r="BG9" s="198">
        <v>0</v>
      </c>
      <c r="BH9" s="12"/>
      <c r="BI9" s="65" t="s">
        <v>1307</v>
      </c>
      <c r="BJ9" s="65" t="s">
        <v>1308</v>
      </c>
      <c r="BK9" s="65" t="s">
        <v>1309</v>
      </c>
      <c r="BL9" s="65" t="s">
        <v>1310</v>
      </c>
      <c r="BM9" s="65">
        <v>1190000000</v>
      </c>
      <c r="BN9" s="65" t="s">
        <v>1308</v>
      </c>
      <c r="BO9" s="65">
        <v>1140000000</v>
      </c>
      <c r="BP9" s="65" t="s">
        <v>1311</v>
      </c>
      <c r="BQ9" s="65" t="s">
        <v>1216</v>
      </c>
      <c r="BR9" s="197">
        <v>44013</v>
      </c>
      <c r="BS9" s="65">
        <v>8.1267999999999994</v>
      </c>
      <c r="BT9" s="198">
        <v>0.23530000000000001</v>
      </c>
      <c r="BU9" s="198">
        <v>0.12520000000000001</v>
      </c>
      <c r="BV9" s="198">
        <v>8.6499999999999994E-2</v>
      </c>
      <c r="BW9" s="198">
        <v>6.6500000000000004E-2</v>
      </c>
      <c r="BX9" s="198">
        <v>5.4199999999999998E-2</v>
      </c>
      <c r="BY9" s="198">
        <v>4.58E-2</v>
      </c>
      <c r="BZ9" s="198">
        <v>3.9800000000000002E-2</v>
      </c>
      <c r="CA9" s="198">
        <v>3.5200000000000002E-2</v>
      </c>
      <c r="CB9" s="198">
        <v>0.1734</v>
      </c>
      <c r="CC9" s="198">
        <v>8.1299999999999997E-2</v>
      </c>
      <c r="CD9" s="198">
        <v>4.1799999999999997E-2</v>
      </c>
      <c r="CE9" s="198">
        <v>1.4999999999999999E-2</v>
      </c>
      <c r="CF9" s="198">
        <v>0</v>
      </c>
      <c r="CG9" s="198">
        <v>0</v>
      </c>
      <c r="CH9" s="198">
        <v>0</v>
      </c>
      <c r="CI9" s="12"/>
      <c r="CJ9" s="65" t="s">
        <v>1312</v>
      </c>
      <c r="CK9" s="65" t="s">
        <v>1313</v>
      </c>
      <c r="CL9" s="65" t="s">
        <v>1314</v>
      </c>
      <c r="CM9" s="65" t="s">
        <v>1315</v>
      </c>
      <c r="CN9" s="65">
        <v>714796093</v>
      </c>
      <c r="CO9" s="65" t="s">
        <v>1313</v>
      </c>
      <c r="CP9" s="65">
        <v>348389028</v>
      </c>
      <c r="CQ9" s="65" t="s">
        <v>1316</v>
      </c>
      <c r="CR9" s="65" t="s">
        <v>1216</v>
      </c>
      <c r="CS9" s="197">
        <v>44013</v>
      </c>
      <c r="CT9" s="65">
        <v>2.2004000000000001</v>
      </c>
      <c r="CU9" s="198">
        <v>0.63249999999999995</v>
      </c>
      <c r="CV9" s="198">
        <v>0.1565</v>
      </c>
      <c r="CW9" s="198">
        <v>6.9199999999999998E-2</v>
      </c>
      <c r="CX9" s="198">
        <v>3.8699999999999998E-2</v>
      </c>
      <c r="CY9" s="198">
        <v>2.47E-2</v>
      </c>
      <c r="CZ9" s="198">
        <v>1.7100000000000001E-2</v>
      </c>
      <c r="DA9" s="198">
        <v>1.2500000000000001E-2</v>
      </c>
      <c r="DB9" s="198">
        <v>9.5999999999999992E-3</v>
      </c>
      <c r="DC9" s="198">
        <v>3.2399999999999998E-2</v>
      </c>
      <c r="DD9" s="198">
        <v>6.0000000000000001E-3</v>
      </c>
      <c r="DE9" s="198">
        <v>5.9999999999999995E-4</v>
      </c>
      <c r="DF9" s="198">
        <v>1E-4</v>
      </c>
      <c r="DG9" s="198">
        <v>0</v>
      </c>
      <c r="DH9" s="198">
        <v>0</v>
      </c>
      <c r="DI9" s="198">
        <v>0</v>
      </c>
      <c r="DJ9" s="200"/>
    </row>
    <row r="10" spans="1:114" ht="15.75" customHeight="1" x14ac:dyDescent="0.2">
      <c r="A10" s="196"/>
      <c r="B10" s="196"/>
      <c r="C10" s="196"/>
      <c r="D10" s="196"/>
      <c r="E10" s="196"/>
      <c r="F10" s="196"/>
      <c r="G10" s="65" t="s">
        <v>1317</v>
      </c>
      <c r="H10" s="65" t="s">
        <v>1318</v>
      </c>
      <c r="I10" s="65" t="s">
        <v>1254</v>
      </c>
      <c r="J10" s="65" t="s">
        <v>1255</v>
      </c>
      <c r="K10" s="65">
        <v>608206510</v>
      </c>
      <c r="L10" s="65" t="s">
        <v>1318</v>
      </c>
      <c r="M10" s="65">
        <v>526656015</v>
      </c>
      <c r="N10" s="65" t="s">
        <v>1255</v>
      </c>
      <c r="O10" s="65" t="s">
        <v>1216</v>
      </c>
      <c r="P10" s="197">
        <v>44013</v>
      </c>
      <c r="Q10" s="65">
        <v>3.3174000000000001</v>
      </c>
      <c r="R10" s="198">
        <v>0.49080000000000001</v>
      </c>
      <c r="S10" s="198">
        <v>0.16420000000000001</v>
      </c>
      <c r="T10" s="198">
        <v>8.6499999999999994E-2</v>
      </c>
      <c r="U10" s="198">
        <v>5.4899999999999997E-2</v>
      </c>
      <c r="V10" s="198">
        <v>3.8600000000000002E-2</v>
      </c>
      <c r="W10" s="198">
        <v>2.8899999999999999E-2</v>
      </c>
      <c r="X10" s="198">
        <v>2.2700000000000001E-2</v>
      </c>
      <c r="Y10" s="198">
        <v>1.84E-2</v>
      </c>
      <c r="Z10" s="198">
        <v>7.1800000000000003E-2</v>
      </c>
      <c r="AA10" s="198">
        <v>1.8599999999999998E-2</v>
      </c>
      <c r="AB10" s="198">
        <v>3.8E-3</v>
      </c>
      <c r="AC10" s="198">
        <v>8.9999999999999998E-4</v>
      </c>
      <c r="AD10" s="198">
        <v>0</v>
      </c>
      <c r="AE10" s="198">
        <v>0</v>
      </c>
      <c r="AF10" s="198">
        <v>0</v>
      </c>
      <c r="AG10" s="12"/>
      <c r="AH10" s="65" t="s">
        <v>1319</v>
      </c>
      <c r="AI10" s="65" t="s">
        <v>1320</v>
      </c>
      <c r="AJ10" s="65" t="s">
        <v>1321</v>
      </c>
      <c r="AK10" s="65" t="s">
        <v>1322</v>
      </c>
      <c r="AL10" s="65">
        <v>915469477</v>
      </c>
      <c r="AM10" s="65" t="s">
        <v>1323</v>
      </c>
      <c r="AN10" s="65">
        <v>354731085</v>
      </c>
      <c r="AO10" s="65" t="s">
        <v>1324</v>
      </c>
      <c r="AP10" s="65" t="s">
        <v>1216</v>
      </c>
      <c r="AQ10" s="197">
        <v>44013</v>
      </c>
      <c r="AR10" s="65">
        <v>4.3800999999999997</v>
      </c>
      <c r="AS10" s="198">
        <v>0.38590000000000002</v>
      </c>
      <c r="AT10" s="198">
        <v>0.1573</v>
      </c>
      <c r="AU10" s="198">
        <v>9.2999999999999999E-2</v>
      </c>
      <c r="AV10" s="198">
        <v>6.4100000000000004E-2</v>
      </c>
      <c r="AW10" s="198">
        <v>4.8000000000000001E-2</v>
      </c>
      <c r="AX10" s="198">
        <v>3.78E-2</v>
      </c>
      <c r="AY10" s="198">
        <v>3.1E-2</v>
      </c>
      <c r="AZ10" s="198">
        <v>2.5999999999999999E-2</v>
      </c>
      <c r="BA10" s="198">
        <v>0.112</v>
      </c>
      <c r="BB10" s="198">
        <v>3.6200000000000003E-2</v>
      </c>
      <c r="BC10" s="198">
        <v>8.5000000000000006E-3</v>
      </c>
      <c r="BD10" s="198">
        <v>2.9999999999999997E-4</v>
      </c>
      <c r="BE10" s="198">
        <v>0</v>
      </c>
      <c r="BF10" s="198">
        <v>0</v>
      </c>
      <c r="BG10" s="198">
        <v>0</v>
      </c>
      <c r="BH10" s="12"/>
      <c r="BI10" s="65" t="s">
        <v>1325</v>
      </c>
      <c r="BJ10" s="65" t="s">
        <v>1326</v>
      </c>
      <c r="BK10" s="65" t="s">
        <v>1327</v>
      </c>
      <c r="BL10" s="65" t="s">
        <v>1328</v>
      </c>
      <c r="BM10" s="65">
        <v>1270000000</v>
      </c>
      <c r="BN10" s="65" t="s">
        <v>1329</v>
      </c>
      <c r="BO10" s="65">
        <v>496000000</v>
      </c>
      <c r="BP10" s="65" t="s">
        <v>1330</v>
      </c>
      <c r="BQ10" s="65" t="s">
        <v>1216</v>
      </c>
      <c r="BR10" s="197">
        <v>44013</v>
      </c>
      <c r="BS10" s="65">
        <v>7.2511999999999999</v>
      </c>
      <c r="BT10" s="198">
        <v>0.22120000000000001</v>
      </c>
      <c r="BU10" s="198">
        <v>0.1236</v>
      </c>
      <c r="BV10" s="198">
        <v>8.77E-2</v>
      </c>
      <c r="BW10" s="198">
        <v>6.8699999999999997E-2</v>
      </c>
      <c r="BX10" s="198">
        <v>5.67E-2</v>
      </c>
      <c r="BY10" s="198">
        <v>4.8500000000000001E-2</v>
      </c>
      <c r="BZ10" s="198">
        <v>4.24E-2</v>
      </c>
      <c r="CA10" s="198">
        <v>3.78E-2</v>
      </c>
      <c r="CB10" s="198">
        <v>0.18940000000000001</v>
      </c>
      <c r="CC10" s="198">
        <v>8.9599999999999999E-2</v>
      </c>
      <c r="CD10" s="198">
        <v>3.3799999999999997E-2</v>
      </c>
      <c r="CE10" s="198">
        <v>5.9999999999999995E-4</v>
      </c>
      <c r="CF10" s="198">
        <v>0</v>
      </c>
      <c r="CG10" s="198">
        <v>0</v>
      </c>
      <c r="CH10" s="198">
        <v>0</v>
      </c>
      <c r="CI10" s="12"/>
      <c r="CJ10" s="65" t="s">
        <v>1331</v>
      </c>
      <c r="CK10" s="65" t="s">
        <v>1332</v>
      </c>
      <c r="CL10" s="65" t="s">
        <v>1333</v>
      </c>
      <c r="CM10" s="65" t="s">
        <v>1334</v>
      </c>
      <c r="CN10" s="65">
        <v>1323901884</v>
      </c>
      <c r="CO10" s="65" t="s">
        <v>1335</v>
      </c>
      <c r="CP10" s="65">
        <v>1521489023</v>
      </c>
      <c r="CQ10" s="65" t="s">
        <v>1336</v>
      </c>
      <c r="CR10" s="65" t="s">
        <v>1216</v>
      </c>
      <c r="CS10" s="197">
        <v>44013</v>
      </c>
      <c r="CT10" s="65">
        <v>3.3940000000000001</v>
      </c>
      <c r="CU10" s="198">
        <v>0.46139999999999998</v>
      </c>
      <c r="CV10" s="198">
        <v>0.16470000000000001</v>
      </c>
      <c r="CW10" s="198">
        <v>9.01E-2</v>
      </c>
      <c r="CX10" s="198">
        <v>5.8700000000000002E-2</v>
      </c>
      <c r="CY10" s="198">
        <v>4.2000000000000003E-2</v>
      </c>
      <c r="CZ10" s="198">
        <v>3.2000000000000001E-2</v>
      </c>
      <c r="DA10" s="198">
        <v>2.5399999999999999E-2</v>
      </c>
      <c r="DB10" s="198">
        <v>2.0799999999999999E-2</v>
      </c>
      <c r="DC10" s="198">
        <v>8.3099999999999993E-2</v>
      </c>
      <c r="DD10" s="198">
        <v>2.1000000000000001E-2</v>
      </c>
      <c r="DE10" s="198">
        <v>8.0000000000000004E-4</v>
      </c>
      <c r="DF10" s="198">
        <v>0</v>
      </c>
      <c r="DG10" s="198">
        <v>0</v>
      </c>
      <c r="DH10" s="198">
        <v>0</v>
      </c>
      <c r="DI10" s="198">
        <v>0</v>
      </c>
      <c r="DJ10" s="200"/>
    </row>
    <row r="11" spans="1:114" ht="15.75" customHeight="1" x14ac:dyDescent="0.2">
      <c r="A11" s="196"/>
      <c r="B11" s="196"/>
      <c r="C11" s="196"/>
      <c r="D11" s="196"/>
      <c r="E11" s="196"/>
      <c r="F11" s="196"/>
      <c r="G11" s="65" t="s">
        <v>1337</v>
      </c>
      <c r="H11" s="65" t="s">
        <v>1338</v>
      </c>
      <c r="I11" s="65" t="s">
        <v>1291</v>
      </c>
      <c r="J11" s="65" t="s">
        <v>1292</v>
      </c>
      <c r="K11" s="65">
        <v>727296976</v>
      </c>
      <c r="L11" s="65" t="s">
        <v>1338</v>
      </c>
      <c r="M11" s="65">
        <v>290671617</v>
      </c>
      <c r="N11" s="65" t="s">
        <v>1294</v>
      </c>
      <c r="O11" s="65" t="s">
        <v>1216</v>
      </c>
      <c r="P11" s="197">
        <v>44013</v>
      </c>
      <c r="Q11" s="65">
        <v>3.7130000000000001</v>
      </c>
      <c r="R11" s="198">
        <v>0.4587</v>
      </c>
      <c r="S11" s="198">
        <v>0.16289999999999999</v>
      </c>
      <c r="T11" s="198">
        <v>8.8900000000000007E-2</v>
      </c>
      <c r="U11" s="198">
        <v>5.7799999999999997E-2</v>
      </c>
      <c r="V11" s="198">
        <v>4.1399999999999999E-2</v>
      </c>
      <c r="W11" s="198">
        <v>3.15E-2</v>
      </c>
      <c r="X11" s="198">
        <v>2.5100000000000001E-2</v>
      </c>
      <c r="Y11" s="198">
        <v>2.0500000000000001E-2</v>
      </c>
      <c r="Z11" s="198">
        <v>8.2699999999999996E-2</v>
      </c>
      <c r="AA11" s="198">
        <v>2.3099999999999999E-2</v>
      </c>
      <c r="AB11" s="198">
        <v>5.4999999999999997E-3</v>
      </c>
      <c r="AC11" s="198">
        <v>1.8E-3</v>
      </c>
      <c r="AD11" s="198">
        <v>1E-4</v>
      </c>
      <c r="AE11" s="198">
        <v>0</v>
      </c>
      <c r="AF11" s="198">
        <v>0</v>
      </c>
      <c r="AG11" s="12"/>
      <c r="AH11" s="65" t="s">
        <v>1339</v>
      </c>
      <c r="AI11" s="65" t="s">
        <v>1340</v>
      </c>
      <c r="AJ11" s="65" t="s">
        <v>1341</v>
      </c>
      <c r="AK11" s="65" t="s">
        <v>1342</v>
      </c>
      <c r="AL11" s="65">
        <v>1404165333</v>
      </c>
      <c r="AM11" s="65" t="s">
        <v>1343</v>
      </c>
      <c r="AN11" s="65">
        <v>1241617493</v>
      </c>
      <c r="AO11" s="65" t="s">
        <v>1342</v>
      </c>
      <c r="AP11" s="65" t="s">
        <v>1216</v>
      </c>
      <c r="AQ11" s="197">
        <v>44013</v>
      </c>
      <c r="AR11" s="65">
        <v>3.1337999999999999</v>
      </c>
      <c r="AS11" s="198">
        <v>0.4914</v>
      </c>
      <c r="AT11" s="198">
        <v>0.16550000000000001</v>
      </c>
      <c r="AU11" s="198">
        <v>8.7499999999999994E-2</v>
      </c>
      <c r="AV11" s="198">
        <v>5.5599999999999997E-2</v>
      </c>
      <c r="AW11" s="198">
        <v>3.9100000000000003E-2</v>
      </c>
      <c r="AX11" s="198">
        <v>2.93E-2</v>
      </c>
      <c r="AY11" s="198">
        <v>2.3E-2</v>
      </c>
      <c r="AZ11" s="198">
        <v>1.8599999999999998E-2</v>
      </c>
      <c r="BA11" s="198">
        <v>7.2300000000000003E-2</v>
      </c>
      <c r="BB11" s="198">
        <v>1.7100000000000001E-2</v>
      </c>
      <c r="BC11" s="198">
        <v>5.0000000000000001E-4</v>
      </c>
      <c r="BD11" s="198">
        <v>0</v>
      </c>
      <c r="BE11" s="198">
        <v>0</v>
      </c>
      <c r="BF11" s="198">
        <v>0</v>
      </c>
      <c r="BG11" s="198">
        <v>0</v>
      </c>
      <c r="BH11" s="12"/>
      <c r="BI11" s="65" t="s">
        <v>1344</v>
      </c>
      <c r="BJ11" s="65" t="s">
        <v>1345</v>
      </c>
      <c r="BK11" s="65" t="s">
        <v>1346</v>
      </c>
      <c r="BL11" s="65" t="s">
        <v>1347</v>
      </c>
      <c r="BM11" s="65">
        <v>1320000000</v>
      </c>
      <c r="BN11" s="65" t="s">
        <v>1345</v>
      </c>
      <c r="BO11" s="65">
        <v>588000000</v>
      </c>
      <c r="BP11" s="65" t="s">
        <v>1348</v>
      </c>
      <c r="BQ11" s="65" t="s">
        <v>1216</v>
      </c>
      <c r="BR11" s="197">
        <v>44013</v>
      </c>
      <c r="BS11" s="65">
        <v>6.9753999999999996</v>
      </c>
      <c r="BT11" s="198">
        <v>0.3029</v>
      </c>
      <c r="BU11" s="198">
        <v>0.14130000000000001</v>
      </c>
      <c r="BV11" s="198">
        <v>9.0499999999999997E-2</v>
      </c>
      <c r="BW11" s="198">
        <v>6.59E-2</v>
      </c>
      <c r="BX11" s="198">
        <v>5.1499999999999997E-2</v>
      </c>
      <c r="BY11" s="198">
        <v>4.2200000000000001E-2</v>
      </c>
      <c r="BZ11" s="198">
        <v>3.56E-2</v>
      </c>
      <c r="CA11" s="198">
        <v>3.0700000000000002E-2</v>
      </c>
      <c r="CB11" s="198">
        <v>0.1419</v>
      </c>
      <c r="CC11" s="198">
        <v>5.67E-2</v>
      </c>
      <c r="CD11" s="198">
        <v>2.5100000000000001E-2</v>
      </c>
      <c r="CE11" s="198">
        <v>1.26E-2</v>
      </c>
      <c r="CF11" s="198">
        <v>3.0999999999999999E-3</v>
      </c>
      <c r="CG11" s="198">
        <v>0</v>
      </c>
      <c r="CH11" s="198">
        <v>0</v>
      </c>
      <c r="CI11" s="12"/>
      <c r="CJ11" s="65" t="s">
        <v>1349</v>
      </c>
      <c r="CK11" s="65" t="s">
        <v>1350</v>
      </c>
      <c r="CL11" s="65" t="s">
        <v>1299</v>
      </c>
      <c r="CM11" s="65" t="s">
        <v>1300</v>
      </c>
      <c r="CN11" s="65">
        <v>1380831764</v>
      </c>
      <c r="CO11" s="65" t="s">
        <v>1350</v>
      </c>
      <c r="CP11" s="65">
        <v>284419051</v>
      </c>
      <c r="CQ11" s="65" t="s">
        <v>1300</v>
      </c>
      <c r="CR11" s="65" t="s">
        <v>1216</v>
      </c>
      <c r="CS11" s="197">
        <v>44013</v>
      </c>
      <c r="CT11" s="65">
        <v>3.2936999999999999</v>
      </c>
      <c r="CU11" s="198">
        <v>0.47849999999999998</v>
      </c>
      <c r="CV11" s="198">
        <v>0.16470000000000001</v>
      </c>
      <c r="CW11" s="198">
        <v>8.8200000000000001E-2</v>
      </c>
      <c r="CX11" s="198">
        <v>5.6599999999999998E-2</v>
      </c>
      <c r="CY11" s="198">
        <v>4.0099999999999997E-2</v>
      </c>
      <c r="CZ11" s="198">
        <v>3.0300000000000001E-2</v>
      </c>
      <c r="DA11" s="198">
        <v>2.3900000000000001E-2</v>
      </c>
      <c r="DB11" s="198">
        <v>1.9400000000000001E-2</v>
      </c>
      <c r="DC11" s="198">
        <v>7.6700000000000004E-2</v>
      </c>
      <c r="DD11" s="198">
        <v>1.9699999999999999E-2</v>
      </c>
      <c r="DE11" s="198">
        <v>1.9E-3</v>
      </c>
      <c r="DF11" s="198">
        <v>0</v>
      </c>
      <c r="DG11" s="198">
        <v>0</v>
      </c>
      <c r="DH11" s="198">
        <v>0</v>
      </c>
      <c r="DI11" s="198">
        <v>0</v>
      </c>
      <c r="DJ11" s="200"/>
    </row>
    <row r="12" spans="1:114" ht="15.75" customHeight="1" x14ac:dyDescent="0.2">
      <c r="A12" s="196"/>
      <c r="B12" s="196"/>
      <c r="C12" s="196"/>
      <c r="D12" s="196"/>
      <c r="E12" s="196"/>
      <c r="F12" s="196"/>
      <c r="G12" s="65" t="s">
        <v>1351</v>
      </c>
      <c r="H12" s="65" t="s">
        <v>1352</v>
      </c>
      <c r="I12" s="65" t="s">
        <v>1291</v>
      </c>
      <c r="J12" s="65" t="s">
        <v>1292</v>
      </c>
      <c r="K12" s="65">
        <v>1017551780</v>
      </c>
      <c r="L12" s="65" t="s">
        <v>1352</v>
      </c>
      <c r="M12" s="65">
        <v>290671617</v>
      </c>
      <c r="N12" s="65" t="s">
        <v>1294</v>
      </c>
      <c r="O12" s="65" t="s">
        <v>1216</v>
      </c>
      <c r="P12" s="197">
        <v>44013</v>
      </c>
      <c r="Q12" s="65">
        <v>3.8672</v>
      </c>
      <c r="R12" s="198">
        <v>0.43680000000000002</v>
      </c>
      <c r="S12" s="198">
        <v>0.1618</v>
      </c>
      <c r="T12" s="198">
        <v>9.0499999999999997E-2</v>
      </c>
      <c r="U12" s="198">
        <v>5.9900000000000002E-2</v>
      </c>
      <c r="V12" s="198">
        <v>4.3499999999999997E-2</v>
      </c>
      <c r="W12" s="198">
        <v>3.3500000000000002E-2</v>
      </c>
      <c r="X12" s="198">
        <v>2.6800000000000001E-2</v>
      </c>
      <c r="Y12" s="198">
        <v>2.2200000000000001E-2</v>
      </c>
      <c r="Z12" s="198">
        <v>9.11E-2</v>
      </c>
      <c r="AA12" s="198">
        <v>2.6599999999999999E-2</v>
      </c>
      <c r="AB12" s="198">
        <v>6.3E-3</v>
      </c>
      <c r="AC12" s="198">
        <v>1.1000000000000001E-3</v>
      </c>
      <c r="AD12" s="198">
        <v>0</v>
      </c>
      <c r="AE12" s="198">
        <v>0</v>
      </c>
      <c r="AF12" s="198">
        <v>0</v>
      </c>
      <c r="AG12" s="12"/>
      <c r="AH12" s="65" t="s">
        <v>1353</v>
      </c>
      <c r="AI12" s="65" t="s">
        <v>1354</v>
      </c>
      <c r="AJ12" s="65" t="s">
        <v>1355</v>
      </c>
      <c r="AK12" s="65" t="s">
        <v>1356</v>
      </c>
      <c r="AL12" s="65">
        <v>485126024</v>
      </c>
      <c r="AM12" s="65" t="s">
        <v>1354</v>
      </c>
      <c r="AN12" s="65">
        <v>485126027</v>
      </c>
      <c r="AO12" s="65" t="s">
        <v>1357</v>
      </c>
      <c r="AP12" s="65" t="s">
        <v>1216</v>
      </c>
      <c r="AQ12" s="197">
        <v>44013</v>
      </c>
      <c r="AR12" s="65">
        <v>2.2467000000000001</v>
      </c>
      <c r="AS12" s="198">
        <v>0.62119999999999997</v>
      </c>
      <c r="AT12" s="198">
        <v>0.15809999999999999</v>
      </c>
      <c r="AU12" s="198">
        <v>7.0999999999999994E-2</v>
      </c>
      <c r="AV12" s="198">
        <v>4.02E-2</v>
      </c>
      <c r="AW12" s="198">
        <v>2.5899999999999999E-2</v>
      </c>
      <c r="AX12" s="198">
        <v>1.8100000000000002E-2</v>
      </c>
      <c r="AY12" s="198">
        <v>1.3299999999999999E-2</v>
      </c>
      <c r="AZ12" s="198">
        <v>1.0200000000000001E-2</v>
      </c>
      <c r="BA12" s="198">
        <v>3.5000000000000003E-2</v>
      </c>
      <c r="BB12" s="198">
        <v>6.4999999999999997E-3</v>
      </c>
      <c r="BC12" s="198">
        <v>4.0000000000000002E-4</v>
      </c>
      <c r="BD12" s="198">
        <v>0</v>
      </c>
      <c r="BE12" s="198">
        <v>0</v>
      </c>
      <c r="BF12" s="198">
        <v>0</v>
      </c>
      <c r="BG12" s="198">
        <v>0</v>
      </c>
      <c r="BH12" s="12"/>
      <c r="BI12" s="65" t="s">
        <v>1358</v>
      </c>
      <c r="BJ12" s="65" t="s">
        <v>1359</v>
      </c>
      <c r="BK12" s="65" t="s">
        <v>1360</v>
      </c>
      <c r="BL12" s="65" t="s">
        <v>1361</v>
      </c>
      <c r="BM12" s="65">
        <v>1070000000</v>
      </c>
      <c r="BN12" s="65" t="s">
        <v>1359</v>
      </c>
      <c r="BO12" s="65">
        <v>1300000000</v>
      </c>
      <c r="BP12" s="201" t="s">
        <v>1362</v>
      </c>
      <c r="BQ12" s="65" t="s">
        <v>1216</v>
      </c>
      <c r="BR12" s="197">
        <v>44013</v>
      </c>
      <c r="BS12" s="65">
        <v>10.9008</v>
      </c>
      <c r="BT12" s="198">
        <v>0.2722</v>
      </c>
      <c r="BU12" s="198">
        <v>0.13189999999999999</v>
      </c>
      <c r="BV12" s="198">
        <v>8.6300000000000002E-2</v>
      </c>
      <c r="BW12" s="198">
        <v>6.3899999999999998E-2</v>
      </c>
      <c r="BX12" s="198">
        <v>5.0599999999999999E-2</v>
      </c>
      <c r="BY12" s="198">
        <v>4.1799999999999997E-2</v>
      </c>
      <c r="BZ12" s="198">
        <v>3.56E-2</v>
      </c>
      <c r="CA12" s="198">
        <v>3.09E-2</v>
      </c>
      <c r="CB12" s="198">
        <v>0.1462</v>
      </c>
      <c r="CC12" s="198">
        <v>6.2600000000000003E-2</v>
      </c>
      <c r="CD12" s="198">
        <v>3.3300000000000003E-2</v>
      </c>
      <c r="CE12" s="198">
        <v>2.3699999999999999E-2</v>
      </c>
      <c r="CF12" s="198">
        <v>2.0199999999999999E-2</v>
      </c>
      <c r="CG12" s="198">
        <v>8.0000000000000004E-4</v>
      </c>
      <c r="CH12" s="198">
        <v>0</v>
      </c>
      <c r="CI12" s="12"/>
      <c r="CJ12" s="65" t="s">
        <v>1363</v>
      </c>
      <c r="CK12" s="65" t="s">
        <v>1364</v>
      </c>
      <c r="CL12" s="65" t="s">
        <v>1365</v>
      </c>
      <c r="CM12" s="65" t="s">
        <v>1366</v>
      </c>
      <c r="CN12" s="65">
        <v>656971078</v>
      </c>
      <c r="CO12" s="65" t="s">
        <v>1364</v>
      </c>
      <c r="CP12" s="65">
        <v>761807761</v>
      </c>
      <c r="CQ12" s="65" t="s">
        <v>1367</v>
      </c>
      <c r="CR12" s="65" t="s">
        <v>1216</v>
      </c>
      <c r="CS12" s="197">
        <v>44013</v>
      </c>
      <c r="CT12" s="65">
        <v>5.2595999999999998</v>
      </c>
      <c r="CU12" s="198">
        <v>0.34339999999999998</v>
      </c>
      <c r="CV12" s="198">
        <v>0.15040000000000001</v>
      </c>
      <c r="CW12" s="198">
        <v>9.2799999999999994E-2</v>
      </c>
      <c r="CX12" s="198">
        <v>6.5799999999999997E-2</v>
      </c>
      <c r="CY12" s="198">
        <v>5.04E-2</v>
      </c>
      <c r="CZ12" s="198">
        <v>4.0500000000000001E-2</v>
      </c>
      <c r="DA12" s="198">
        <v>3.3700000000000001E-2</v>
      </c>
      <c r="DB12" s="198">
        <v>2.87E-2</v>
      </c>
      <c r="DC12" s="198">
        <v>0.12839999999999999</v>
      </c>
      <c r="DD12" s="198">
        <v>4.6399999999999997E-2</v>
      </c>
      <c r="DE12" s="198">
        <v>1.5800000000000002E-2</v>
      </c>
      <c r="DF12" s="198">
        <v>3.5999999999999999E-3</v>
      </c>
      <c r="DG12" s="198">
        <v>0</v>
      </c>
      <c r="DH12" s="198">
        <v>0</v>
      </c>
      <c r="DI12" s="198">
        <v>0</v>
      </c>
      <c r="DJ12" s="200"/>
    </row>
    <row r="13" spans="1:114" ht="15.75" customHeight="1" x14ac:dyDescent="0.2">
      <c r="A13" s="196"/>
      <c r="B13" s="196"/>
      <c r="C13" s="196"/>
      <c r="D13" s="196"/>
      <c r="E13" s="196"/>
      <c r="F13" s="196"/>
      <c r="G13" s="65" t="s">
        <v>1368</v>
      </c>
      <c r="H13" s="65" t="s">
        <v>60</v>
      </c>
      <c r="I13" s="65" t="s">
        <v>1369</v>
      </c>
      <c r="J13" s="65" t="s">
        <v>1370</v>
      </c>
      <c r="K13" s="65">
        <v>665000000</v>
      </c>
      <c r="L13" s="65" t="s">
        <v>60</v>
      </c>
      <c r="M13" s="65">
        <v>1160000000</v>
      </c>
      <c r="N13" s="65" t="s">
        <v>1370</v>
      </c>
      <c r="O13" s="65" t="s">
        <v>1216</v>
      </c>
      <c r="P13" s="197">
        <v>44013</v>
      </c>
      <c r="Q13" s="65">
        <v>4.0369000000000002</v>
      </c>
      <c r="R13" s="198">
        <v>0.42880000000000001</v>
      </c>
      <c r="S13" s="198">
        <v>0.16089999999999999</v>
      </c>
      <c r="T13" s="198">
        <v>9.0700000000000003E-2</v>
      </c>
      <c r="U13" s="198">
        <v>6.0400000000000002E-2</v>
      </c>
      <c r="V13" s="198">
        <v>4.3999999999999997E-2</v>
      </c>
      <c r="W13" s="198">
        <v>3.4000000000000002E-2</v>
      </c>
      <c r="X13" s="198">
        <v>2.7400000000000001E-2</v>
      </c>
      <c r="Y13" s="198">
        <v>2.2599999999999999E-2</v>
      </c>
      <c r="Z13" s="198">
        <v>9.3700000000000006E-2</v>
      </c>
      <c r="AA13" s="198">
        <v>2.8000000000000001E-2</v>
      </c>
      <c r="AB13" s="198">
        <v>7.3000000000000001E-3</v>
      </c>
      <c r="AC13" s="198">
        <v>2E-3</v>
      </c>
      <c r="AD13" s="198">
        <v>0</v>
      </c>
      <c r="AE13" s="198">
        <v>0</v>
      </c>
      <c r="AF13" s="198">
        <v>0</v>
      </c>
      <c r="AG13" s="12"/>
      <c r="AH13" s="65" t="s">
        <v>1371</v>
      </c>
      <c r="AI13" s="65" t="s">
        <v>1372</v>
      </c>
      <c r="AJ13" s="65" t="s">
        <v>1355</v>
      </c>
      <c r="AK13" s="65" t="s">
        <v>1356</v>
      </c>
      <c r="AL13" s="65">
        <v>642727743</v>
      </c>
      <c r="AM13" s="65" t="s">
        <v>1372</v>
      </c>
      <c r="AN13" s="65">
        <v>642727746</v>
      </c>
      <c r="AO13" s="65" t="s">
        <v>1373</v>
      </c>
      <c r="AP13" s="65" t="s">
        <v>1216</v>
      </c>
      <c r="AQ13" s="197">
        <v>44013</v>
      </c>
      <c r="AR13" s="65">
        <v>3.3052000000000001</v>
      </c>
      <c r="AS13" s="198">
        <v>0.49009999999999998</v>
      </c>
      <c r="AT13" s="198">
        <v>0.16420000000000001</v>
      </c>
      <c r="AU13" s="198">
        <v>8.6599999999999996E-2</v>
      </c>
      <c r="AV13" s="198">
        <v>5.5E-2</v>
      </c>
      <c r="AW13" s="198">
        <v>3.8699999999999998E-2</v>
      </c>
      <c r="AX13" s="198">
        <v>2.9000000000000001E-2</v>
      </c>
      <c r="AY13" s="198">
        <v>2.2800000000000001E-2</v>
      </c>
      <c r="AZ13" s="198">
        <v>1.84E-2</v>
      </c>
      <c r="BA13" s="198">
        <v>7.2099999999999997E-2</v>
      </c>
      <c r="BB13" s="198">
        <v>1.8700000000000001E-2</v>
      </c>
      <c r="BC13" s="198">
        <v>3.7000000000000002E-3</v>
      </c>
      <c r="BD13" s="198">
        <v>6.9999999999999999E-4</v>
      </c>
      <c r="BE13" s="198">
        <v>0</v>
      </c>
      <c r="BF13" s="198">
        <v>0</v>
      </c>
      <c r="BG13" s="198">
        <v>0</v>
      </c>
      <c r="BH13" s="12"/>
      <c r="BI13" s="65" t="s">
        <v>1374</v>
      </c>
      <c r="BJ13" s="65" t="s">
        <v>1375</v>
      </c>
      <c r="BK13" s="65" t="s">
        <v>1327</v>
      </c>
      <c r="BL13" s="65" t="s">
        <v>1328</v>
      </c>
      <c r="BM13" s="65">
        <v>1080000000</v>
      </c>
      <c r="BN13" s="65" t="s">
        <v>1376</v>
      </c>
      <c r="BO13" s="65">
        <v>496000000</v>
      </c>
      <c r="BP13" s="65" t="s">
        <v>1330</v>
      </c>
      <c r="BQ13" s="65" t="s">
        <v>1216</v>
      </c>
      <c r="BR13" s="197">
        <v>44013</v>
      </c>
      <c r="BS13" s="65">
        <v>8.8754000000000008</v>
      </c>
      <c r="BT13" s="198">
        <v>0.20369999999999999</v>
      </c>
      <c r="BU13" s="198">
        <v>0.1159</v>
      </c>
      <c r="BV13" s="198">
        <v>8.3199999999999996E-2</v>
      </c>
      <c r="BW13" s="198">
        <v>6.5699999999999995E-2</v>
      </c>
      <c r="BX13" s="198">
        <v>5.4699999999999999E-2</v>
      </c>
      <c r="BY13" s="198">
        <v>4.7E-2</v>
      </c>
      <c r="BZ13" s="198">
        <v>4.1399999999999999E-2</v>
      </c>
      <c r="CA13" s="198">
        <v>3.6999999999999998E-2</v>
      </c>
      <c r="CB13" s="198">
        <v>0.18840000000000001</v>
      </c>
      <c r="CC13" s="198">
        <v>9.5699999999999993E-2</v>
      </c>
      <c r="CD13" s="198">
        <v>5.2600000000000001E-2</v>
      </c>
      <c r="CE13" s="198">
        <v>1.47E-2</v>
      </c>
      <c r="CF13" s="198">
        <v>0</v>
      </c>
      <c r="CG13" s="198">
        <v>0</v>
      </c>
      <c r="CH13" s="198">
        <v>0</v>
      </c>
      <c r="CI13" s="12"/>
      <c r="CJ13" s="65" t="s">
        <v>1377</v>
      </c>
      <c r="CK13" s="65" t="s">
        <v>1378</v>
      </c>
      <c r="CL13" s="65" t="s">
        <v>1379</v>
      </c>
      <c r="CM13" s="65" t="s">
        <v>1380</v>
      </c>
      <c r="CN13" s="65">
        <v>731592936</v>
      </c>
      <c r="CO13" s="65" t="s">
        <v>1381</v>
      </c>
      <c r="CP13" s="65">
        <v>282764297</v>
      </c>
      <c r="CQ13" s="65" t="s">
        <v>1380</v>
      </c>
      <c r="CR13" s="65" t="s">
        <v>1216</v>
      </c>
      <c r="CS13" s="197">
        <v>44013</v>
      </c>
      <c r="CT13" s="65">
        <v>4.8868999999999998</v>
      </c>
      <c r="CU13" s="198">
        <v>0.4113</v>
      </c>
      <c r="CV13" s="198">
        <v>0.15840000000000001</v>
      </c>
      <c r="CW13" s="198">
        <v>9.0700000000000003E-2</v>
      </c>
      <c r="CX13" s="198">
        <v>6.0999999999999999E-2</v>
      </c>
      <c r="CY13" s="198">
        <v>4.4900000000000002E-2</v>
      </c>
      <c r="CZ13" s="198">
        <v>3.49E-2</v>
      </c>
      <c r="DA13" s="198">
        <v>2.8199999999999999E-2</v>
      </c>
      <c r="DB13" s="198">
        <v>2.35E-2</v>
      </c>
      <c r="DC13" s="198">
        <v>9.8699999999999996E-2</v>
      </c>
      <c r="DD13" s="198">
        <v>3.0800000000000001E-2</v>
      </c>
      <c r="DE13" s="198">
        <v>9.5999999999999992E-3</v>
      </c>
      <c r="DF13" s="198">
        <v>4.7999999999999996E-3</v>
      </c>
      <c r="DG13" s="198">
        <v>3.0999999999999999E-3</v>
      </c>
      <c r="DH13" s="198">
        <v>0</v>
      </c>
      <c r="DI13" s="198">
        <v>0</v>
      </c>
      <c r="DJ13" s="200"/>
    </row>
    <row r="14" spans="1:114" ht="15.75" customHeight="1" x14ac:dyDescent="0.15">
      <c r="A14" s="196"/>
      <c r="B14" s="196"/>
      <c r="C14" s="196"/>
      <c r="D14" s="196"/>
      <c r="E14" s="196"/>
      <c r="F14" s="196"/>
      <c r="G14" s="65" t="s">
        <v>1382</v>
      </c>
      <c r="H14" s="65" t="s">
        <v>1383</v>
      </c>
      <c r="I14" s="65" t="s">
        <v>1258</v>
      </c>
      <c r="J14" s="65" t="s">
        <v>1259</v>
      </c>
      <c r="K14" s="65">
        <v>829000000</v>
      </c>
      <c r="L14" s="65" t="s">
        <v>1383</v>
      </c>
      <c r="M14" s="65">
        <v>293000000</v>
      </c>
      <c r="N14" s="65" t="s">
        <v>1260</v>
      </c>
      <c r="O14" s="65" t="s">
        <v>1216</v>
      </c>
      <c r="P14" s="197">
        <v>44013</v>
      </c>
      <c r="Q14" s="65">
        <v>5.4234999999999998</v>
      </c>
      <c r="R14" s="198">
        <v>0.3422</v>
      </c>
      <c r="S14" s="198">
        <v>0.14990000000000001</v>
      </c>
      <c r="T14" s="198">
        <v>9.2399999999999996E-2</v>
      </c>
      <c r="U14" s="198">
        <v>6.5600000000000006E-2</v>
      </c>
      <c r="V14" s="198">
        <v>5.0299999999999997E-2</v>
      </c>
      <c r="W14" s="198">
        <v>4.0399999999999998E-2</v>
      </c>
      <c r="X14" s="198">
        <v>3.3599999999999998E-2</v>
      </c>
      <c r="Y14" s="198">
        <v>2.87E-2</v>
      </c>
      <c r="Z14" s="198">
        <v>0.12820000000000001</v>
      </c>
      <c r="AA14" s="198">
        <v>4.6600000000000003E-2</v>
      </c>
      <c r="AB14" s="198">
        <v>1.67E-2</v>
      </c>
      <c r="AC14" s="198">
        <v>5.3E-3</v>
      </c>
      <c r="AD14" s="198">
        <v>0</v>
      </c>
      <c r="AE14" s="198">
        <v>0</v>
      </c>
      <c r="AF14" s="198">
        <v>0</v>
      </c>
      <c r="AG14" s="12"/>
      <c r="AH14" s="65" t="s">
        <v>1384</v>
      </c>
      <c r="AI14" s="65" t="s">
        <v>1385</v>
      </c>
      <c r="AJ14" s="65" t="s">
        <v>1258</v>
      </c>
      <c r="AK14" s="65" t="s">
        <v>1259</v>
      </c>
      <c r="AL14" s="65">
        <v>1123582513</v>
      </c>
      <c r="AM14" s="65" t="s">
        <v>1385</v>
      </c>
      <c r="AN14" s="65">
        <v>525894639</v>
      </c>
      <c r="AO14" s="65" t="s">
        <v>1386</v>
      </c>
      <c r="AP14" s="65" t="s">
        <v>1216</v>
      </c>
      <c r="AQ14" s="197">
        <v>44013</v>
      </c>
      <c r="AR14" s="65">
        <v>5.4394999999999998</v>
      </c>
      <c r="AS14" s="198">
        <v>0.3579</v>
      </c>
      <c r="AT14" s="198">
        <v>0.15190000000000001</v>
      </c>
      <c r="AU14" s="198">
        <v>9.1999999999999998E-2</v>
      </c>
      <c r="AV14" s="198">
        <v>6.4500000000000002E-2</v>
      </c>
      <c r="AW14" s="198">
        <v>4.8899999999999999E-2</v>
      </c>
      <c r="AX14" s="198">
        <v>3.9E-2</v>
      </c>
      <c r="AY14" s="198">
        <v>3.2300000000000002E-2</v>
      </c>
      <c r="AZ14" s="198">
        <v>2.7300000000000001E-2</v>
      </c>
      <c r="BA14" s="198">
        <v>0.1205</v>
      </c>
      <c r="BB14" s="198">
        <v>4.24E-2</v>
      </c>
      <c r="BC14" s="198">
        <v>1.52E-2</v>
      </c>
      <c r="BD14" s="198">
        <v>6.7000000000000002E-3</v>
      </c>
      <c r="BE14" s="198">
        <v>1.1999999999999999E-3</v>
      </c>
      <c r="BF14" s="198">
        <v>0</v>
      </c>
      <c r="BG14" s="198">
        <v>0</v>
      </c>
      <c r="BH14" s="12"/>
      <c r="BI14" s="65" t="s">
        <v>1387</v>
      </c>
      <c r="BJ14" s="65" t="s">
        <v>1388</v>
      </c>
      <c r="BK14" s="65" t="s">
        <v>1389</v>
      </c>
      <c r="BL14" s="65" t="s">
        <v>1390</v>
      </c>
      <c r="BM14" s="65">
        <v>1290000000</v>
      </c>
      <c r="BN14" s="65" t="s">
        <v>1388</v>
      </c>
      <c r="BO14" s="65">
        <v>305000000</v>
      </c>
      <c r="BP14" s="65" t="s">
        <v>1390</v>
      </c>
      <c r="BQ14" s="65" t="s">
        <v>1216</v>
      </c>
      <c r="BR14" s="197">
        <v>44013</v>
      </c>
      <c r="BS14" s="65">
        <v>5.827</v>
      </c>
      <c r="BT14" s="198">
        <v>0.33279999999999998</v>
      </c>
      <c r="BU14" s="198">
        <v>0.14779999999999999</v>
      </c>
      <c r="BV14" s="198">
        <v>9.1899999999999996E-2</v>
      </c>
      <c r="BW14" s="198">
        <v>6.5600000000000006E-2</v>
      </c>
      <c r="BX14" s="198">
        <v>5.0500000000000003E-2</v>
      </c>
      <c r="BY14" s="198">
        <v>4.0800000000000003E-2</v>
      </c>
      <c r="BZ14" s="198">
        <v>3.4000000000000002E-2</v>
      </c>
      <c r="CA14" s="198">
        <v>2.9100000000000001E-2</v>
      </c>
      <c r="CB14" s="198">
        <v>0.13120000000000001</v>
      </c>
      <c r="CC14" s="198">
        <v>4.8899999999999999E-2</v>
      </c>
      <c r="CD14" s="198">
        <v>1.8800000000000001E-2</v>
      </c>
      <c r="CE14" s="198">
        <v>7.7000000000000002E-3</v>
      </c>
      <c r="CF14" s="198">
        <v>6.9999999999999999E-4</v>
      </c>
      <c r="CG14" s="198">
        <v>0</v>
      </c>
      <c r="CH14" s="198">
        <v>0</v>
      </c>
      <c r="CI14" s="12"/>
      <c r="CJ14" s="65" t="s">
        <v>1391</v>
      </c>
      <c r="CK14" s="65" t="s">
        <v>1392</v>
      </c>
      <c r="CL14" s="65" t="s">
        <v>1244</v>
      </c>
      <c r="CM14" s="65" t="s">
        <v>1245</v>
      </c>
      <c r="CN14" s="65">
        <v>824318267</v>
      </c>
      <c r="CO14" s="65" t="s">
        <v>1392</v>
      </c>
      <c r="CP14" s="65">
        <v>295913422</v>
      </c>
      <c r="CQ14" s="65" t="s">
        <v>1393</v>
      </c>
      <c r="CR14" s="65" t="s">
        <v>1216</v>
      </c>
      <c r="CS14" s="197">
        <v>44013</v>
      </c>
      <c r="CT14" s="65">
        <v>8.3627000000000002</v>
      </c>
      <c r="CU14" s="198">
        <v>0.31340000000000001</v>
      </c>
      <c r="CV14" s="198">
        <v>0.1421</v>
      </c>
      <c r="CW14" s="198">
        <v>8.9499999999999996E-2</v>
      </c>
      <c r="CX14" s="198">
        <v>6.4399999999999999E-2</v>
      </c>
      <c r="CY14" s="198">
        <v>4.99E-2</v>
      </c>
      <c r="CZ14" s="198">
        <v>4.0599999999999997E-2</v>
      </c>
      <c r="DA14" s="198">
        <v>3.4000000000000002E-2</v>
      </c>
      <c r="DB14" s="198">
        <v>2.92E-2</v>
      </c>
      <c r="DC14" s="198">
        <v>0.1333</v>
      </c>
      <c r="DD14" s="198">
        <v>5.1999999999999998E-2</v>
      </c>
      <c r="DE14" s="198">
        <v>2.3699999999999999E-2</v>
      </c>
      <c r="DF14" s="198">
        <v>1.5299999999999999E-2</v>
      </c>
      <c r="DG14" s="198">
        <v>1.2200000000000001E-2</v>
      </c>
      <c r="DH14" s="198">
        <v>4.0000000000000002E-4</v>
      </c>
      <c r="DI14" s="198">
        <v>0</v>
      </c>
      <c r="DJ14" s="12"/>
    </row>
    <row r="15" spans="1:114" ht="15.75" customHeight="1" x14ac:dyDescent="0.2">
      <c r="A15" s="196"/>
      <c r="B15" s="196"/>
      <c r="C15" s="196"/>
      <c r="D15" s="196"/>
      <c r="E15" s="196"/>
      <c r="F15" s="196"/>
      <c r="G15" s="65" t="s">
        <v>1394</v>
      </c>
      <c r="H15" s="65" t="s">
        <v>62</v>
      </c>
      <c r="I15" s="65" t="s">
        <v>1369</v>
      </c>
      <c r="J15" s="65" t="s">
        <v>1370</v>
      </c>
      <c r="K15" s="65">
        <v>1110000000</v>
      </c>
      <c r="L15" s="65" t="s">
        <v>62</v>
      </c>
      <c r="M15" s="65">
        <v>1160000000</v>
      </c>
      <c r="N15" s="65" t="s">
        <v>1370</v>
      </c>
      <c r="O15" s="65" t="s">
        <v>1216</v>
      </c>
      <c r="P15" s="197">
        <v>44013</v>
      </c>
      <c r="Q15" s="65">
        <v>5.1128</v>
      </c>
      <c r="R15" s="198">
        <v>0.34689999999999999</v>
      </c>
      <c r="S15" s="198">
        <v>0.1512</v>
      </c>
      <c r="T15" s="198">
        <v>9.2999999999999999E-2</v>
      </c>
      <c r="U15" s="198">
        <v>6.5799999999999997E-2</v>
      </c>
      <c r="V15" s="198">
        <v>5.04E-2</v>
      </c>
      <c r="W15" s="198">
        <v>4.0500000000000001E-2</v>
      </c>
      <c r="X15" s="198">
        <v>3.3599999999999998E-2</v>
      </c>
      <c r="Y15" s="198">
        <v>2.86E-2</v>
      </c>
      <c r="Z15" s="198">
        <v>0.1275</v>
      </c>
      <c r="AA15" s="198">
        <v>4.5600000000000002E-2</v>
      </c>
      <c r="AB15" s="198">
        <v>1.46E-2</v>
      </c>
      <c r="AC15" s="198">
        <v>2.3999999999999998E-3</v>
      </c>
      <c r="AD15" s="198">
        <v>0</v>
      </c>
      <c r="AE15" s="198">
        <v>0</v>
      </c>
      <c r="AF15" s="198">
        <v>0</v>
      </c>
      <c r="AG15" s="12"/>
      <c r="AH15" s="65" t="s">
        <v>1395</v>
      </c>
      <c r="AI15" s="65" t="s">
        <v>1396</v>
      </c>
      <c r="AJ15" s="65" t="s">
        <v>1244</v>
      </c>
      <c r="AK15" s="65" t="s">
        <v>1245</v>
      </c>
      <c r="AL15" s="65">
        <v>1369317521</v>
      </c>
      <c r="AM15" s="65" t="s">
        <v>1396</v>
      </c>
      <c r="AN15" s="65">
        <v>295913422</v>
      </c>
      <c r="AO15" s="65" t="s">
        <v>1393</v>
      </c>
      <c r="AP15" s="65" t="s">
        <v>1216</v>
      </c>
      <c r="AQ15" s="197">
        <v>44013</v>
      </c>
      <c r="AR15" s="65">
        <v>4.7674000000000003</v>
      </c>
      <c r="AS15" s="198">
        <v>0.32800000000000001</v>
      </c>
      <c r="AT15" s="198">
        <v>0.15140000000000001</v>
      </c>
      <c r="AU15" s="198">
        <v>9.6100000000000005E-2</v>
      </c>
      <c r="AV15" s="198">
        <v>6.9400000000000003E-2</v>
      </c>
      <c r="AW15" s="198">
        <v>5.3900000000000003E-2</v>
      </c>
      <c r="AX15" s="198">
        <v>4.3799999999999999E-2</v>
      </c>
      <c r="AY15" s="198">
        <v>3.6700000000000003E-2</v>
      </c>
      <c r="AZ15" s="198">
        <v>3.1399999999999997E-2</v>
      </c>
      <c r="BA15" s="198">
        <v>0.14149999999999999</v>
      </c>
      <c r="BB15" s="198">
        <v>4.5999999999999999E-2</v>
      </c>
      <c r="BC15" s="198">
        <v>2E-3</v>
      </c>
      <c r="BD15" s="198">
        <v>0</v>
      </c>
      <c r="BE15" s="198">
        <v>0</v>
      </c>
      <c r="BF15" s="198">
        <v>0</v>
      </c>
      <c r="BG15" s="198">
        <v>0</v>
      </c>
      <c r="BH15" s="12"/>
      <c r="BI15" s="65" t="s">
        <v>1397</v>
      </c>
      <c r="BJ15" s="65" t="s">
        <v>1398</v>
      </c>
      <c r="BK15" s="65" t="s">
        <v>1399</v>
      </c>
      <c r="BL15" s="65" t="s">
        <v>1400</v>
      </c>
      <c r="BM15" s="65">
        <v>1340000000</v>
      </c>
      <c r="BN15" s="65" t="s">
        <v>1398</v>
      </c>
      <c r="BO15" s="65">
        <v>1040000000</v>
      </c>
      <c r="BP15" s="65" t="s">
        <v>1401</v>
      </c>
      <c r="BQ15" s="65" t="s">
        <v>1216</v>
      </c>
      <c r="BR15" s="197">
        <v>44013</v>
      </c>
      <c r="BS15" s="65">
        <v>10.4842</v>
      </c>
      <c r="BT15" s="198">
        <v>0.2271</v>
      </c>
      <c r="BU15" s="198">
        <v>0.1208</v>
      </c>
      <c r="BV15" s="198">
        <v>8.3500000000000005E-2</v>
      </c>
      <c r="BW15" s="198">
        <v>6.4199999999999993E-2</v>
      </c>
      <c r="BX15" s="198">
        <v>5.2400000000000002E-2</v>
      </c>
      <c r="BY15" s="198">
        <v>4.4299999999999999E-2</v>
      </c>
      <c r="BZ15" s="198">
        <v>3.85E-2</v>
      </c>
      <c r="CA15" s="198">
        <v>3.4099999999999998E-2</v>
      </c>
      <c r="CB15" s="198">
        <v>0.16850000000000001</v>
      </c>
      <c r="CC15" s="198">
        <v>8.09E-2</v>
      </c>
      <c r="CD15" s="198">
        <v>4.7100000000000003E-2</v>
      </c>
      <c r="CE15" s="198">
        <v>2.86E-2</v>
      </c>
      <c r="CF15" s="198">
        <v>9.9000000000000008E-3</v>
      </c>
      <c r="CG15" s="198">
        <v>0</v>
      </c>
      <c r="CH15" s="198">
        <v>0</v>
      </c>
      <c r="CI15" s="12"/>
      <c r="CJ15" s="65" t="s">
        <v>1402</v>
      </c>
      <c r="CK15" s="65" t="s">
        <v>1403</v>
      </c>
      <c r="CL15" s="65" t="s">
        <v>1404</v>
      </c>
      <c r="CM15" s="65" t="s">
        <v>1405</v>
      </c>
      <c r="CN15" s="65">
        <v>1372638631</v>
      </c>
      <c r="CO15" s="65" t="s">
        <v>1403</v>
      </c>
      <c r="CP15" s="65">
        <v>1004862412</v>
      </c>
      <c r="CQ15" s="65" t="s">
        <v>1406</v>
      </c>
      <c r="CR15" s="65" t="s">
        <v>1216</v>
      </c>
      <c r="CS15" s="197">
        <v>44013</v>
      </c>
      <c r="CT15" s="65">
        <v>5.6033999999999997</v>
      </c>
      <c r="CU15" s="198">
        <v>0.30709999999999998</v>
      </c>
      <c r="CV15" s="198">
        <v>0.14449999999999999</v>
      </c>
      <c r="CW15" s="198">
        <v>9.2899999999999996E-2</v>
      </c>
      <c r="CX15" s="198">
        <v>6.7900000000000002E-2</v>
      </c>
      <c r="CY15" s="198">
        <v>5.3199999999999997E-2</v>
      </c>
      <c r="CZ15" s="198">
        <v>4.36E-2</v>
      </c>
      <c r="DA15" s="198">
        <v>3.6799999999999999E-2</v>
      </c>
      <c r="DB15" s="198">
        <v>3.1699999999999999E-2</v>
      </c>
      <c r="DC15" s="198">
        <v>0.14660000000000001</v>
      </c>
      <c r="DD15" s="198">
        <v>5.6800000000000003E-2</v>
      </c>
      <c r="DE15" s="198">
        <v>1.7999999999999999E-2</v>
      </c>
      <c r="DF15" s="198">
        <v>8.9999999999999998E-4</v>
      </c>
      <c r="DG15" s="198">
        <v>0</v>
      </c>
      <c r="DH15" s="198">
        <v>0</v>
      </c>
      <c r="DI15" s="198">
        <v>0</v>
      </c>
      <c r="DJ15" s="200"/>
    </row>
    <row r="16" spans="1:114" ht="15.75" customHeight="1" x14ac:dyDescent="0.2">
      <c r="A16" s="196"/>
      <c r="B16" s="196"/>
      <c r="C16" s="196"/>
      <c r="D16" s="196"/>
      <c r="E16" s="196"/>
      <c r="F16" s="196"/>
      <c r="G16" s="65" t="s">
        <v>1407</v>
      </c>
      <c r="H16" s="65" t="s">
        <v>1408</v>
      </c>
      <c r="I16" s="65" t="s">
        <v>1285</v>
      </c>
      <c r="J16" s="65" t="s">
        <v>1286</v>
      </c>
      <c r="K16" s="65">
        <v>1340000000</v>
      </c>
      <c r="L16" s="65" t="s">
        <v>1408</v>
      </c>
      <c r="M16" s="65">
        <v>967000000</v>
      </c>
      <c r="N16" s="65" t="s">
        <v>1409</v>
      </c>
      <c r="O16" s="65" t="s">
        <v>1216</v>
      </c>
      <c r="P16" s="197">
        <v>44013</v>
      </c>
      <c r="Q16" s="65">
        <v>4.8301999999999996</v>
      </c>
      <c r="R16" s="198">
        <v>0.34260000000000002</v>
      </c>
      <c r="S16" s="198">
        <v>0.15190000000000001</v>
      </c>
      <c r="T16" s="198">
        <v>9.4299999999999995E-2</v>
      </c>
      <c r="U16" s="198">
        <v>6.7199999999999996E-2</v>
      </c>
      <c r="V16" s="198">
        <v>5.16E-2</v>
      </c>
      <c r="W16" s="198">
        <v>4.1599999999999998E-2</v>
      </c>
      <c r="X16" s="198">
        <v>3.4599999999999999E-2</v>
      </c>
      <c r="Y16" s="198">
        <v>2.9499999999999998E-2</v>
      </c>
      <c r="Z16" s="198">
        <v>0.1321</v>
      </c>
      <c r="AA16" s="198">
        <v>4.5900000000000003E-2</v>
      </c>
      <c r="AB16" s="198">
        <v>8.6E-3</v>
      </c>
      <c r="AC16" s="198">
        <v>0</v>
      </c>
      <c r="AD16" s="198">
        <v>0</v>
      </c>
      <c r="AE16" s="198">
        <v>0</v>
      </c>
      <c r="AF16" s="198">
        <v>0</v>
      </c>
      <c r="AG16" s="12"/>
      <c r="AH16" s="65" t="s">
        <v>1410</v>
      </c>
      <c r="AI16" s="65" t="s">
        <v>1411</v>
      </c>
      <c r="AJ16" s="65" t="s">
        <v>1244</v>
      </c>
      <c r="AK16" s="65" t="s">
        <v>1245</v>
      </c>
      <c r="AL16" s="65">
        <v>694876905</v>
      </c>
      <c r="AM16" s="65" t="s">
        <v>1411</v>
      </c>
      <c r="AN16" s="65">
        <v>295913422</v>
      </c>
      <c r="AO16" s="65" t="s">
        <v>1393</v>
      </c>
      <c r="AP16" s="65" t="s">
        <v>1216</v>
      </c>
      <c r="AQ16" s="197">
        <v>44013</v>
      </c>
      <c r="AR16" s="65">
        <v>3.5628000000000002</v>
      </c>
      <c r="AS16" s="198">
        <v>0.45050000000000001</v>
      </c>
      <c r="AT16" s="198">
        <v>0.16350000000000001</v>
      </c>
      <c r="AU16" s="198">
        <v>9.0399999999999994E-2</v>
      </c>
      <c r="AV16" s="198">
        <v>5.9299999999999999E-2</v>
      </c>
      <c r="AW16" s="198">
        <v>4.2700000000000002E-2</v>
      </c>
      <c r="AX16" s="198">
        <v>3.27E-2</v>
      </c>
      <c r="AY16" s="198">
        <v>2.6100000000000002E-2</v>
      </c>
      <c r="AZ16" s="198">
        <v>2.1399999999999999E-2</v>
      </c>
      <c r="BA16" s="198">
        <v>8.6900000000000005E-2</v>
      </c>
      <c r="BB16" s="198">
        <v>2.3800000000000002E-2</v>
      </c>
      <c r="BC16" s="198">
        <v>2.8E-3</v>
      </c>
      <c r="BD16" s="198">
        <v>0</v>
      </c>
      <c r="BE16" s="198">
        <v>0</v>
      </c>
      <c r="BF16" s="198">
        <v>0</v>
      </c>
      <c r="BG16" s="198">
        <v>0</v>
      </c>
      <c r="BH16" s="12"/>
      <c r="BI16" s="65" t="s">
        <v>1412</v>
      </c>
      <c r="BJ16" s="65" t="s">
        <v>1413</v>
      </c>
      <c r="BK16" s="65" t="s">
        <v>1414</v>
      </c>
      <c r="BL16" s="65" t="s">
        <v>1415</v>
      </c>
      <c r="BM16" s="65">
        <v>921000000</v>
      </c>
      <c r="BN16" s="65" t="s">
        <v>1413</v>
      </c>
      <c r="BO16" s="65">
        <v>285000000</v>
      </c>
      <c r="BP16" s="65" t="s">
        <v>1415</v>
      </c>
      <c r="BQ16" s="65" t="s">
        <v>1216</v>
      </c>
      <c r="BR16" s="197">
        <v>44013</v>
      </c>
      <c r="BS16" s="65">
        <v>6.8982000000000001</v>
      </c>
      <c r="BT16" s="198">
        <v>0.3004</v>
      </c>
      <c r="BU16" s="198">
        <v>0.1409</v>
      </c>
      <c r="BV16" s="198">
        <v>9.0499999999999997E-2</v>
      </c>
      <c r="BW16" s="198">
        <v>6.6100000000000006E-2</v>
      </c>
      <c r="BX16" s="198">
        <v>5.1799999999999999E-2</v>
      </c>
      <c r="BY16" s="198">
        <v>4.24E-2</v>
      </c>
      <c r="BZ16" s="198">
        <v>3.5799999999999998E-2</v>
      </c>
      <c r="CA16" s="198">
        <v>3.09E-2</v>
      </c>
      <c r="CB16" s="198">
        <v>0.1434</v>
      </c>
      <c r="CC16" s="198">
        <v>5.7599999999999998E-2</v>
      </c>
      <c r="CD16" s="198">
        <v>2.5499999999999998E-2</v>
      </c>
      <c r="CE16" s="198">
        <v>1.23E-2</v>
      </c>
      <c r="CF16" s="198">
        <v>2.3E-3</v>
      </c>
      <c r="CG16" s="198">
        <v>0</v>
      </c>
      <c r="CH16" s="198">
        <v>0</v>
      </c>
      <c r="CI16" s="12"/>
      <c r="CJ16" s="65" t="s">
        <v>1416</v>
      </c>
      <c r="CK16" s="65" t="s">
        <v>1417</v>
      </c>
      <c r="CL16" s="65" t="s">
        <v>1418</v>
      </c>
      <c r="CM16" s="65" t="s">
        <v>1419</v>
      </c>
      <c r="CN16" s="65">
        <v>506627515</v>
      </c>
      <c r="CO16" s="65" t="s">
        <v>1417</v>
      </c>
      <c r="CP16" s="65">
        <v>488106216</v>
      </c>
      <c r="CQ16" s="65" t="s">
        <v>1419</v>
      </c>
      <c r="CR16" s="65" t="s">
        <v>1216</v>
      </c>
      <c r="CS16" s="197">
        <v>44013</v>
      </c>
      <c r="CT16" s="65">
        <v>7.0705</v>
      </c>
      <c r="CU16" s="198">
        <v>0.34150000000000003</v>
      </c>
      <c r="CV16" s="198">
        <v>0.1479</v>
      </c>
      <c r="CW16" s="198">
        <v>9.0700000000000003E-2</v>
      </c>
      <c r="CX16" s="198">
        <v>6.4100000000000004E-2</v>
      </c>
      <c r="CY16" s="198">
        <v>4.8899999999999999E-2</v>
      </c>
      <c r="CZ16" s="198">
        <v>3.9300000000000002E-2</v>
      </c>
      <c r="DA16" s="198">
        <v>3.2599999999999997E-2</v>
      </c>
      <c r="DB16" s="198">
        <v>2.7699999999999999E-2</v>
      </c>
      <c r="DC16" s="198">
        <v>0.1237</v>
      </c>
      <c r="DD16" s="198">
        <v>4.5199999999999997E-2</v>
      </c>
      <c r="DE16" s="198">
        <v>1.8599999999999998E-2</v>
      </c>
      <c r="DF16" s="198">
        <v>1.12E-2</v>
      </c>
      <c r="DG16" s="198">
        <v>8.3999999999999995E-3</v>
      </c>
      <c r="DH16" s="198">
        <v>2.0000000000000001E-4</v>
      </c>
      <c r="DI16" s="198">
        <v>0</v>
      </c>
      <c r="DJ16" s="200"/>
    </row>
    <row r="17" spans="1:114" ht="15.75" customHeight="1" x14ac:dyDescent="0.2">
      <c r="A17" s="196"/>
      <c r="B17" s="196"/>
      <c r="C17" s="196"/>
      <c r="D17" s="196"/>
      <c r="E17" s="196"/>
      <c r="F17" s="196"/>
      <c r="G17" s="65" t="s">
        <v>1420</v>
      </c>
      <c r="H17" s="65" t="s">
        <v>59</v>
      </c>
      <c r="I17" s="65" t="s">
        <v>1369</v>
      </c>
      <c r="J17" s="65" t="s">
        <v>1370</v>
      </c>
      <c r="K17" s="65">
        <v>1200000000</v>
      </c>
      <c r="L17" s="65" t="s">
        <v>59</v>
      </c>
      <c r="M17" s="65">
        <v>1160000000</v>
      </c>
      <c r="N17" s="65" t="s">
        <v>1370</v>
      </c>
      <c r="O17" s="65" t="s">
        <v>1216</v>
      </c>
      <c r="P17" s="197">
        <v>44013</v>
      </c>
      <c r="Q17" s="65">
        <v>3.6631999999999998</v>
      </c>
      <c r="R17" s="198">
        <v>0.44950000000000001</v>
      </c>
      <c r="S17" s="198">
        <v>0.16289999999999999</v>
      </c>
      <c r="T17" s="198">
        <v>8.9899999999999994E-2</v>
      </c>
      <c r="U17" s="198">
        <v>5.8999999999999997E-2</v>
      </c>
      <c r="V17" s="198">
        <v>4.2500000000000003E-2</v>
      </c>
      <c r="W17" s="198">
        <v>3.2599999999999997E-2</v>
      </c>
      <c r="X17" s="198">
        <v>2.5999999999999999E-2</v>
      </c>
      <c r="Y17" s="198">
        <v>2.1299999999999999E-2</v>
      </c>
      <c r="Z17" s="198">
        <v>8.6699999999999999E-2</v>
      </c>
      <c r="AA17" s="198">
        <v>2.4500000000000001E-2</v>
      </c>
      <c r="AB17" s="198">
        <v>4.8999999999999998E-3</v>
      </c>
      <c r="AC17" s="198">
        <v>2.9999999999999997E-4</v>
      </c>
      <c r="AD17" s="198">
        <v>0</v>
      </c>
      <c r="AE17" s="198">
        <v>0</v>
      </c>
      <c r="AF17" s="198">
        <v>0</v>
      </c>
      <c r="AG17" s="12"/>
      <c r="AH17" s="65" t="s">
        <v>1421</v>
      </c>
      <c r="AI17" s="65" t="s">
        <v>1422</v>
      </c>
      <c r="AJ17" s="65" t="s">
        <v>1258</v>
      </c>
      <c r="AK17" s="65" t="s">
        <v>1259</v>
      </c>
      <c r="AL17" s="65">
        <v>785537179</v>
      </c>
      <c r="AM17" s="65" t="s">
        <v>1422</v>
      </c>
      <c r="AN17" s="65">
        <v>525894639</v>
      </c>
      <c r="AO17" s="65" t="s">
        <v>1386</v>
      </c>
      <c r="AP17" s="65" t="s">
        <v>1216</v>
      </c>
      <c r="AQ17" s="197">
        <v>44013</v>
      </c>
      <c r="AR17" s="65">
        <v>3.1522999999999999</v>
      </c>
      <c r="AS17" s="198">
        <v>0.49120000000000003</v>
      </c>
      <c r="AT17" s="198">
        <v>0.1653</v>
      </c>
      <c r="AU17" s="198">
        <v>8.7400000000000005E-2</v>
      </c>
      <c r="AV17" s="198">
        <v>5.5500000000000001E-2</v>
      </c>
      <c r="AW17" s="198">
        <v>3.9100000000000003E-2</v>
      </c>
      <c r="AX17" s="198">
        <v>2.93E-2</v>
      </c>
      <c r="AY17" s="198">
        <v>2.3E-2</v>
      </c>
      <c r="AZ17" s="198">
        <v>1.8599999999999998E-2</v>
      </c>
      <c r="BA17" s="198">
        <v>7.2300000000000003E-2</v>
      </c>
      <c r="BB17" s="198">
        <v>1.7500000000000002E-2</v>
      </c>
      <c r="BC17" s="198">
        <v>8.0000000000000004E-4</v>
      </c>
      <c r="BD17" s="198">
        <v>0</v>
      </c>
      <c r="BE17" s="198">
        <v>0</v>
      </c>
      <c r="BF17" s="198">
        <v>0</v>
      </c>
      <c r="BG17" s="198">
        <v>0</v>
      </c>
      <c r="BH17" s="12"/>
      <c r="BI17" s="65" t="s">
        <v>1423</v>
      </c>
      <c r="BJ17" s="65" t="s">
        <v>1424</v>
      </c>
      <c r="BK17" s="65" t="s">
        <v>1279</v>
      </c>
      <c r="BL17" s="65" t="s">
        <v>1280</v>
      </c>
      <c r="BM17" s="65">
        <v>1350000000</v>
      </c>
      <c r="BN17" s="65" t="s">
        <v>1425</v>
      </c>
      <c r="BO17" s="65">
        <v>982000000</v>
      </c>
      <c r="BP17" s="65" t="s">
        <v>1282</v>
      </c>
      <c r="BQ17" s="65" t="s">
        <v>1216</v>
      </c>
      <c r="BR17" s="197">
        <v>44013</v>
      </c>
      <c r="BS17" s="65">
        <v>9.0779999999999994</v>
      </c>
      <c r="BT17" s="198">
        <v>0.23280000000000001</v>
      </c>
      <c r="BU17" s="198">
        <v>0.1235</v>
      </c>
      <c r="BV17" s="198">
        <v>8.5199999999999998E-2</v>
      </c>
      <c r="BW17" s="198">
        <v>6.54E-2</v>
      </c>
      <c r="BX17" s="198">
        <v>5.33E-2</v>
      </c>
      <c r="BY17" s="198">
        <v>4.4999999999999998E-2</v>
      </c>
      <c r="BZ17" s="198">
        <v>3.9100000000000003E-2</v>
      </c>
      <c r="CA17" s="198">
        <v>3.4500000000000003E-2</v>
      </c>
      <c r="CB17" s="198">
        <v>0.17030000000000001</v>
      </c>
      <c r="CC17" s="198">
        <v>8.0600000000000005E-2</v>
      </c>
      <c r="CD17" s="198">
        <v>4.4499999999999998E-2</v>
      </c>
      <c r="CE17" s="198">
        <v>2.2800000000000001E-2</v>
      </c>
      <c r="CF17" s="198">
        <v>3.0000000000000001E-3</v>
      </c>
      <c r="CG17" s="198">
        <v>0</v>
      </c>
      <c r="CH17" s="198">
        <v>0</v>
      </c>
      <c r="CI17" s="12"/>
      <c r="CJ17" s="65" t="s">
        <v>1426</v>
      </c>
      <c r="CK17" s="65" t="s">
        <v>1427</v>
      </c>
      <c r="CL17" s="65" t="s">
        <v>1299</v>
      </c>
      <c r="CM17" s="65" t="s">
        <v>1300</v>
      </c>
      <c r="CN17" s="65">
        <v>860822992</v>
      </c>
      <c r="CO17" s="65" t="s">
        <v>1427</v>
      </c>
      <c r="CP17" s="65">
        <v>284419051</v>
      </c>
      <c r="CQ17" s="65" t="s">
        <v>1300</v>
      </c>
      <c r="CR17" s="65" t="s">
        <v>1216</v>
      </c>
      <c r="CS17" s="197">
        <v>44013</v>
      </c>
      <c r="CT17" s="65">
        <v>7.0734000000000004</v>
      </c>
      <c r="CU17" s="198">
        <v>0.34139999999999998</v>
      </c>
      <c r="CV17" s="198">
        <v>0.1479</v>
      </c>
      <c r="CW17" s="198">
        <v>9.0700000000000003E-2</v>
      </c>
      <c r="CX17" s="198">
        <v>6.4100000000000004E-2</v>
      </c>
      <c r="CY17" s="198">
        <v>4.8899999999999999E-2</v>
      </c>
      <c r="CZ17" s="198">
        <v>3.9300000000000002E-2</v>
      </c>
      <c r="DA17" s="198">
        <v>3.2599999999999997E-2</v>
      </c>
      <c r="DB17" s="198">
        <v>2.7699999999999999E-2</v>
      </c>
      <c r="DC17" s="198">
        <v>0.1237</v>
      </c>
      <c r="DD17" s="198">
        <v>4.53E-2</v>
      </c>
      <c r="DE17" s="198">
        <v>1.8599999999999998E-2</v>
      </c>
      <c r="DF17" s="198">
        <v>1.12E-2</v>
      </c>
      <c r="DG17" s="198">
        <v>8.5000000000000006E-3</v>
      </c>
      <c r="DH17" s="198">
        <v>2.0000000000000001E-4</v>
      </c>
      <c r="DI17" s="198">
        <v>0</v>
      </c>
      <c r="DJ17" s="200"/>
    </row>
    <row r="18" spans="1:114" ht="15.75" customHeight="1" x14ac:dyDescent="0.2">
      <c r="A18" s="196"/>
      <c r="B18" s="196"/>
      <c r="C18" s="196"/>
      <c r="D18" s="196"/>
      <c r="E18" s="196"/>
      <c r="F18" s="196"/>
      <c r="G18" s="65" t="s">
        <v>1428</v>
      </c>
      <c r="H18" s="65" t="s">
        <v>1429</v>
      </c>
      <c r="I18" s="65" t="s">
        <v>1235</v>
      </c>
      <c r="J18" s="65" t="s">
        <v>1236</v>
      </c>
      <c r="K18" s="65">
        <v>1200000000</v>
      </c>
      <c r="L18" s="65" t="s">
        <v>1429</v>
      </c>
      <c r="M18" s="65">
        <v>461000000</v>
      </c>
      <c r="N18" s="65" t="s">
        <v>1430</v>
      </c>
      <c r="O18" s="65" t="s">
        <v>1216</v>
      </c>
      <c r="P18" s="197">
        <v>44013</v>
      </c>
      <c r="Q18" s="65">
        <v>4.9263000000000003</v>
      </c>
      <c r="R18" s="198">
        <v>0.34200000000000003</v>
      </c>
      <c r="S18" s="198">
        <v>0.15140000000000001</v>
      </c>
      <c r="T18" s="198">
        <v>9.3899999999999997E-2</v>
      </c>
      <c r="U18" s="198">
        <v>6.6900000000000001E-2</v>
      </c>
      <c r="V18" s="198">
        <v>5.1400000000000001E-2</v>
      </c>
      <c r="W18" s="198">
        <v>4.1399999999999999E-2</v>
      </c>
      <c r="X18" s="198">
        <v>3.4500000000000003E-2</v>
      </c>
      <c r="Y18" s="198">
        <v>2.9399999999999999E-2</v>
      </c>
      <c r="Z18" s="198">
        <v>0.13159999999999999</v>
      </c>
      <c r="AA18" s="198">
        <v>4.65E-2</v>
      </c>
      <c r="AB18" s="198">
        <v>1.11E-2</v>
      </c>
      <c r="AC18" s="198">
        <v>0</v>
      </c>
      <c r="AD18" s="198">
        <v>0</v>
      </c>
      <c r="AE18" s="198">
        <v>0</v>
      </c>
      <c r="AF18" s="198">
        <v>0</v>
      </c>
      <c r="AG18" s="12"/>
      <c r="AH18" s="65" t="s">
        <v>1431</v>
      </c>
      <c r="AI18" s="65" t="s">
        <v>1432</v>
      </c>
      <c r="AJ18" s="65" t="s">
        <v>1321</v>
      </c>
      <c r="AK18" s="65" t="s">
        <v>1322</v>
      </c>
      <c r="AL18" s="65">
        <v>806393795</v>
      </c>
      <c r="AM18" s="65" t="s">
        <v>1432</v>
      </c>
      <c r="AN18" s="65">
        <v>310624343</v>
      </c>
      <c r="AO18" s="65" t="s">
        <v>1433</v>
      </c>
      <c r="AP18" s="65" t="s">
        <v>1216</v>
      </c>
      <c r="AQ18" s="197">
        <v>44013</v>
      </c>
      <c r="AR18" s="65">
        <v>3.1168</v>
      </c>
      <c r="AS18" s="198">
        <v>0.49099999999999999</v>
      </c>
      <c r="AT18" s="198">
        <v>0.1658</v>
      </c>
      <c r="AU18" s="198">
        <v>8.7800000000000003E-2</v>
      </c>
      <c r="AV18" s="198">
        <v>5.5899999999999998E-2</v>
      </c>
      <c r="AW18" s="198">
        <v>3.9300000000000002E-2</v>
      </c>
      <c r="AX18" s="198">
        <v>2.9499999999999998E-2</v>
      </c>
      <c r="AY18" s="198">
        <v>2.3099999999999999E-2</v>
      </c>
      <c r="AZ18" s="198">
        <v>1.8700000000000001E-2</v>
      </c>
      <c r="BA18" s="198">
        <v>7.2400000000000006E-2</v>
      </c>
      <c r="BB18" s="198">
        <v>1.6400000000000001E-2</v>
      </c>
      <c r="BC18" s="198">
        <v>1E-4</v>
      </c>
      <c r="BD18" s="198">
        <v>0</v>
      </c>
      <c r="BE18" s="198">
        <v>0</v>
      </c>
      <c r="BF18" s="198">
        <v>0</v>
      </c>
      <c r="BG18" s="198">
        <v>0</v>
      </c>
      <c r="BH18" s="12"/>
      <c r="BI18" s="65" t="s">
        <v>1434</v>
      </c>
      <c r="BJ18" s="65" t="s">
        <v>1435</v>
      </c>
      <c r="BK18" s="65" t="s">
        <v>1258</v>
      </c>
      <c r="BL18" s="65" t="s">
        <v>1259</v>
      </c>
      <c r="BM18" s="65">
        <v>1370000000</v>
      </c>
      <c r="BN18" s="65" t="s">
        <v>1435</v>
      </c>
      <c r="BO18" s="65">
        <v>489000000</v>
      </c>
      <c r="BP18" s="65" t="s">
        <v>1436</v>
      </c>
      <c r="BQ18" s="65" t="s">
        <v>1216</v>
      </c>
      <c r="BR18" s="197">
        <v>44013</v>
      </c>
      <c r="BS18" s="65">
        <v>4.5042</v>
      </c>
      <c r="BT18" s="198">
        <v>0.40329999999999999</v>
      </c>
      <c r="BU18" s="198">
        <v>0.15820000000000001</v>
      </c>
      <c r="BV18" s="198">
        <v>9.1499999999999998E-2</v>
      </c>
      <c r="BW18" s="198">
        <v>6.2100000000000002E-2</v>
      </c>
      <c r="BX18" s="198">
        <v>4.5900000000000003E-2</v>
      </c>
      <c r="BY18" s="198">
        <v>3.5900000000000001E-2</v>
      </c>
      <c r="BZ18" s="198">
        <v>2.9100000000000001E-2</v>
      </c>
      <c r="CA18" s="198">
        <v>2.4299999999999999E-2</v>
      </c>
      <c r="CB18" s="198">
        <v>0.1031</v>
      </c>
      <c r="CC18" s="198">
        <v>3.27E-2</v>
      </c>
      <c r="CD18" s="198">
        <v>9.7999999999999997E-3</v>
      </c>
      <c r="CE18" s="198">
        <v>3.5999999999999999E-3</v>
      </c>
      <c r="CF18" s="198">
        <v>4.0000000000000002E-4</v>
      </c>
      <c r="CG18" s="198">
        <v>0</v>
      </c>
      <c r="CH18" s="198">
        <v>0</v>
      </c>
      <c r="CI18" s="12"/>
      <c r="CJ18" s="65" t="s">
        <v>1437</v>
      </c>
      <c r="CK18" s="65" t="s">
        <v>1438</v>
      </c>
      <c r="CL18" s="65" t="s">
        <v>1439</v>
      </c>
      <c r="CM18" s="65" t="s">
        <v>1440</v>
      </c>
      <c r="CN18" s="65">
        <v>1127240206</v>
      </c>
      <c r="CO18" s="65" t="s">
        <v>1438</v>
      </c>
      <c r="CP18" s="65">
        <v>1098184645</v>
      </c>
      <c r="CQ18" s="65" t="s">
        <v>1440</v>
      </c>
      <c r="CR18" s="65" t="s">
        <v>1216</v>
      </c>
      <c r="CS18" s="197">
        <v>44013</v>
      </c>
      <c r="CT18" s="65">
        <v>7.3875000000000002</v>
      </c>
      <c r="CU18" s="198">
        <v>0.29820000000000002</v>
      </c>
      <c r="CV18" s="198">
        <v>0.14000000000000001</v>
      </c>
      <c r="CW18" s="198">
        <v>0.09</v>
      </c>
      <c r="CX18" s="198">
        <v>6.5699999999999995E-2</v>
      </c>
      <c r="CY18" s="198">
        <v>5.1499999999999997E-2</v>
      </c>
      <c r="CZ18" s="198">
        <v>4.2200000000000001E-2</v>
      </c>
      <c r="DA18" s="198">
        <v>3.5700000000000003E-2</v>
      </c>
      <c r="DB18" s="198">
        <v>3.0800000000000001E-2</v>
      </c>
      <c r="DC18" s="198">
        <v>0.14299999999999999</v>
      </c>
      <c r="DD18" s="198">
        <v>5.7799999999999997E-2</v>
      </c>
      <c r="DE18" s="198">
        <v>2.63E-2</v>
      </c>
      <c r="DF18" s="198">
        <v>1.41E-2</v>
      </c>
      <c r="DG18" s="198">
        <v>4.7999999999999996E-3</v>
      </c>
      <c r="DH18" s="198">
        <v>0</v>
      </c>
      <c r="DI18" s="198">
        <v>0</v>
      </c>
      <c r="DJ18" s="200"/>
    </row>
    <row r="19" spans="1:114" ht="15.75" customHeight="1" x14ac:dyDescent="0.2">
      <c r="A19" s="196"/>
      <c r="B19" s="196"/>
      <c r="C19" s="196"/>
      <c r="D19" s="196"/>
      <c r="E19" s="196"/>
      <c r="F19" s="196"/>
      <c r="G19" s="65" t="s">
        <v>1441</v>
      </c>
      <c r="H19" s="65" t="s">
        <v>1442</v>
      </c>
      <c r="I19" s="65" t="s">
        <v>1258</v>
      </c>
      <c r="J19" s="65" t="s">
        <v>1259</v>
      </c>
      <c r="K19" s="65">
        <v>1220000000</v>
      </c>
      <c r="L19" s="65" t="s">
        <v>1443</v>
      </c>
      <c r="M19" s="65">
        <v>489000000</v>
      </c>
      <c r="N19" s="65" t="s">
        <v>1436</v>
      </c>
      <c r="O19" s="65" t="s">
        <v>1216</v>
      </c>
      <c r="P19" s="197">
        <v>44013</v>
      </c>
      <c r="Q19" s="65">
        <v>3.7814000000000001</v>
      </c>
      <c r="R19" s="198">
        <v>0.45040000000000002</v>
      </c>
      <c r="S19" s="198">
        <v>0.16250000000000001</v>
      </c>
      <c r="T19" s="198">
        <v>8.9499999999999996E-2</v>
      </c>
      <c r="U19" s="198">
        <v>5.8599999999999999E-2</v>
      </c>
      <c r="V19" s="198">
        <v>4.2200000000000001E-2</v>
      </c>
      <c r="W19" s="198">
        <v>3.2300000000000002E-2</v>
      </c>
      <c r="X19" s="198">
        <v>2.5700000000000001E-2</v>
      </c>
      <c r="Y19" s="198">
        <v>2.1100000000000001E-2</v>
      </c>
      <c r="Z19" s="198">
        <v>8.5699999999999998E-2</v>
      </c>
      <c r="AA19" s="198">
        <v>2.4400000000000002E-2</v>
      </c>
      <c r="AB19" s="198">
        <v>5.8999999999999999E-3</v>
      </c>
      <c r="AC19" s="198">
        <v>1.6999999999999999E-3</v>
      </c>
      <c r="AD19" s="198">
        <v>0</v>
      </c>
      <c r="AE19" s="198">
        <v>0</v>
      </c>
      <c r="AF19" s="198">
        <v>0</v>
      </c>
      <c r="AG19" s="12"/>
      <c r="AH19" s="65" t="s">
        <v>1444</v>
      </c>
      <c r="AI19" s="65" t="s">
        <v>1445</v>
      </c>
      <c r="AJ19" s="65" t="s">
        <v>1446</v>
      </c>
      <c r="AK19" s="65" t="s">
        <v>1447</v>
      </c>
      <c r="AL19" s="65">
        <v>877638937</v>
      </c>
      <c r="AM19" s="65" t="s">
        <v>1448</v>
      </c>
      <c r="AN19" s="65">
        <v>342462146</v>
      </c>
      <c r="AO19" s="65" t="s">
        <v>1447</v>
      </c>
      <c r="AP19" s="65" t="s">
        <v>1216</v>
      </c>
      <c r="AQ19" s="197">
        <v>44013</v>
      </c>
      <c r="AR19" s="65">
        <v>3.7924000000000002</v>
      </c>
      <c r="AS19" s="198">
        <v>0.42749999999999999</v>
      </c>
      <c r="AT19" s="198">
        <v>0.16200000000000001</v>
      </c>
      <c r="AU19" s="198">
        <v>9.1800000000000007E-2</v>
      </c>
      <c r="AV19" s="198">
        <v>6.13E-2</v>
      </c>
      <c r="AW19" s="198">
        <v>4.48E-2</v>
      </c>
      <c r="AX19" s="198">
        <v>3.4700000000000002E-2</v>
      </c>
      <c r="AY19" s="198">
        <v>2.7900000000000001E-2</v>
      </c>
      <c r="AZ19" s="198">
        <v>2.3099999999999999E-2</v>
      </c>
      <c r="BA19" s="198">
        <v>9.5699999999999993E-2</v>
      </c>
      <c r="BB19" s="198">
        <v>2.75E-2</v>
      </c>
      <c r="BC19" s="198">
        <v>3.3999999999999998E-3</v>
      </c>
      <c r="BD19" s="198">
        <v>0</v>
      </c>
      <c r="BE19" s="198">
        <v>0</v>
      </c>
      <c r="BF19" s="198">
        <v>0</v>
      </c>
      <c r="BG19" s="198">
        <v>0</v>
      </c>
      <c r="BH19" s="12"/>
      <c r="BI19" s="65" t="s">
        <v>1449</v>
      </c>
      <c r="BJ19" s="65" t="s">
        <v>1450</v>
      </c>
      <c r="BK19" s="65" t="s">
        <v>1389</v>
      </c>
      <c r="BL19" s="65" t="s">
        <v>1390</v>
      </c>
      <c r="BM19" s="65">
        <v>1430000000</v>
      </c>
      <c r="BN19" s="65" t="s">
        <v>1451</v>
      </c>
      <c r="BO19" s="65">
        <v>305000000</v>
      </c>
      <c r="BP19" s="65" t="s">
        <v>1390</v>
      </c>
      <c r="BQ19" s="65" t="s">
        <v>1216</v>
      </c>
      <c r="BR19" s="197">
        <v>44013</v>
      </c>
      <c r="BS19" s="65">
        <v>12.262</v>
      </c>
      <c r="BT19" s="198">
        <v>0.19489999999999999</v>
      </c>
      <c r="BU19" s="198">
        <v>0.11020000000000001</v>
      </c>
      <c r="BV19" s="198">
        <v>7.8899999999999998E-2</v>
      </c>
      <c r="BW19" s="198">
        <v>6.2199999999999998E-2</v>
      </c>
      <c r="BX19" s="198">
        <v>5.1700000000000003E-2</v>
      </c>
      <c r="BY19" s="198">
        <v>4.4499999999999998E-2</v>
      </c>
      <c r="BZ19" s="198">
        <v>3.9100000000000003E-2</v>
      </c>
      <c r="CA19" s="198">
        <v>3.5000000000000003E-2</v>
      </c>
      <c r="CB19" s="198">
        <v>0.1787</v>
      </c>
      <c r="CC19" s="198">
        <v>9.3200000000000005E-2</v>
      </c>
      <c r="CD19" s="198">
        <v>6.0600000000000001E-2</v>
      </c>
      <c r="CE19" s="198">
        <v>3.8399999999999997E-2</v>
      </c>
      <c r="CF19" s="198">
        <v>1.24E-2</v>
      </c>
      <c r="CG19" s="198">
        <v>0</v>
      </c>
      <c r="CH19" s="198">
        <v>0</v>
      </c>
      <c r="CI19" s="12"/>
      <c r="CJ19" s="65" t="s">
        <v>1452</v>
      </c>
      <c r="CK19" s="65" t="s">
        <v>1453</v>
      </c>
      <c r="CL19" s="65" t="s">
        <v>1454</v>
      </c>
      <c r="CM19" s="65" t="s">
        <v>1455</v>
      </c>
      <c r="CN19" s="65">
        <v>1214763767</v>
      </c>
      <c r="CO19" s="65" t="s">
        <v>1453</v>
      </c>
      <c r="CP19" s="65">
        <v>1493742816</v>
      </c>
      <c r="CQ19" s="65" t="s">
        <v>1455</v>
      </c>
      <c r="CR19" s="65" t="s">
        <v>1216</v>
      </c>
      <c r="CS19" s="197">
        <v>44013</v>
      </c>
      <c r="CT19" s="65">
        <v>5.1534000000000004</v>
      </c>
      <c r="CU19" s="198">
        <v>0.33989999999999998</v>
      </c>
      <c r="CV19" s="198">
        <v>0.15029999999999999</v>
      </c>
      <c r="CW19" s="198">
        <v>9.3200000000000005E-2</v>
      </c>
      <c r="CX19" s="198">
        <v>6.6400000000000001E-2</v>
      </c>
      <c r="CY19" s="198">
        <v>5.0999999999999997E-2</v>
      </c>
      <c r="CZ19" s="198">
        <v>4.1099999999999998E-2</v>
      </c>
      <c r="DA19" s="198">
        <v>3.4200000000000001E-2</v>
      </c>
      <c r="DB19" s="198">
        <v>2.92E-2</v>
      </c>
      <c r="DC19" s="198">
        <v>0.13100000000000001</v>
      </c>
      <c r="DD19" s="198">
        <v>4.7399999999999998E-2</v>
      </c>
      <c r="DE19" s="198">
        <v>1.4800000000000001E-2</v>
      </c>
      <c r="DF19" s="198">
        <v>1.6000000000000001E-3</v>
      </c>
      <c r="DG19" s="198">
        <v>0</v>
      </c>
      <c r="DH19" s="198">
        <v>0</v>
      </c>
      <c r="DI19" s="198">
        <v>0</v>
      </c>
      <c r="DJ19" s="200"/>
    </row>
    <row r="20" spans="1:114" ht="15.75" customHeight="1" x14ac:dyDescent="0.2">
      <c r="A20" s="196"/>
      <c r="B20" s="196"/>
      <c r="C20" s="196"/>
      <c r="D20" s="196"/>
      <c r="E20" s="196"/>
      <c r="F20" s="196"/>
      <c r="G20" s="65" t="s">
        <v>1456</v>
      </c>
      <c r="H20" s="65" t="s">
        <v>1457</v>
      </c>
      <c r="I20" s="65" t="s">
        <v>1458</v>
      </c>
      <c r="J20" s="65" t="s">
        <v>1459</v>
      </c>
      <c r="K20" s="65">
        <v>1440000000</v>
      </c>
      <c r="L20" s="65" t="s">
        <v>1457</v>
      </c>
      <c r="M20" s="65">
        <v>309000000</v>
      </c>
      <c r="N20" s="65" t="s">
        <v>1459</v>
      </c>
      <c r="O20" s="65" t="s">
        <v>1216</v>
      </c>
      <c r="P20" s="197">
        <v>44013</v>
      </c>
      <c r="Q20" s="65">
        <v>3.3123</v>
      </c>
      <c r="R20" s="198">
        <v>0.48</v>
      </c>
      <c r="S20" s="198">
        <v>0.16450000000000001</v>
      </c>
      <c r="T20" s="198">
        <v>8.7900000000000006E-2</v>
      </c>
      <c r="U20" s="198">
        <v>5.6300000000000003E-2</v>
      </c>
      <c r="V20" s="198">
        <v>3.9899999999999998E-2</v>
      </c>
      <c r="W20" s="198">
        <v>3.0099999999999998E-2</v>
      </c>
      <c r="X20" s="198">
        <v>2.3699999999999999E-2</v>
      </c>
      <c r="Y20" s="198">
        <v>1.9199999999999998E-2</v>
      </c>
      <c r="Z20" s="198">
        <v>7.5999999999999998E-2</v>
      </c>
      <c r="AA20" s="198">
        <v>1.9800000000000002E-2</v>
      </c>
      <c r="AB20" s="198">
        <v>2.7000000000000001E-3</v>
      </c>
      <c r="AC20" s="198">
        <v>0</v>
      </c>
      <c r="AD20" s="198">
        <v>0</v>
      </c>
      <c r="AE20" s="198">
        <v>0</v>
      </c>
      <c r="AF20" s="198">
        <v>0</v>
      </c>
      <c r="AG20" s="12"/>
      <c r="AH20" s="65" t="s">
        <v>1460</v>
      </c>
      <c r="AI20" s="65" t="s">
        <v>1461</v>
      </c>
      <c r="AJ20" s="65" t="s">
        <v>1321</v>
      </c>
      <c r="AK20" s="65" t="s">
        <v>1322</v>
      </c>
      <c r="AL20" s="65">
        <v>575980917</v>
      </c>
      <c r="AM20" s="65" t="s">
        <v>1461</v>
      </c>
      <c r="AN20" s="65">
        <v>310624343</v>
      </c>
      <c r="AO20" s="65" t="s">
        <v>1433</v>
      </c>
      <c r="AP20" s="65" t="s">
        <v>1216</v>
      </c>
      <c r="AQ20" s="197">
        <v>44013</v>
      </c>
      <c r="AR20" s="65">
        <v>3.2107999999999999</v>
      </c>
      <c r="AS20" s="198">
        <v>0.49099999999999999</v>
      </c>
      <c r="AT20" s="198">
        <v>0.16470000000000001</v>
      </c>
      <c r="AU20" s="198">
        <v>8.6900000000000005E-2</v>
      </c>
      <c r="AV20" s="198">
        <v>5.5199999999999999E-2</v>
      </c>
      <c r="AW20" s="198">
        <v>3.8800000000000001E-2</v>
      </c>
      <c r="AX20" s="198">
        <v>2.9100000000000001E-2</v>
      </c>
      <c r="AY20" s="198">
        <v>2.2800000000000001E-2</v>
      </c>
      <c r="AZ20" s="198">
        <v>1.8499999999999999E-2</v>
      </c>
      <c r="BA20" s="198">
        <v>7.22E-2</v>
      </c>
      <c r="BB20" s="198">
        <v>1.83E-2</v>
      </c>
      <c r="BC20" s="198">
        <v>2.3999999999999998E-3</v>
      </c>
      <c r="BD20" s="198">
        <v>0</v>
      </c>
      <c r="BE20" s="198">
        <v>0</v>
      </c>
      <c r="BF20" s="198">
        <v>0</v>
      </c>
      <c r="BG20" s="198">
        <v>0</v>
      </c>
      <c r="BH20" s="12"/>
      <c r="BI20" s="65" t="s">
        <v>1462</v>
      </c>
      <c r="BJ20" s="65" t="s">
        <v>1463</v>
      </c>
      <c r="BK20" s="65" t="s">
        <v>1464</v>
      </c>
      <c r="BL20" s="65" t="s">
        <v>1465</v>
      </c>
      <c r="BM20" s="65">
        <v>853000000</v>
      </c>
      <c r="BN20" s="65" t="s">
        <v>1463</v>
      </c>
      <c r="BO20" s="65">
        <v>299000000</v>
      </c>
      <c r="BP20" s="65" t="s">
        <v>1466</v>
      </c>
      <c r="BQ20" s="65" t="s">
        <v>1216</v>
      </c>
      <c r="BR20" s="197">
        <v>44013</v>
      </c>
      <c r="BS20" s="65">
        <v>5.4240000000000004</v>
      </c>
      <c r="BT20" s="198">
        <v>0.34499999999999997</v>
      </c>
      <c r="BU20" s="198">
        <v>0.15029999999999999</v>
      </c>
      <c r="BV20" s="198">
        <v>9.2399999999999996E-2</v>
      </c>
      <c r="BW20" s="198">
        <v>6.54E-2</v>
      </c>
      <c r="BX20" s="198">
        <v>0.05</v>
      </c>
      <c r="BY20" s="198">
        <v>4.02E-2</v>
      </c>
      <c r="BZ20" s="198">
        <v>3.3399999999999999E-2</v>
      </c>
      <c r="CA20" s="198">
        <v>2.8400000000000002E-2</v>
      </c>
      <c r="CB20" s="198">
        <v>0.1268</v>
      </c>
      <c r="CC20" s="198">
        <v>4.5900000000000003E-2</v>
      </c>
      <c r="CD20" s="198">
        <v>1.6500000000000001E-2</v>
      </c>
      <c r="CE20" s="198">
        <v>5.7000000000000002E-3</v>
      </c>
      <c r="CF20" s="198">
        <v>1E-4</v>
      </c>
      <c r="CG20" s="198">
        <v>0</v>
      </c>
      <c r="CH20" s="198">
        <v>0</v>
      </c>
      <c r="CI20" s="12"/>
      <c r="CJ20" s="65" t="s">
        <v>1467</v>
      </c>
      <c r="CK20" s="65" t="s">
        <v>1468</v>
      </c>
      <c r="CL20" s="65" t="s">
        <v>1369</v>
      </c>
      <c r="CM20" s="65" t="s">
        <v>1370</v>
      </c>
      <c r="CN20" s="65">
        <v>638689075</v>
      </c>
      <c r="CO20" s="65" t="s">
        <v>1468</v>
      </c>
      <c r="CP20" s="65">
        <v>1162116447</v>
      </c>
      <c r="CQ20" s="65" t="s">
        <v>1370</v>
      </c>
      <c r="CR20" s="65" t="s">
        <v>1216</v>
      </c>
      <c r="CS20" s="197">
        <v>44013</v>
      </c>
      <c r="CT20" s="65">
        <v>6.9474999999999998</v>
      </c>
      <c r="CU20" s="198">
        <v>0.34449999999999997</v>
      </c>
      <c r="CV20" s="198">
        <v>0.14849999999999999</v>
      </c>
      <c r="CW20" s="198">
        <v>9.0700000000000003E-2</v>
      </c>
      <c r="CX20" s="198">
        <v>6.4000000000000001E-2</v>
      </c>
      <c r="CY20" s="198">
        <v>4.8800000000000003E-2</v>
      </c>
      <c r="CZ20" s="198">
        <v>3.9100000000000003E-2</v>
      </c>
      <c r="DA20" s="198">
        <v>3.2399999999999998E-2</v>
      </c>
      <c r="DB20" s="198">
        <v>2.76E-2</v>
      </c>
      <c r="DC20" s="198">
        <v>0.1227</v>
      </c>
      <c r="DD20" s="198">
        <v>4.4600000000000001E-2</v>
      </c>
      <c r="DE20" s="198">
        <v>1.8100000000000002E-2</v>
      </c>
      <c r="DF20" s="198">
        <v>1.09E-2</v>
      </c>
      <c r="DG20" s="198">
        <v>8.0999999999999996E-3</v>
      </c>
      <c r="DH20" s="198">
        <v>2.0000000000000001E-4</v>
      </c>
      <c r="DI20" s="198">
        <v>0</v>
      </c>
      <c r="DJ20" s="200"/>
    </row>
    <row r="21" spans="1:114" ht="15.75" customHeight="1" x14ac:dyDescent="0.2">
      <c r="A21" s="196"/>
      <c r="B21" s="196"/>
      <c r="C21" s="196"/>
      <c r="D21" s="196"/>
      <c r="E21" s="196"/>
      <c r="F21" s="196"/>
      <c r="G21" s="65" t="s">
        <v>1469</v>
      </c>
      <c r="H21" s="65" t="s">
        <v>1470</v>
      </c>
      <c r="I21" s="65" t="s">
        <v>1254</v>
      </c>
      <c r="J21" s="65" t="s">
        <v>1255</v>
      </c>
      <c r="K21" s="65">
        <v>573000000</v>
      </c>
      <c r="L21" s="65" t="s">
        <v>1470</v>
      </c>
      <c r="M21" s="65">
        <v>527000000</v>
      </c>
      <c r="N21" s="65" t="s">
        <v>1255</v>
      </c>
      <c r="O21" s="65" t="s">
        <v>1216</v>
      </c>
      <c r="P21" s="197">
        <v>44013</v>
      </c>
      <c r="Q21" s="65">
        <v>3.2326999999999999</v>
      </c>
      <c r="R21" s="198">
        <v>0.49030000000000001</v>
      </c>
      <c r="S21" s="198">
        <v>0.1646</v>
      </c>
      <c r="T21" s="198">
        <v>8.6900000000000005E-2</v>
      </c>
      <c r="U21" s="198">
        <v>5.5199999999999999E-2</v>
      </c>
      <c r="V21" s="198">
        <v>3.8800000000000001E-2</v>
      </c>
      <c r="W21" s="198">
        <v>2.9100000000000001E-2</v>
      </c>
      <c r="X21" s="198">
        <v>2.2800000000000001E-2</v>
      </c>
      <c r="Y21" s="198">
        <v>1.8499999999999999E-2</v>
      </c>
      <c r="Z21" s="198">
        <v>7.2300000000000003E-2</v>
      </c>
      <c r="AA21" s="198">
        <v>1.8499999999999999E-2</v>
      </c>
      <c r="AB21" s="198">
        <v>2.8E-3</v>
      </c>
      <c r="AC21" s="198">
        <v>0</v>
      </c>
      <c r="AD21" s="198">
        <v>0</v>
      </c>
      <c r="AE21" s="198">
        <v>0</v>
      </c>
      <c r="AF21" s="198">
        <v>0</v>
      </c>
      <c r="AG21" s="12"/>
      <c r="AH21" s="65" t="s">
        <v>1471</v>
      </c>
      <c r="AI21" s="65" t="s">
        <v>1472</v>
      </c>
      <c r="AJ21" s="65" t="s">
        <v>1235</v>
      </c>
      <c r="AK21" s="65" t="s">
        <v>1236</v>
      </c>
      <c r="AL21" s="65">
        <v>586634331</v>
      </c>
      <c r="AM21" s="65" t="s">
        <v>1472</v>
      </c>
      <c r="AN21" s="65">
        <v>580824260</v>
      </c>
      <c r="AO21" s="65" t="s">
        <v>1473</v>
      </c>
      <c r="AP21" s="65" t="s">
        <v>1216</v>
      </c>
      <c r="AQ21" s="197">
        <v>44013</v>
      </c>
      <c r="AR21" s="65">
        <v>3.8037999999999998</v>
      </c>
      <c r="AS21" s="198">
        <v>0.42980000000000002</v>
      </c>
      <c r="AT21" s="198">
        <v>0.16200000000000001</v>
      </c>
      <c r="AU21" s="198">
        <v>9.1499999999999998E-2</v>
      </c>
      <c r="AV21" s="198">
        <v>6.0999999999999999E-2</v>
      </c>
      <c r="AW21" s="198">
        <v>4.4499999999999998E-2</v>
      </c>
      <c r="AX21" s="198">
        <v>3.44E-2</v>
      </c>
      <c r="AY21" s="198">
        <v>2.76E-2</v>
      </c>
      <c r="AZ21" s="198">
        <v>2.29E-2</v>
      </c>
      <c r="BA21" s="198">
        <v>9.4600000000000004E-2</v>
      </c>
      <c r="BB21" s="198">
        <v>2.7400000000000001E-2</v>
      </c>
      <c r="BC21" s="198">
        <v>4.4000000000000003E-3</v>
      </c>
      <c r="BD21" s="198">
        <v>0</v>
      </c>
      <c r="BE21" s="198">
        <v>0</v>
      </c>
      <c r="BF21" s="198">
        <v>0</v>
      </c>
      <c r="BG21" s="198">
        <v>0</v>
      </c>
      <c r="BH21" s="12"/>
      <c r="BI21" s="65"/>
      <c r="BJ21" s="65"/>
      <c r="BK21" s="65"/>
      <c r="BL21" s="65"/>
      <c r="BM21" s="65"/>
      <c r="BN21" s="65"/>
      <c r="BO21" s="65"/>
      <c r="BP21" s="65"/>
      <c r="BQ21" s="65"/>
      <c r="BR21" s="202" t="s">
        <v>1474</v>
      </c>
      <c r="BS21" s="202">
        <f>AVERAGE(BS4:BS20)</f>
        <v>7.3370647058823533</v>
      </c>
      <c r="BT21" s="198"/>
      <c r="BU21" s="198"/>
      <c r="BV21" s="198"/>
      <c r="BW21" s="198"/>
      <c r="BX21" s="198"/>
      <c r="BY21" s="198"/>
      <c r="BZ21" s="198"/>
      <c r="CA21" s="198"/>
      <c r="CB21" s="198"/>
      <c r="CC21" s="198"/>
      <c r="CD21" s="198"/>
      <c r="CE21" s="198"/>
      <c r="CF21" s="198"/>
      <c r="CG21" s="198"/>
      <c r="CH21" s="198"/>
      <c r="CI21" s="12"/>
      <c r="CJ21" s="65" t="s">
        <v>1475</v>
      </c>
      <c r="CK21" s="65" t="s">
        <v>1476</v>
      </c>
      <c r="CL21" s="65" t="s">
        <v>1414</v>
      </c>
      <c r="CM21" s="65" t="s">
        <v>1415</v>
      </c>
      <c r="CN21" s="65">
        <v>913292932</v>
      </c>
      <c r="CO21" s="65" t="s">
        <v>1476</v>
      </c>
      <c r="CP21" s="65">
        <v>284800461</v>
      </c>
      <c r="CQ21" s="65" t="s">
        <v>1415</v>
      </c>
      <c r="CR21" s="65" t="s">
        <v>1216</v>
      </c>
      <c r="CS21" s="197">
        <v>44013</v>
      </c>
      <c r="CT21" s="65">
        <v>4.4715999999999996</v>
      </c>
      <c r="CU21" s="198">
        <v>0.39679999999999999</v>
      </c>
      <c r="CV21" s="198">
        <v>0.1578</v>
      </c>
      <c r="CW21" s="198">
        <v>9.1999999999999998E-2</v>
      </c>
      <c r="CX21" s="198">
        <v>6.2700000000000006E-2</v>
      </c>
      <c r="CY21" s="198">
        <v>4.6600000000000003E-2</v>
      </c>
      <c r="CZ21" s="198">
        <v>3.6499999999999998E-2</v>
      </c>
      <c r="DA21" s="198">
        <v>2.98E-2</v>
      </c>
      <c r="DB21" s="198">
        <v>2.4899999999999999E-2</v>
      </c>
      <c r="DC21" s="198">
        <v>0.1061</v>
      </c>
      <c r="DD21" s="198">
        <v>3.4099999999999998E-2</v>
      </c>
      <c r="DE21" s="198">
        <v>9.9000000000000008E-3</v>
      </c>
      <c r="DF21" s="198">
        <v>2.8E-3</v>
      </c>
      <c r="DG21" s="198">
        <v>0</v>
      </c>
      <c r="DH21" s="198">
        <v>0</v>
      </c>
      <c r="DI21" s="198">
        <v>0</v>
      </c>
      <c r="DJ21" s="200"/>
    </row>
    <row r="22" spans="1:114" ht="15.75" customHeight="1" x14ac:dyDescent="0.2">
      <c r="A22" s="196"/>
      <c r="B22" s="196"/>
      <c r="C22" s="196"/>
      <c r="D22" s="196"/>
      <c r="E22" s="196"/>
      <c r="F22" s="196"/>
      <c r="G22" s="65" t="s">
        <v>1477</v>
      </c>
      <c r="H22" s="65" t="s">
        <v>1478</v>
      </c>
      <c r="I22" s="65" t="s">
        <v>1291</v>
      </c>
      <c r="J22" s="65" t="s">
        <v>1292</v>
      </c>
      <c r="K22" s="65">
        <v>701000000</v>
      </c>
      <c r="L22" s="65" t="s">
        <v>1478</v>
      </c>
      <c r="M22" s="65">
        <v>291000000</v>
      </c>
      <c r="N22" s="65" t="s">
        <v>1294</v>
      </c>
      <c r="O22" s="65" t="s">
        <v>1216</v>
      </c>
      <c r="P22" s="197">
        <v>44013</v>
      </c>
      <c r="Q22" s="65">
        <v>3.6859999999999999</v>
      </c>
      <c r="R22" s="198">
        <v>0.46139999999999998</v>
      </c>
      <c r="S22" s="198">
        <v>0.16300000000000001</v>
      </c>
      <c r="T22" s="198">
        <v>8.8700000000000001E-2</v>
      </c>
      <c r="U22" s="198">
        <v>5.7599999999999998E-2</v>
      </c>
      <c r="V22" s="198">
        <v>4.1200000000000001E-2</v>
      </c>
      <c r="W22" s="198">
        <v>3.1300000000000001E-2</v>
      </c>
      <c r="X22" s="198">
        <v>2.4799999999999999E-2</v>
      </c>
      <c r="Y22" s="198">
        <v>2.0299999999999999E-2</v>
      </c>
      <c r="Z22" s="198">
        <v>8.1699999999999995E-2</v>
      </c>
      <c r="AA22" s="198">
        <v>2.2700000000000001E-2</v>
      </c>
      <c r="AB22" s="198">
        <v>5.4000000000000003E-3</v>
      </c>
      <c r="AC22" s="198">
        <v>1.8E-3</v>
      </c>
      <c r="AD22" s="198">
        <v>2.0000000000000001E-4</v>
      </c>
      <c r="AE22" s="198">
        <v>0</v>
      </c>
      <c r="AF22" s="198">
        <v>0</v>
      </c>
      <c r="AG22" s="12"/>
      <c r="AH22" s="65" t="s">
        <v>1479</v>
      </c>
      <c r="AI22" s="65" t="s">
        <v>1480</v>
      </c>
      <c r="AJ22" s="65" t="s">
        <v>1481</v>
      </c>
      <c r="AK22" s="65" t="s">
        <v>1482</v>
      </c>
      <c r="AL22" s="65">
        <v>1028362533</v>
      </c>
      <c r="AM22" s="65" t="s">
        <v>1483</v>
      </c>
      <c r="AN22" s="65">
        <v>1222929957</v>
      </c>
      <c r="AO22" s="65" t="s">
        <v>1484</v>
      </c>
      <c r="AP22" s="65" t="s">
        <v>1216</v>
      </c>
      <c r="AQ22" s="197">
        <v>44013</v>
      </c>
      <c r="AR22" s="65">
        <v>3.5522</v>
      </c>
      <c r="AS22" s="198">
        <v>0.46820000000000001</v>
      </c>
      <c r="AT22" s="198">
        <v>0.16350000000000001</v>
      </c>
      <c r="AU22" s="198">
        <v>8.8300000000000003E-2</v>
      </c>
      <c r="AV22" s="198">
        <v>5.7099999999999998E-2</v>
      </c>
      <c r="AW22" s="198">
        <v>4.07E-2</v>
      </c>
      <c r="AX22" s="198">
        <v>3.0800000000000001E-2</v>
      </c>
      <c r="AY22" s="198">
        <v>2.4400000000000002E-2</v>
      </c>
      <c r="AZ22" s="198">
        <v>1.9900000000000001E-2</v>
      </c>
      <c r="BA22" s="198">
        <v>7.9500000000000001E-2</v>
      </c>
      <c r="BB22" s="198">
        <v>2.1700000000000001E-2</v>
      </c>
      <c r="BC22" s="198">
        <v>4.7999999999999996E-3</v>
      </c>
      <c r="BD22" s="198">
        <v>1.1999999999999999E-3</v>
      </c>
      <c r="BE22" s="198">
        <v>0</v>
      </c>
      <c r="BF22" s="198">
        <v>0</v>
      </c>
      <c r="BG22" s="198">
        <v>0</v>
      </c>
      <c r="BH22" s="12"/>
      <c r="BI22" s="65"/>
      <c r="BJ22" s="65"/>
      <c r="BK22" s="65"/>
      <c r="BL22" s="65"/>
      <c r="BM22" s="65"/>
      <c r="BN22" s="65"/>
      <c r="BO22" s="65"/>
      <c r="BP22" s="65"/>
      <c r="BQ22" s="65"/>
      <c r="BR22" s="197"/>
      <c r="BS22" s="65"/>
      <c r="BT22" s="198"/>
      <c r="BU22" s="198"/>
      <c r="BV22" s="198"/>
      <c r="BW22" s="198"/>
      <c r="BX22" s="198"/>
      <c r="BY22" s="198"/>
      <c r="BZ22" s="198"/>
      <c r="CA22" s="198"/>
      <c r="CB22" s="198"/>
      <c r="CC22" s="198"/>
      <c r="CD22" s="198"/>
      <c r="CE22" s="198"/>
      <c r="CF22" s="198"/>
      <c r="CG22" s="198"/>
      <c r="CH22" s="198"/>
      <c r="CI22" s="12"/>
      <c r="CJ22" s="65" t="s">
        <v>1485</v>
      </c>
      <c r="CK22" s="65" t="s">
        <v>1486</v>
      </c>
      <c r="CL22" s="65" t="s">
        <v>1285</v>
      </c>
      <c r="CM22" s="65" t="s">
        <v>1286</v>
      </c>
      <c r="CN22" s="65">
        <v>1128416098</v>
      </c>
      <c r="CO22" s="65" t="s">
        <v>1486</v>
      </c>
      <c r="CP22" s="65">
        <v>307749755</v>
      </c>
      <c r="CQ22" s="201" t="s">
        <v>1487</v>
      </c>
      <c r="CR22" s="65" t="s">
        <v>1216</v>
      </c>
      <c r="CS22" s="197">
        <v>44013</v>
      </c>
      <c r="CT22" s="65">
        <v>4.2043999999999997</v>
      </c>
      <c r="CU22" s="198">
        <v>0.42720000000000002</v>
      </c>
      <c r="CV22" s="198">
        <v>0.1605</v>
      </c>
      <c r="CW22" s="198">
        <v>9.0499999999999997E-2</v>
      </c>
      <c r="CX22" s="198">
        <v>6.0299999999999999E-2</v>
      </c>
      <c r="CY22" s="198">
        <v>4.3999999999999997E-2</v>
      </c>
      <c r="CZ22" s="198">
        <v>3.4000000000000002E-2</v>
      </c>
      <c r="DA22" s="198">
        <v>2.7300000000000001E-2</v>
      </c>
      <c r="DB22" s="198">
        <v>2.2599999999999999E-2</v>
      </c>
      <c r="DC22" s="198">
        <v>9.3799999999999994E-2</v>
      </c>
      <c r="DD22" s="198">
        <v>2.8199999999999999E-2</v>
      </c>
      <c r="DE22" s="198">
        <v>7.7999999999999996E-3</v>
      </c>
      <c r="DF22" s="198">
        <v>3.0000000000000001E-3</v>
      </c>
      <c r="DG22" s="198">
        <v>5.9999999999999995E-4</v>
      </c>
      <c r="DH22" s="198">
        <v>0</v>
      </c>
      <c r="DI22" s="198">
        <v>0</v>
      </c>
      <c r="DJ22" s="200"/>
    </row>
    <row r="23" spans="1:114" ht="15.75" customHeight="1" x14ac:dyDescent="0.2">
      <c r="A23" s="196"/>
      <c r="B23" s="196"/>
      <c r="C23" s="196"/>
      <c r="D23" s="196"/>
      <c r="E23" s="196"/>
      <c r="F23" s="196"/>
      <c r="G23" s="65" t="s">
        <v>1488</v>
      </c>
      <c r="H23" s="65" t="s">
        <v>61</v>
      </c>
      <c r="I23" s="65" t="s">
        <v>1489</v>
      </c>
      <c r="J23" s="65" t="s">
        <v>1490</v>
      </c>
      <c r="K23" s="65">
        <v>1220000000</v>
      </c>
      <c r="L23" s="65" t="s">
        <v>61</v>
      </c>
      <c r="M23" s="65">
        <v>1400000000</v>
      </c>
      <c r="N23" s="65" t="s">
        <v>1491</v>
      </c>
      <c r="O23" s="65" t="s">
        <v>1216</v>
      </c>
      <c r="P23" s="197">
        <v>44013</v>
      </c>
      <c r="Q23" s="65">
        <v>5.0865999999999998</v>
      </c>
      <c r="R23" s="198">
        <v>0.33950000000000002</v>
      </c>
      <c r="S23" s="198">
        <v>0.15049999999999999</v>
      </c>
      <c r="T23" s="198">
        <v>9.3399999999999997E-2</v>
      </c>
      <c r="U23" s="198">
        <v>6.6600000000000006E-2</v>
      </c>
      <c r="V23" s="198">
        <v>5.1200000000000002E-2</v>
      </c>
      <c r="W23" s="198">
        <v>4.1300000000000003E-2</v>
      </c>
      <c r="X23" s="198">
        <v>3.44E-2</v>
      </c>
      <c r="Y23" s="198">
        <v>2.9399999999999999E-2</v>
      </c>
      <c r="Z23" s="198">
        <v>0.13170000000000001</v>
      </c>
      <c r="AA23" s="198">
        <v>4.7399999999999998E-2</v>
      </c>
      <c r="AB23" s="198">
        <v>1.38E-2</v>
      </c>
      <c r="AC23" s="198">
        <v>8.9999999999999998E-4</v>
      </c>
      <c r="AD23" s="198">
        <v>0</v>
      </c>
      <c r="AE23" s="198">
        <v>0</v>
      </c>
      <c r="AF23" s="198">
        <v>0</v>
      </c>
      <c r="AG23" s="12"/>
      <c r="AH23" s="65" t="s">
        <v>1492</v>
      </c>
      <c r="AI23" s="65" t="s">
        <v>1493</v>
      </c>
      <c r="AJ23" s="65" t="s">
        <v>1258</v>
      </c>
      <c r="AK23" s="65" t="s">
        <v>1259</v>
      </c>
      <c r="AL23" s="65">
        <v>1090242126</v>
      </c>
      <c r="AM23" s="65" t="s">
        <v>1493</v>
      </c>
      <c r="AN23" s="65">
        <v>292594310</v>
      </c>
      <c r="AO23" s="65" t="s">
        <v>1260</v>
      </c>
      <c r="AP23" s="65" t="s">
        <v>1216</v>
      </c>
      <c r="AQ23" s="197">
        <v>44013</v>
      </c>
      <c r="AR23" s="65">
        <v>5.0667999999999997</v>
      </c>
      <c r="AS23" s="198">
        <v>0.34399999999999997</v>
      </c>
      <c r="AT23" s="198">
        <v>0.151</v>
      </c>
      <c r="AU23" s="198">
        <v>9.3299999999999994E-2</v>
      </c>
      <c r="AV23" s="198">
        <v>6.6199999999999995E-2</v>
      </c>
      <c r="AW23" s="198">
        <v>5.0799999999999998E-2</v>
      </c>
      <c r="AX23" s="198">
        <v>4.0800000000000003E-2</v>
      </c>
      <c r="AY23" s="198">
        <v>3.4000000000000002E-2</v>
      </c>
      <c r="AZ23" s="198">
        <v>2.8899999999999999E-2</v>
      </c>
      <c r="BA23" s="198">
        <v>0.12939999999999999</v>
      </c>
      <c r="BB23" s="198">
        <v>4.6300000000000001E-2</v>
      </c>
      <c r="BC23" s="198">
        <v>1.4E-2</v>
      </c>
      <c r="BD23" s="198">
        <v>1.2999999999999999E-3</v>
      </c>
      <c r="BE23" s="198">
        <v>0</v>
      </c>
      <c r="BF23" s="198">
        <v>0</v>
      </c>
      <c r="BG23" s="198">
        <v>0</v>
      </c>
      <c r="BH23" s="12"/>
      <c r="BI23" s="192" t="s">
        <v>1494</v>
      </c>
      <c r="BJ23" s="192"/>
      <c r="BK23" s="192"/>
      <c r="BL23" s="192"/>
      <c r="BM23" s="192"/>
      <c r="BN23" s="192"/>
      <c r="BO23" s="192"/>
      <c r="BP23" s="192"/>
      <c r="BQ23" s="192"/>
      <c r="BR23" s="194"/>
      <c r="BS23" s="192"/>
      <c r="BT23" s="195"/>
      <c r="BU23" s="195"/>
      <c r="BV23" s="195"/>
      <c r="BW23" s="195"/>
      <c r="BX23" s="195"/>
      <c r="BY23" s="195"/>
      <c r="BZ23" s="195"/>
      <c r="CA23" s="195"/>
      <c r="CB23" s="195"/>
      <c r="CC23" s="198"/>
      <c r="CD23" s="198"/>
      <c r="CE23" s="198"/>
      <c r="CF23" s="198"/>
      <c r="CG23" s="198"/>
      <c r="CH23" s="198"/>
      <c r="CI23" s="12"/>
      <c r="CJ23" s="65" t="s">
        <v>1495</v>
      </c>
      <c r="CK23" s="65" t="s">
        <v>1496</v>
      </c>
      <c r="CL23" s="65" t="s">
        <v>1414</v>
      </c>
      <c r="CM23" s="65" t="s">
        <v>1415</v>
      </c>
      <c r="CN23" s="65">
        <v>1144258115</v>
      </c>
      <c r="CO23" s="65" t="s">
        <v>1496</v>
      </c>
      <c r="CP23" s="65">
        <v>284800461</v>
      </c>
      <c r="CQ23" s="65" t="s">
        <v>1415</v>
      </c>
      <c r="CR23" s="65" t="s">
        <v>1216</v>
      </c>
      <c r="CS23" s="197">
        <v>44013</v>
      </c>
      <c r="CT23" s="65">
        <v>4.1250999999999998</v>
      </c>
      <c r="CU23" s="198">
        <v>0.42449999999999999</v>
      </c>
      <c r="CV23" s="198">
        <v>0.1605</v>
      </c>
      <c r="CW23" s="198">
        <v>9.0899999999999995E-2</v>
      </c>
      <c r="CX23" s="198">
        <v>6.0699999999999997E-2</v>
      </c>
      <c r="CY23" s="198">
        <v>4.4400000000000002E-2</v>
      </c>
      <c r="CZ23" s="198">
        <v>3.4299999999999997E-2</v>
      </c>
      <c r="DA23" s="198">
        <v>2.76E-2</v>
      </c>
      <c r="DB23" s="198">
        <v>2.29E-2</v>
      </c>
      <c r="DC23" s="198">
        <v>9.5299999999999996E-2</v>
      </c>
      <c r="DD23" s="198">
        <v>2.8799999999999999E-2</v>
      </c>
      <c r="DE23" s="198">
        <v>7.7000000000000002E-3</v>
      </c>
      <c r="DF23" s="198">
        <v>2.3999999999999998E-3</v>
      </c>
      <c r="DG23" s="198">
        <v>1E-4</v>
      </c>
      <c r="DH23" s="198">
        <v>0</v>
      </c>
      <c r="DI23" s="198">
        <v>0</v>
      </c>
      <c r="DJ23" s="200"/>
    </row>
    <row r="24" spans="1:114" ht="15.75" customHeight="1" x14ac:dyDescent="0.2">
      <c r="A24" s="196"/>
      <c r="B24" s="196"/>
      <c r="C24" s="196"/>
      <c r="D24" s="196"/>
      <c r="E24" s="196"/>
      <c r="F24" s="196"/>
      <c r="G24" s="65" t="s">
        <v>1497</v>
      </c>
      <c r="H24" s="65" t="s">
        <v>1498</v>
      </c>
      <c r="I24" s="65" t="s">
        <v>1235</v>
      </c>
      <c r="J24" s="65" t="s">
        <v>1236</v>
      </c>
      <c r="K24" s="65">
        <v>1220000000</v>
      </c>
      <c r="L24" s="65" t="s">
        <v>1499</v>
      </c>
      <c r="M24" s="65">
        <v>1220000000</v>
      </c>
      <c r="N24" s="65" t="s">
        <v>1500</v>
      </c>
      <c r="O24" s="65" t="s">
        <v>1216</v>
      </c>
      <c r="P24" s="197">
        <v>44013</v>
      </c>
      <c r="Q24" s="65">
        <v>5.5094000000000003</v>
      </c>
      <c r="R24" s="198">
        <v>0.3044</v>
      </c>
      <c r="S24" s="198">
        <v>0.14449999999999999</v>
      </c>
      <c r="T24" s="198">
        <v>9.3399999999999997E-2</v>
      </c>
      <c r="U24" s="198">
        <v>6.8400000000000002E-2</v>
      </c>
      <c r="V24" s="198">
        <v>5.3699999999999998E-2</v>
      </c>
      <c r="W24" s="198">
        <v>4.41E-2</v>
      </c>
      <c r="X24" s="198">
        <v>3.73E-2</v>
      </c>
      <c r="Y24" s="198">
        <v>3.2199999999999999E-2</v>
      </c>
      <c r="Z24" s="198">
        <v>0.1492</v>
      </c>
      <c r="AA24" s="198">
        <v>5.74E-2</v>
      </c>
      <c r="AB24" s="198">
        <v>1.54E-2</v>
      </c>
      <c r="AC24" s="198">
        <v>1E-4</v>
      </c>
      <c r="AD24" s="198">
        <v>0</v>
      </c>
      <c r="AE24" s="198">
        <v>0</v>
      </c>
      <c r="AF24" s="198">
        <v>0</v>
      </c>
      <c r="AG24" s="12"/>
      <c r="AH24" s="65" t="s">
        <v>1501</v>
      </c>
      <c r="AI24" s="65" t="s">
        <v>1502</v>
      </c>
      <c r="AJ24" s="65" t="s">
        <v>1503</v>
      </c>
      <c r="AK24" s="65" t="s">
        <v>1504</v>
      </c>
      <c r="AL24" s="65">
        <v>1040172229</v>
      </c>
      <c r="AM24" s="65" t="s">
        <v>1502</v>
      </c>
      <c r="AN24" s="65">
        <v>624795774</v>
      </c>
      <c r="AO24" s="65" t="s">
        <v>1504</v>
      </c>
      <c r="AP24" s="65" t="s">
        <v>1216</v>
      </c>
      <c r="AQ24" s="197">
        <v>44013</v>
      </c>
      <c r="AR24" s="65">
        <v>3.5455000000000001</v>
      </c>
      <c r="AS24" s="198">
        <v>0.43869999999999998</v>
      </c>
      <c r="AT24" s="198">
        <v>0.16439999999999999</v>
      </c>
      <c r="AU24" s="198">
        <v>9.2399999999999996E-2</v>
      </c>
      <c r="AV24" s="198">
        <v>6.13E-2</v>
      </c>
      <c r="AW24" s="198">
        <v>4.4600000000000001E-2</v>
      </c>
      <c r="AX24" s="198">
        <v>3.4299999999999997E-2</v>
      </c>
      <c r="AY24" s="198">
        <v>2.7400000000000001E-2</v>
      </c>
      <c r="AZ24" s="198">
        <v>2.2599999999999999E-2</v>
      </c>
      <c r="BA24" s="198">
        <v>9.1800000000000007E-2</v>
      </c>
      <c r="BB24" s="198">
        <v>2.24E-2</v>
      </c>
      <c r="BC24" s="198">
        <v>1E-4</v>
      </c>
      <c r="BD24" s="198">
        <v>0</v>
      </c>
      <c r="BE24" s="198">
        <v>0</v>
      </c>
      <c r="BF24" s="198">
        <v>0</v>
      </c>
      <c r="BG24" s="198">
        <v>0</v>
      </c>
      <c r="BH24" s="12"/>
      <c r="BI24" s="192" t="s">
        <v>1185</v>
      </c>
      <c r="BJ24" s="192" t="s">
        <v>1186</v>
      </c>
      <c r="BK24" s="192" t="s">
        <v>1187</v>
      </c>
      <c r="BL24" s="192" t="s">
        <v>1188</v>
      </c>
      <c r="BM24" s="192" t="s">
        <v>1189</v>
      </c>
      <c r="BN24" s="192" t="s">
        <v>1190</v>
      </c>
      <c r="BO24" s="192" t="s">
        <v>1191</v>
      </c>
      <c r="BP24" s="192" t="s">
        <v>1192</v>
      </c>
      <c r="BQ24" s="192" t="s">
        <v>1193</v>
      </c>
      <c r="BR24" s="194" t="s">
        <v>1194</v>
      </c>
      <c r="BS24" s="192" t="s">
        <v>1505</v>
      </c>
      <c r="BT24" s="195" t="s">
        <v>1506</v>
      </c>
      <c r="BU24" s="195" t="s">
        <v>1507</v>
      </c>
      <c r="BV24" s="195" t="s">
        <v>1508</v>
      </c>
      <c r="BW24" s="195" t="s">
        <v>1509</v>
      </c>
      <c r="BX24" s="195" t="s">
        <v>1510</v>
      </c>
      <c r="BY24" s="195" t="s">
        <v>1511</v>
      </c>
      <c r="BZ24" s="195" t="s">
        <v>1512</v>
      </c>
      <c r="CA24" s="195" t="s">
        <v>1513</v>
      </c>
      <c r="CB24" s="195" t="s">
        <v>1514</v>
      </c>
      <c r="CC24" s="198"/>
      <c r="CD24" s="198"/>
      <c r="CE24" s="198"/>
      <c r="CF24" s="198"/>
      <c r="CG24" s="198"/>
      <c r="CH24" s="198"/>
      <c r="CI24" s="12"/>
      <c r="CJ24" s="65"/>
      <c r="CK24" s="65"/>
      <c r="CL24" s="65"/>
      <c r="CM24" s="65"/>
      <c r="CN24" s="65"/>
      <c r="CO24" s="65"/>
      <c r="CP24" s="65"/>
      <c r="CQ24" s="65"/>
      <c r="CR24" s="65"/>
      <c r="CS24" s="202" t="s">
        <v>1515</v>
      </c>
      <c r="CT24" s="202">
        <f>AVERAGE(CT4:CT23)</f>
        <v>5.023550000000002</v>
      </c>
      <c r="CU24" s="198"/>
      <c r="CV24" s="198"/>
      <c r="CW24" s="198"/>
      <c r="CX24" s="198"/>
      <c r="CY24" s="198"/>
      <c r="CZ24" s="198"/>
      <c r="DA24" s="198"/>
      <c r="DB24" s="198"/>
      <c r="DC24" s="198"/>
      <c r="DD24" s="198"/>
      <c r="DE24" s="198"/>
      <c r="DF24" s="198"/>
      <c r="DG24" s="198"/>
      <c r="DH24" s="198"/>
      <c r="DI24" s="198"/>
      <c r="DJ24" s="200"/>
    </row>
    <row r="25" spans="1:114" ht="15.75" customHeight="1" x14ac:dyDescent="0.2">
      <c r="A25" s="196"/>
      <c r="B25" s="196"/>
      <c r="C25" s="196"/>
      <c r="D25" s="196"/>
      <c r="E25" s="196"/>
      <c r="F25" s="196"/>
      <c r="G25" s="65" t="s">
        <v>1516</v>
      </c>
      <c r="H25" s="65" t="s">
        <v>1517</v>
      </c>
      <c r="I25" s="65" t="s">
        <v>1244</v>
      </c>
      <c r="J25" s="65" t="s">
        <v>1245</v>
      </c>
      <c r="K25" s="65">
        <v>890000000</v>
      </c>
      <c r="L25" s="65" t="s">
        <v>1517</v>
      </c>
      <c r="M25" s="65">
        <v>476000000</v>
      </c>
      <c r="N25" s="65" t="s">
        <v>1518</v>
      </c>
      <c r="O25" s="65" t="s">
        <v>1216</v>
      </c>
      <c r="P25" s="197">
        <v>44013</v>
      </c>
      <c r="Q25" s="65">
        <v>5.0625</v>
      </c>
      <c r="R25" s="198">
        <v>0.38379999999999997</v>
      </c>
      <c r="S25" s="198">
        <v>0.1555</v>
      </c>
      <c r="T25" s="198">
        <v>9.1700000000000004E-2</v>
      </c>
      <c r="U25" s="198">
        <v>6.3E-2</v>
      </c>
      <c r="V25" s="198">
        <v>4.7100000000000003E-2</v>
      </c>
      <c r="W25" s="198">
        <v>3.7100000000000001E-2</v>
      </c>
      <c r="X25" s="198">
        <v>3.04E-2</v>
      </c>
      <c r="Y25" s="198">
        <v>2.5499999999999998E-2</v>
      </c>
      <c r="Z25" s="198">
        <v>0.1099</v>
      </c>
      <c r="AA25" s="198">
        <v>3.6499999999999998E-2</v>
      </c>
      <c r="AB25" s="198">
        <v>1.21E-2</v>
      </c>
      <c r="AC25" s="198">
        <v>5.4999999999999997E-3</v>
      </c>
      <c r="AD25" s="198">
        <v>1.6999999999999999E-3</v>
      </c>
      <c r="AE25" s="198">
        <v>0</v>
      </c>
      <c r="AF25" s="198">
        <v>0</v>
      </c>
      <c r="AG25" s="12"/>
      <c r="AH25" s="65" t="s">
        <v>1519</v>
      </c>
      <c r="AI25" s="65" t="s">
        <v>1520</v>
      </c>
      <c r="AJ25" s="65" t="s">
        <v>1521</v>
      </c>
      <c r="AK25" s="65" t="s">
        <v>1522</v>
      </c>
      <c r="AL25" s="65">
        <v>1150250440</v>
      </c>
      <c r="AM25" s="65" t="s">
        <v>1520</v>
      </c>
      <c r="AN25" s="65">
        <v>463146137</v>
      </c>
      <c r="AO25" s="65" t="s">
        <v>1522</v>
      </c>
      <c r="AP25" s="65" t="s">
        <v>1216</v>
      </c>
      <c r="AQ25" s="197">
        <v>44013</v>
      </c>
      <c r="AR25" s="65">
        <v>2.5571999999999999</v>
      </c>
      <c r="AS25" s="198">
        <v>0.48970000000000002</v>
      </c>
      <c r="AT25" s="198">
        <v>0.1855</v>
      </c>
      <c r="AU25" s="198">
        <v>0.1022</v>
      </c>
      <c r="AV25" s="198">
        <v>6.5299999999999997E-2</v>
      </c>
      <c r="AW25" s="198">
        <v>4.4900000000000002E-2</v>
      </c>
      <c r="AX25" s="198">
        <v>3.2300000000000002E-2</v>
      </c>
      <c r="AY25" s="198">
        <v>2.3800000000000002E-2</v>
      </c>
      <c r="AZ25" s="198">
        <v>1.77E-2</v>
      </c>
      <c r="BA25" s="198">
        <v>3.85E-2</v>
      </c>
      <c r="BB25" s="198">
        <v>0</v>
      </c>
      <c r="BC25" s="198">
        <v>0</v>
      </c>
      <c r="BD25" s="198">
        <v>0</v>
      </c>
      <c r="BE25" s="198">
        <v>0</v>
      </c>
      <c r="BF25" s="198">
        <v>0</v>
      </c>
      <c r="BG25" s="198">
        <v>0</v>
      </c>
      <c r="BH25" s="12"/>
      <c r="BI25" s="65" t="s">
        <v>1223</v>
      </c>
      <c r="BJ25" s="65" t="s">
        <v>1224</v>
      </c>
      <c r="BK25" s="65" t="s">
        <v>1225</v>
      </c>
      <c r="BL25" s="65" t="s">
        <v>1226</v>
      </c>
      <c r="BM25" s="65">
        <v>1003168863</v>
      </c>
      <c r="BN25" s="65" t="s">
        <v>1224</v>
      </c>
      <c r="BO25" s="65">
        <v>302647750</v>
      </c>
      <c r="BP25" s="65" t="s">
        <v>1227</v>
      </c>
      <c r="BQ25" s="65" t="s">
        <v>1216</v>
      </c>
      <c r="BR25" s="197">
        <v>44013</v>
      </c>
      <c r="BS25" s="65">
        <v>712.30769999999995</v>
      </c>
      <c r="BT25" s="198">
        <v>1.0800000000000001E-2</v>
      </c>
      <c r="BU25" s="198">
        <v>3.8399999999999997E-2</v>
      </c>
      <c r="BV25" s="198">
        <v>8.0799999999999997E-2</v>
      </c>
      <c r="BW25" s="198">
        <v>8.1799999999999998E-2</v>
      </c>
      <c r="BX25" s="198">
        <v>0.1787</v>
      </c>
      <c r="BY25" s="198">
        <v>0.25459999999999999</v>
      </c>
      <c r="BZ25" s="198">
        <v>0.27810000000000001</v>
      </c>
      <c r="CA25" s="198">
        <v>5.0799999999999998E-2</v>
      </c>
      <c r="CB25" s="198">
        <v>2.5999999999999999E-2</v>
      </c>
      <c r="CC25" s="198"/>
      <c r="CD25" s="198"/>
      <c r="CE25" s="198"/>
      <c r="CF25" s="198"/>
      <c r="CG25" s="198"/>
      <c r="CH25" s="198"/>
      <c r="CI25" s="12"/>
      <c r="CJ25" s="65"/>
      <c r="CK25" s="65"/>
      <c r="CL25" s="65"/>
      <c r="CM25" s="65"/>
      <c r="CN25" s="65"/>
      <c r="CO25" s="65"/>
      <c r="CP25" s="65"/>
      <c r="CQ25" s="65"/>
      <c r="CR25" s="65"/>
      <c r="CS25" s="197"/>
      <c r="CT25" s="65"/>
      <c r="CU25" s="198"/>
      <c r="CV25" s="198"/>
      <c r="CW25" s="198"/>
      <c r="CX25" s="198"/>
      <c r="CY25" s="198"/>
      <c r="CZ25" s="198"/>
      <c r="DA25" s="198"/>
      <c r="DB25" s="198"/>
      <c r="DC25" s="198"/>
      <c r="DD25" s="198"/>
      <c r="DE25" s="198"/>
      <c r="DF25" s="198"/>
      <c r="DG25" s="198"/>
      <c r="DH25" s="198"/>
      <c r="DI25" s="198"/>
      <c r="DJ25" s="200"/>
    </row>
    <row r="26" spans="1:114" ht="15.75" customHeight="1" x14ac:dyDescent="0.15">
      <c r="A26" s="196"/>
      <c r="B26" s="196"/>
      <c r="C26" s="196"/>
      <c r="D26" s="196"/>
      <c r="E26" s="196"/>
      <c r="F26" s="196"/>
      <c r="G26" s="65" t="s">
        <v>1523</v>
      </c>
      <c r="H26" s="65" t="s">
        <v>1524</v>
      </c>
      <c r="I26" s="65" t="s">
        <v>1219</v>
      </c>
      <c r="J26" s="65" t="s">
        <v>1220</v>
      </c>
      <c r="K26" s="65">
        <v>893000000</v>
      </c>
      <c r="L26" s="65" t="s">
        <v>1525</v>
      </c>
      <c r="M26" s="65">
        <v>342000000</v>
      </c>
      <c r="N26" s="65" t="s">
        <v>1220</v>
      </c>
      <c r="O26" s="65" t="s">
        <v>1216</v>
      </c>
      <c r="P26" s="197">
        <v>44013</v>
      </c>
      <c r="Q26" s="65">
        <v>4.6379000000000001</v>
      </c>
      <c r="R26" s="198">
        <v>0.35870000000000002</v>
      </c>
      <c r="S26" s="198">
        <v>0.1542</v>
      </c>
      <c r="T26" s="198">
        <v>9.4100000000000003E-2</v>
      </c>
      <c r="U26" s="198">
        <v>6.6199999999999995E-2</v>
      </c>
      <c r="V26" s="198">
        <v>5.04E-2</v>
      </c>
      <c r="W26" s="198">
        <v>4.0300000000000002E-2</v>
      </c>
      <c r="X26" s="198">
        <v>3.3300000000000003E-2</v>
      </c>
      <c r="Y26" s="198">
        <v>2.8299999999999999E-2</v>
      </c>
      <c r="Z26" s="198">
        <v>0.1245</v>
      </c>
      <c r="AA26" s="198">
        <v>4.2000000000000003E-2</v>
      </c>
      <c r="AB26" s="198">
        <v>8.0999999999999996E-3</v>
      </c>
      <c r="AC26" s="198">
        <v>0</v>
      </c>
      <c r="AD26" s="198">
        <v>0</v>
      </c>
      <c r="AE26" s="198">
        <v>0</v>
      </c>
      <c r="AF26" s="198">
        <v>0</v>
      </c>
      <c r="AG26" s="12"/>
      <c r="AH26" s="65" t="s">
        <v>1526</v>
      </c>
      <c r="AI26" s="65" t="s">
        <v>1527</v>
      </c>
      <c r="AJ26" s="65" t="s">
        <v>1258</v>
      </c>
      <c r="AK26" s="65" t="s">
        <v>1259</v>
      </c>
      <c r="AL26" s="65">
        <v>1243005112</v>
      </c>
      <c r="AM26" s="65" t="s">
        <v>1527</v>
      </c>
      <c r="AN26" s="65">
        <v>525894639</v>
      </c>
      <c r="AO26" s="65" t="s">
        <v>1386</v>
      </c>
      <c r="AP26" s="65" t="s">
        <v>1216</v>
      </c>
      <c r="AQ26" s="197">
        <v>44013</v>
      </c>
      <c r="AR26" s="65">
        <v>4.8486000000000002</v>
      </c>
      <c r="AS26" s="198">
        <v>0.31509999999999999</v>
      </c>
      <c r="AT26" s="198">
        <v>0.15</v>
      </c>
      <c r="AU26" s="198">
        <v>9.6799999999999997E-2</v>
      </c>
      <c r="AV26" s="198">
        <v>7.0800000000000002E-2</v>
      </c>
      <c r="AW26" s="198">
        <v>5.5399999999999998E-2</v>
      </c>
      <c r="AX26" s="198">
        <v>4.5199999999999997E-2</v>
      </c>
      <c r="AY26" s="198">
        <v>3.8100000000000002E-2</v>
      </c>
      <c r="AZ26" s="198">
        <v>3.2800000000000003E-2</v>
      </c>
      <c r="BA26" s="198">
        <v>0.1487</v>
      </c>
      <c r="BB26" s="198">
        <v>4.6699999999999998E-2</v>
      </c>
      <c r="BC26" s="198">
        <v>5.9999999999999995E-4</v>
      </c>
      <c r="BD26" s="198">
        <v>0</v>
      </c>
      <c r="BE26" s="198">
        <v>0</v>
      </c>
      <c r="BF26" s="198">
        <v>0</v>
      </c>
      <c r="BG26" s="198">
        <v>0</v>
      </c>
      <c r="BH26" s="12"/>
      <c r="BI26" s="65" t="s">
        <v>1242</v>
      </c>
      <c r="BJ26" s="65" t="s">
        <v>1243</v>
      </c>
      <c r="BK26" s="65" t="s">
        <v>1244</v>
      </c>
      <c r="BL26" s="65" t="s">
        <v>1245</v>
      </c>
      <c r="BM26" s="65">
        <v>1117841866</v>
      </c>
      <c r="BN26" s="65" t="s">
        <v>1246</v>
      </c>
      <c r="BO26" s="65">
        <v>791124596</v>
      </c>
      <c r="BP26" s="65" t="s">
        <v>1247</v>
      </c>
      <c r="BQ26" s="65" t="s">
        <v>1216</v>
      </c>
      <c r="BR26" s="197">
        <v>44013</v>
      </c>
      <c r="BS26" s="65">
        <v>440.47820000000002</v>
      </c>
      <c r="BT26" s="198">
        <v>1.6899999999999998E-2</v>
      </c>
      <c r="BU26" s="198">
        <v>5.8700000000000002E-2</v>
      </c>
      <c r="BV26" s="198">
        <v>0.11559999999999999</v>
      </c>
      <c r="BW26" s="198">
        <v>0.1076</v>
      </c>
      <c r="BX26" s="198">
        <v>0.20730000000000001</v>
      </c>
      <c r="BY26" s="198">
        <v>0.24440000000000001</v>
      </c>
      <c r="BZ26" s="198">
        <v>0.21709999999999999</v>
      </c>
      <c r="CA26" s="198">
        <v>2.69E-2</v>
      </c>
      <c r="CB26" s="198">
        <v>5.5999999999999999E-3</v>
      </c>
      <c r="CC26" s="198"/>
      <c r="CD26" s="198"/>
      <c r="CE26" s="198"/>
      <c r="CF26" s="198"/>
      <c r="CG26" s="198"/>
      <c r="CH26" s="198"/>
      <c r="CI26" s="12"/>
      <c r="CJ26" s="192" t="s">
        <v>1494</v>
      </c>
      <c r="CK26" s="192"/>
      <c r="CL26" s="192"/>
      <c r="CM26" s="192"/>
      <c r="CN26" s="192"/>
      <c r="CO26" s="192"/>
      <c r="CP26" s="192"/>
      <c r="CQ26" s="192"/>
      <c r="CR26" s="192"/>
      <c r="CS26" s="194"/>
      <c r="CT26" s="192"/>
      <c r="CU26" s="195"/>
      <c r="CV26" s="195"/>
      <c r="CW26" s="195"/>
      <c r="CX26" s="195"/>
      <c r="CY26" s="195"/>
      <c r="CZ26" s="195"/>
      <c r="DA26" s="195"/>
      <c r="DB26" s="195"/>
      <c r="DC26" s="195"/>
      <c r="DD26" s="198"/>
      <c r="DE26" s="198"/>
      <c r="DF26" s="198"/>
      <c r="DG26" s="198"/>
      <c r="DH26" s="198"/>
      <c r="DI26" s="198"/>
      <c r="DJ26" s="12"/>
    </row>
    <row r="27" spans="1:114" ht="15.75" customHeight="1" x14ac:dyDescent="0.15">
      <c r="A27" s="196"/>
      <c r="B27" s="196"/>
      <c r="C27" s="196"/>
      <c r="D27" s="196"/>
      <c r="E27" s="196"/>
      <c r="F27" s="196"/>
      <c r="G27" s="65" t="s">
        <v>1528</v>
      </c>
      <c r="H27" s="65" t="s">
        <v>1529</v>
      </c>
      <c r="I27" s="65" t="s">
        <v>1244</v>
      </c>
      <c r="J27" s="65" t="s">
        <v>1245</v>
      </c>
      <c r="K27" s="65">
        <v>1070000000</v>
      </c>
      <c r="L27" s="65" t="s">
        <v>1529</v>
      </c>
      <c r="M27" s="65">
        <v>296000000</v>
      </c>
      <c r="N27" s="65" t="s">
        <v>1393</v>
      </c>
      <c r="O27" s="65" t="s">
        <v>1216</v>
      </c>
      <c r="P27" s="197">
        <v>44013</v>
      </c>
      <c r="Q27" s="65">
        <v>3.2581000000000002</v>
      </c>
      <c r="R27" s="198">
        <v>0.48099999999999998</v>
      </c>
      <c r="S27" s="198">
        <v>0.16489999999999999</v>
      </c>
      <c r="T27" s="198">
        <v>8.8099999999999998E-2</v>
      </c>
      <c r="U27" s="198">
        <v>5.6500000000000002E-2</v>
      </c>
      <c r="V27" s="198">
        <v>0.04</v>
      </c>
      <c r="W27" s="198">
        <v>3.0099999999999998E-2</v>
      </c>
      <c r="X27" s="198">
        <v>2.3699999999999999E-2</v>
      </c>
      <c r="Y27" s="198">
        <v>1.9300000000000001E-2</v>
      </c>
      <c r="Z27" s="198">
        <v>7.5800000000000006E-2</v>
      </c>
      <c r="AA27" s="198">
        <v>1.9199999999999998E-2</v>
      </c>
      <c r="AB27" s="198">
        <v>1.5E-3</v>
      </c>
      <c r="AC27" s="198">
        <v>0</v>
      </c>
      <c r="AD27" s="198">
        <v>0</v>
      </c>
      <c r="AE27" s="198">
        <v>0</v>
      </c>
      <c r="AF27" s="198">
        <v>0</v>
      </c>
      <c r="AG27" s="12"/>
      <c r="AH27" s="65" t="s">
        <v>1530</v>
      </c>
      <c r="AI27" s="65" t="s">
        <v>1531</v>
      </c>
      <c r="AJ27" s="65" t="s">
        <v>1341</v>
      </c>
      <c r="AK27" s="65" t="s">
        <v>1342</v>
      </c>
      <c r="AL27" s="65">
        <v>1356045010</v>
      </c>
      <c r="AM27" s="65" t="s">
        <v>1532</v>
      </c>
      <c r="AN27" s="65">
        <v>1241617493</v>
      </c>
      <c r="AO27" s="65" t="s">
        <v>1342</v>
      </c>
      <c r="AP27" s="65" t="s">
        <v>1216</v>
      </c>
      <c r="AQ27" s="197">
        <v>44013</v>
      </c>
      <c r="AR27" s="65">
        <v>3.7747999999999999</v>
      </c>
      <c r="AS27" s="198">
        <v>0.41660000000000003</v>
      </c>
      <c r="AT27" s="198">
        <v>0.16250000000000001</v>
      </c>
      <c r="AU27" s="198">
        <v>9.3600000000000003E-2</v>
      </c>
      <c r="AV27" s="198">
        <v>6.3100000000000003E-2</v>
      </c>
      <c r="AW27" s="198">
        <v>4.65E-2</v>
      </c>
      <c r="AX27" s="198">
        <v>3.6200000000000003E-2</v>
      </c>
      <c r="AY27" s="198">
        <v>2.92E-2</v>
      </c>
      <c r="AZ27" s="198">
        <v>2.4299999999999999E-2</v>
      </c>
      <c r="BA27" s="198">
        <v>0.1008</v>
      </c>
      <c r="BB27" s="198">
        <v>2.6700000000000002E-2</v>
      </c>
      <c r="BC27" s="198">
        <v>5.0000000000000001E-4</v>
      </c>
      <c r="BD27" s="198">
        <v>0</v>
      </c>
      <c r="BE27" s="198">
        <v>0</v>
      </c>
      <c r="BF27" s="198">
        <v>0</v>
      </c>
      <c r="BG27" s="198">
        <v>0</v>
      </c>
      <c r="BH27" s="12"/>
      <c r="BI27" s="65" t="s">
        <v>1261</v>
      </c>
      <c r="BJ27" s="65" t="s">
        <v>1262</v>
      </c>
      <c r="BK27" s="65" t="s">
        <v>1263</v>
      </c>
      <c r="BL27" s="65" t="s">
        <v>1264</v>
      </c>
      <c r="BM27" s="65">
        <v>1358222641</v>
      </c>
      <c r="BN27" s="65" t="s">
        <v>1262</v>
      </c>
      <c r="BO27" s="65">
        <v>352305770</v>
      </c>
      <c r="BP27" s="65" t="s">
        <v>1264</v>
      </c>
      <c r="BQ27" s="65" t="s">
        <v>1216</v>
      </c>
      <c r="BR27" s="197">
        <v>44013</v>
      </c>
      <c r="BS27" s="65">
        <v>580.48800000000006</v>
      </c>
      <c r="BT27" s="198">
        <v>1.2E-2</v>
      </c>
      <c r="BU27" s="198">
        <v>4.2500000000000003E-2</v>
      </c>
      <c r="BV27" s="198">
        <v>8.8300000000000003E-2</v>
      </c>
      <c r="BW27" s="198">
        <v>8.7900000000000006E-2</v>
      </c>
      <c r="BX27" s="198">
        <v>0.18729999999999999</v>
      </c>
      <c r="BY27" s="198">
        <v>0.25690000000000002</v>
      </c>
      <c r="BZ27" s="198">
        <v>0.26869999999999999</v>
      </c>
      <c r="CA27" s="198">
        <v>4.3999999999999997E-2</v>
      </c>
      <c r="CB27" s="198">
        <v>1.2500000000000001E-2</v>
      </c>
      <c r="CC27" s="198"/>
      <c r="CD27" s="198"/>
      <c r="CE27" s="198"/>
      <c r="CF27" s="198"/>
      <c r="CG27" s="198"/>
      <c r="CH27" s="198"/>
      <c r="CI27" s="12"/>
      <c r="CJ27" s="192" t="s">
        <v>1185</v>
      </c>
      <c r="CK27" s="192" t="s">
        <v>1186</v>
      </c>
      <c r="CL27" s="192" t="s">
        <v>1187</v>
      </c>
      <c r="CM27" s="192" t="s">
        <v>1188</v>
      </c>
      <c r="CN27" s="192" t="s">
        <v>1189</v>
      </c>
      <c r="CO27" s="192" t="s">
        <v>1190</v>
      </c>
      <c r="CP27" s="192" t="s">
        <v>1191</v>
      </c>
      <c r="CQ27" s="192" t="s">
        <v>1192</v>
      </c>
      <c r="CR27" s="192" t="s">
        <v>1193</v>
      </c>
      <c r="CS27" s="194" t="s">
        <v>1194</v>
      </c>
      <c r="CT27" s="192" t="s">
        <v>1505</v>
      </c>
      <c r="CU27" s="195" t="s">
        <v>1506</v>
      </c>
      <c r="CV27" s="195" t="s">
        <v>1507</v>
      </c>
      <c r="CW27" s="195" t="s">
        <v>1508</v>
      </c>
      <c r="CX27" s="195" t="s">
        <v>1509</v>
      </c>
      <c r="CY27" s="195" t="s">
        <v>1510</v>
      </c>
      <c r="CZ27" s="195" t="s">
        <v>1511</v>
      </c>
      <c r="DA27" s="195" t="s">
        <v>1512</v>
      </c>
      <c r="DB27" s="195" t="s">
        <v>1513</v>
      </c>
      <c r="DC27" s="195" t="s">
        <v>1514</v>
      </c>
      <c r="DD27" s="198"/>
      <c r="DE27" s="198"/>
      <c r="DF27" s="198"/>
      <c r="DG27" s="198"/>
      <c r="DH27" s="198"/>
      <c r="DI27" s="198"/>
      <c r="DJ27" s="193"/>
    </row>
    <row r="28" spans="1:114" ht="15.75" customHeight="1" x14ac:dyDescent="0.2">
      <c r="A28" s="196"/>
      <c r="B28" s="196"/>
      <c r="C28" s="196"/>
      <c r="D28" s="196"/>
      <c r="E28" s="196"/>
      <c r="F28" s="196"/>
      <c r="G28" s="65" t="s">
        <v>1533</v>
      </c>
      <c r="H28" s="65" t="s">
        <v>1534</v>
      </c>
      <c r="I28" s="65" t="s">
        <v>1244</v>
      </c>
      <c r="J28" s="65" t="s">
        <v>1245</v>
      </c>
      <c r="K28" s="65">
        <v>1180000000</v>
      </c>
      <c r="L28" s="65" t="s">
        <v>1534</v>
      </c>
      <c r="M28" s="65">
        <v>476000000</v>
      </c>
      <c r="N28" s="65" t="s">
        <v>1518</v>
      </c>
      <c r="O28" s="65" t="s">
        <v>1216</v>
      </c>
      <c r="P28" s="197">
        <v>44013</v>
      </c>
      <c r="Q28" s="65">
        <v>5.2793999999999999</v>
      </c>
      <c r="R28" s="198">
        <v>0.34689999999999999</v>
      </c>
      <c r="S28" s="198">
        <v>0.15079999999999999</v>
      </c>
      <c r="T28" s="198">
        <v>9.2600000000000002E-2</v>
      </c>
      <c r="U28" s="198">
        <v>6.5500000000000003E-2</v>
      </c>
      <c r="V28" s="198">
        <v>5.0099999999999999E-2</v>
      </c>
      <c r="W28" s="198">
        <v>4.02E-2</v>
      </c>
      <c r="X28" s="198">
        <v>3.3399999999999999E-2</v>
      </c>
      <c r="Y28" s="198">
        <v>2.8400000000000002E-2</v>
      </c>
      <c r="Z28" s="198">
        <v>0.1265</v>
      </c>
      <c r="AA28" s="198">
        <v>4.5499999999999999E-2</v>
      </c>
      <c r="AB28" s="198">
        <v>1.5699999999999999E-2</v>
      </c>
      <c r="AC28" s="198">
        <v>4.4000000000000003E-3</v>
      </c>
      <c r="AD28" s="198">
        <v>0</v>
      </c>
      <c r="AE28" s="198">
        <v>0</v>
      </c>
      <c r="AF28" s="198">
        <v>0</v>
      </c>
      <c r="AG28" s="12"/>
      <c r="AH28" s="65" t="s">
        <v>1535</v>
      </c>
      <c r="AI28" s="65" t="s">
        <v>1536</v>
      </c>
      <c r="AJ28" s="65" t="s">
        <v>1537</v>
      </c>
      <c r="AK28" s="65" t="s">
        <v>1538</v>
      </c>
      <c r="AL28" s="65">
        <v>370339723</v>
      </c>
      <c r="AM28" s="65" t="s">
        <v>1536</v>
      </c>
      <c r="AN28" s="65">
        <v>312479206</v>
      </c>
      <c r="AO28" s="65" t="s">
        <v>1538</v>
      </c>
      <c r="AP28" s="65" t="s">
        <v>1216</v>
      </c>
      <c r="AQ28" s="197">
        <v>44013</v>
      </c>
      <c r="AR28" s="65">
        <v>3.6272000000000002</v>
      </c>
      <c r="AS28" s="198">
        <v>0.48199999999999998</v>
      </c>
      <c r="AT28" s="198">
        <v>0.16350000000000001</v>
      </c>
      <c r="AU28" s="198">
        <v>8.6900000000000005E-2</v>
      </c>
      <c r="AV28" s="198">
        <v>5.5500000000000001E-2</v>
      </c>
      <c r="AW28" s="198">
        <v>3.9199999999999999E-2</v>
      </c>
      <c r="AX28" s="198">
        <v>2.9499999999999998E-2</v>
      </c>
      <c r="AY28" s="198">
        <v>2.3199999999999998E-2</v>
      </c>
      <c r="AZ28" s="198">
        <v>1.8800000000000001E-2</v>
      </c>
      <c r="BA28" s="198">
        <v>7.4200000000000002E-2</v>
      </c>
      <c r="BB28" s="198">
        <v>1.9699999999999999E-2</v>
      </c>
      <c r="BC28" s="198">
        <v>4.4999999999999997E-3</v>
      </c>
      <c r="BD28" s="198">
        <v>1.9E-3</v>
      </c>
      <c r="BE28" s="198">
        <v>1.1000000000000001E-3</v>
      </c>
      <c r="BF28" s="198">
        <v>0</v>
      </c>
      <c r="BG28" s="198">
        <v>0</v>
      </c>
      <c r="BH28" s="12"/>
      <c r="BI28" s="43" t="s">
        <v>1277</v>
      </c>
      <c r="BJ28" s="43" t="s">
        <v>1278</v>
      </c>
      <c r="BK28" s="43" t="s">
        <v>1279</v>
      </c>
      <c r="BL28" s="43" t="s">
        <v>1280</v>
      </c>
      <c r="BM28" s="43">
        <v>1375425432</v>
      </c>
      <c r="BN28" s="43" t="s">
        <v>1281</v>
      </c>
      <c r="BO28" s="43">
        <v>982119759</v>
      </c>
      <c r="BP28" s="43" t="s">
        <v>1282</v>
      </c>
      <c r="BQ28" s="43" t="s">
        <v>1216</v>
      </c>
      <c r="BR28" s="43">
        <v>44013</v>
      </c>
      <c r="BS28" s="203">
        <v>527.59180000000003</v>
      </c>
      <c r="BT28" s="43">
        <v>1.4E-2</v>
      </c>
      <c r="BU28" s="43">
        <v>4.9000000000000002E-2</v>
      </c>
      <c r="BV28" s="43">
        <v>9.9400000000000002E-2</v>
      </c>
      <c r="BW28" s="43">
        <v>9.6100000000000005E-2</v>
      </c>
      <c r="BX28" s="43">
        <v>0.19620000000000001</v>
      </c>
      <c r="BY28" s="43">
        <v>0.25230000000000002</v>
      </c>
      <c r="BZ28" s="43">
        <v>0.24629999999999999</v>
      </c>
      <c r="CA28" s="43">
        <v>3.6200000000000003E-2</v>
      </c>
      <c r="CB28" s="43">
        <v>1.06E-2</v>
      </c>
      <c r="CC28" s="51"/>
      <c r="CD28" s="51"/>
      <c r="CE28" s="51"/>
      <c r="CF28" s="51"/>
      <c r="CG28" s="51"/>
      <c r="CH28" s="51"/>
      <c r="CI28" s="12"/>
      <c r="CJ28" s="65" t="s">
        <v>1228</v>
      </c>
      <c r="CK28" s="65" t="s">
        <v>1229</v>
      </c>
      <c r="CL28" s="65" t="s">
        <v>1230</v>
      </c>
      <c r="CM28" s="65" t="s">
        <v>1231</v>
      </c>
      <c r="CN28" s="65">
        <v>1071310449</v>
      </c>
      <c r="CO28" s="65" t="s">
        <v>1229</v>
      </c>
      <c r="CP28" s="65">
        <v>575608309</v>
      </c>
      <c r="CQ28" s="65" t="s">
        <v>1232</v>
      </c>
      <c r="CR28" s="65" t="s">
        <v>1216</v>
      </c>
      <c r="CS28" s="197">
        <v>44013</v>
      </c>
      <c r="CT28" s="65">
        <v>575.41319999999996</v>
      </c>
      <c r="CU28" s="198">
        <v>1.2699999999999999E-2</v>
      </c>
      <c r="CV28" s="198">
        <v>4.48E-2</v>
      </c>
      <c r="CW28" s="198">
        <v>9.2200000000000004E-2</v>
      </c>
      <c r="CX28" s="198">
        <v>9.0800000000000006E-2</v>
      </c>
      <c r="CY28" s="198">
        <v>0.19020000000000001</v>
      </c>
      <c r="CZ28" s="198">
        <v>0.25459999999999999</v>
      </c>
      <c r="DA28" s="198">
        <v>0.25969999999999999</v>
      </c>
      <c r="DB28" s="198">
        <v>4.1300000000000003E-2</v>
      </c>
      <c r="DC28" s="198">
        <v>1.38E-2</v>
      </c>
      <c r="DD28" s="198"/>
      <c r="DE28" s="198"/>
      <c r="DF28" s="198"/>
      <c r="DG28" s="198"/>
      <c r="DH28" s="198"/>
      <c r="DI28" s="198"/>
      <c r="DJ28" s="200"/>
    </row>
    <row r="29" spans="1:114" ht="15.75" customHeight="1" x14ac:dyDescent="0.15">
      <c r="A29" s="12"/>
      <c r="B29" s="12"/>
      <c r="C29" s="12"/>
      <c r="D29" s="12"/>
      <c r="E29" s="12"/>
      <c r="F29" s="12"/>
      <c r="G29" s="51"/>
      <c r="H29" s="51"/>
      <c r="I29" s="51"/>
      <c r="J29" s="51"/>
      <c r="K29" s="51"/>
      <c r="L29" s="51"/>
      <c r="M29" s="51"/>
      <c r="N29" s="51"/>
      <c r="O29" s="51"/>
      <c r="P29" s="188" t="s">
        <v>1539</v>
      </c>
      <c r="Q29" s="204">
        <f>AVERAGE(Q4:Q28)</f>
        <v>4.1097759999999992</v>
      </c>
      <c r="R29" s="51"/>
      <c r="S29" s="51"/>
      <c r="T29" s="51"/>
      <c r="U29" s="51"/>
      <c r="V29" s="51"/>
      <c r="W29" s="51"/>
      <c r="X29" s="51"/>
      <c r="Y29" s="51"/>
      <c r="Z29" s="51"/>
      <c r="AA29" s="51"/>
      <c r="AB29" s="51"/>
      <c r="AC29" s="51"/>
      <c r="AD29" s="51"/>
      <c r="AE29" s="51"/>
      <c r="AF29" s="51"/>
      <c r="AG29" s="12"/>
      <c r="AH29" s="43" t="s">
        <v>1540</v>
      </c>
      <c r="AI29" s="43" t="s">
        <v>1541</v>
      </c>
      <c r="AJ29" s="43" t="s">
        <v>1235</v>
      </c>
      <c r="AK29" s="43" t="s">
        <v>1236</v>
      </c>
      <c r="AL29" s="43">
        <v>480523695</v>
      </c>
      <c r="AM29" s="43" t="s">
        <v>1542</v>
      </c>
      <c r="AN29" s="43">
        <v>447553567</v>
      </c>
      <c r="AO29" s="43" t="s">
        <v>1236</v>
      </c>
      <c r="AP29" s="43" t="s">
        <v>1216</v>
      </c>
      <c r="AQ29" s="43">
        <v>44013</v>
      </c>
      <c r="AR29" s="203">
        <v>2.4552</v>
      </c>
      <c r="AS29" s="43">
        <v>0.58799999999999997</v>
      </c>
      <c r="AT29" s="43">
        <v>0.1615</v>
      </c>
      <c r="AU29" s="43">
        <v>7.5899999999999995E-2</v>
      </c>
      <c r="AV29" s="43">
        <v>4.4400000000000002E-2</v>
      </c>
      <c r="AW29" s="43">
        <v>2.93E-2</v>
      </c>
      <c r="AX29" s="43">
        <v>2.0799999999999999E-2</v>
      </c>
      <c r="AY29" s="43">
        <v>1.5599999999999999E-2</v>
      </c>
      <c r="AZ29" s="43">
        <v>1.2200000000000001E-2</v>
      </c>
      <c r="BA29" s="43">
        <v>4.3099999999999999E-2</v>
      </c>
      <c r="BB29" s="43">
        <v>8.6999999999999994E-3</v>
      </c>
      <c r="BC29" s="43">
        <v>5.9999999999999995E-4</v>
      </c>
      <c r="BD29" s="43">
        <v>0</v>
      </c>
      <c r="BE29" s="43">
        <v>0</v>
      </c>
      <c r="BF29" s="43">
        <v>0</v>
      </c>
      <c r="BG29" s="43">
        <v>0</v>
      </c>
      <c r="BH29" s="12"/>
      <c r="BI29" s="43" t="s">
        <v>1295</v>
      </c>
      <c r="BJ29" s="43" t="s">
        <v>1296</v>
      </c>
      <c r="BK29" s="43" t="s">
        <v>1250</v>
      </c>
      <c r="BL29" s="43" t="s">
        <v>1251</v>
      </c>
      <c r="BM29" s="43">
        <v>1181774280</v>
      </c>
      <c r="BN29" s="43" t="s">
        <v>1296</v>
      </c>
      <c r="BO29" s="43">
        <v>1062496488</v>
      </c>
      <c r="BP29" s="43" t="s">
        <v>1251</v>
      </c>
      <c r="BQ29" s="43" t="s">
        <v>1216</v>
      </c>
      <c r="BR29" s="43">
        <v>44013</v>
      </c>
      <c r="BS29" s="203">
        <v>363.38889999999998</v>
      </c>
      <c r="BT29" s="43">
        <v>2.1899999999999999E-2</v>
      </c>
      <c r="BU29" s="43">
        <v>7.4499999999999997E-2</v>
      </c>
      <c r="BV29" s="43">
        <v>0.1404</v>
      </c>
      <c r="BW29" s="43">
        <v>0.1232</v>
      </c>
      <c r="BX29" s="43">
        <v>0.21790000000000001</v>
      </c>
      <c r="BY29" s="43">
        <v>0.22589999999999999</v>
      </c>
      <c r="BZ29" s="43">
        <v>0.1744</v>
      </c>
      <c r="CA29" s="43">
        <v>1.7500000000000002E-2</v>
      </c>
      <c r="CB29" s="43">
        <v>4.4999999999999997E-3</v>
      </c>
      <c r="CC29" s="51"/>
      <c r="CD29" s="51"/>
      <c r="CE29" s="51"/>
      <c r="CF29" s="51"/>
      <c r="CG29" s="51"/>
      <c r="CH29" s="51"/>
      <c r="CI29" s="12"/>
      <c r="CJ29" s="43" t="s">
        <v>1248</v>
      </c>
      <c r="CK29" s="43" t="s">
        <v>1249</v>
      </c>
      <c r="CL29" s="43" t="s">
        <v>1250</v>
      </c>
      <c r="CM29" s="43" t="s">
        <v>1251</v>
      </c>
      <c r="CN29" s="43">
        <v>1179915619</v>
      </c>
      <c r="CO29" s="43" t="s">
        <v>1249</v>
      </c>
      <c r="CP29" s="43">
        <v>1062496488</v>
      </c>
      <c r="CQ29" s="43" t="s">
        <v>1251</v>
      </c>
      <c r="CR29" s="43" t="s">
        <v>1216</v>
      </c>
      <c r="CS29" s="43">
        <v>44013</v>
      </c>
      <c r="CT29" s="203">
        <v>472.11970000000002</v>
      </c>
      <c r="CU29" s="43">
        <v>1.55E-2</v>
      </c>
      <c r="CV29" s="43">
        <v>5.3999999999999999E-2</v>
      </c>
      <c r="CW29" s="43">
        <v>0.1079</v>
      </c>
      <c r="CX29" s="43">
        <v>0.1023</v>
      </c>
      <c r="CY29" s="43">
        <v>0.2026</v>
      </c>
      <c r="CZ29" s="43">
        <v>0.249</v>
      </c>
      <c r="DA29" s="43">
        <v>0.23139999999999999</v>
      </c>
      <c r="DB29" s="43">
        <v>3.0800000000000001E-2</v>
      </c>
      <c r="DC29" s="43">
        <v>6.6E-3</v>
      </c>
      <c r="DD29" s="43"/>
      <c r="DE29" s="43"/>
      <c r="DF29" s="51"/>
      <c r="DG29" s="51"/>
      <c r="DH29" s="51"/>
      <c r="DI29" s="51"/>
      <c r="DJ29" s="12"/>
    </row>
    <row r="30" spans="1:114" ht="15.75" customHeight="1" x14ac:dyDescent="0.2">
      <c r="A30" s="12"/>
      <c r="B30" s="12"/>
      <c r="C30" s="12"/>
      <c r="D30" s="12"/>
      <c r="E30" s="12"/>
      <c r="F30" s="12"/>
      <c r="G30" s="51"/>
      <c r="H30" s="51"/>
      <c r="I30" s="51"/>
      <c r="J30" s="51"/>
      <c r="K30" s="51"/>
      <c r="L30" s="51"/>
      <c r="M30" s="51"/>
      <c r="N30" s="51"/>
      <c r="O30" s="51"/>
      <c r="P30" s="188"/>
      <c r="Q30" s="204"/>
      <c r="R30" s="51"/>
      <c r="S30" s="51"/>
      <c r="T30" s="51"/>
      <c r="U30" s="51"/>
      <c r="V30" s="51"/>
      <c r="W30" s="51"/>
      <c r="X30" s="51"/>
      <c r="Y30" s="51"/>
      <c r="Z30" s="51"/>
      <c r="AA30" s="51"/>
      <c r="AB30" s="51"/>
      <c r="AC30" s="51"/>
      <c r="AD30" s="51"/>
      <c r="AE30" s="51"/>
      <c r="AF30" s="51"/>
      <c r="AG30" s="12"/>
      <c r="AH30" s="43" t="s">
        <v>1543</v>
      </c>
      <c r="AI30" s="43" t="s">
        <v>1544</v>
      </c>
      <c r="AJ30" s="43" t="s">
        <v>1503</v>
      </c>
      <c r="AK30" s="43" t="s">
        <v>1504</v>
      </c>
      <c r="AL30" s="43">
        <v>714508224</v>
      </c>
      <c r="AM30" s="43" t="s">
        <v>1544</v>
      </c>
      <c r="AN30" s="43">
        <v>624795774</v>
      </c>
      <c r="AO30" s="43" t="s">
        <v>1504</v>
      </c>
      <c r="AP30" s="43" t="s">
        <v>1216</v>
      </c>
      <c r="AQ30" s="43">
        <v>44013</v>
      </c>
      <c r="AR30" s="203">
        <v>3.2892999999999999</v>
      </c>
      <c r="AS30" s="43">
        <v>0.48970000000000002</v>
      </c>
      <c r="AT30" s="43">
        <v>0.1643</v>
      </c>
      <c r="AU30" s="43">
        <v>8.6699999999999999E-2</v>
      </c>
      <c r="AV30" s="43">
        <v>5.5100000000000003E-2</v>
      </c>
      <c r="AW30" s="43">
        <v>3.8800000000000001E-2</v>
      </c>
      <c r="AX30" s="43">
        <v>2.9100000000000001E-2</v>
      </c>
      <c r="AY30" s="43">
        <v>2.2800000000000001E-2</v>
      </c>
      <c r="AZ30" s="43">
        <v>1.8499999999999999E-2</v>
      </c>
      <c r="BA30" s="43">
        <v>7.2300000000000003E-2</v>
      </c>
      <c r="BB30" s="43">
        <v>1.8700000000000001E-2</v>
      </c>
      <c r="BC30" s="43">
        <v>3.5000000000000001E-3</v>
      </c>
      <c r="BD30" s="43">
        <v>5.0000000000000001E-4</v>
      </c>
      <c r="BE30" s="43">
        <v>0</v>
      </c>
      <c r="BF30" s="43">
        <v>0</v>
      </c>
      <c r="BG30" s="43">
        <v>0</v>
      </c>
      <c r="BH30" s="12"/>
      <c r="BI30" s="43" t="s">
        <v>1307</v>
      </c>
      <c r="BJ30" s="43" t="s">
        <v>1308</v>
      </c>
      <c r="BK30" s="43" t="s">
        <v>1309</v>
      </c>
      <c r="BL30" s="43" t="s">
        <v>1310</v>
      </c>
      <c r="BM30" s="43">
        <v>1186994231</v>
      </c>
      <c r="BN30" s="43" t="s">
        <v>1308</v>
      </c>
      <c r="BO30" s="43">
        <v>1140629705</v>
      </c>
      <c r="BP30" s="43" t="s">
        <v>1311</v>
      </c>
      <c r="BQ30" s="43" t="s">
        <v>1216</v>
      </c>
      <c r="BR30" s="43">
        <v>44013</v>
      </c>
      <c r="BS30" s="43">
        <v>440.56509999999997</v>
      </c>
      <c r="BT30" s="43">
        <v>1.11E-2</v>
      </c>
      <c r="BU30" s="43">
        <v>5.5E-2</v>
      </c>
      <c r="BV30" s="43">
        <v>0.11899999999999999</v>
      </c>
      <c r="BW30" s="43">
        <v>0.11020000000000001</v>
      </c>
      <c r="BX30" s="43">
        <v>0.21079999999999999</v>
      </c>
      <c r="BY30" s="43">
        <v>0.24590000000000001</v>
      </c>
      <c r="BZ30" s="43">
        <v>0.216</v>
      </c>
      <c r="CA30" s="43">
        <v>2.63E-2</v>
      </c>
      <c r="CB30" s="43">
        <v>5.7999999999999996E-3</v>
      </c>
      <c r="CC30" s="51"/>
      <c r="CD30" s="51"/>
      <c r="CE30" s="51"/>
      <c r="CF30" s="51"/>
      <c r="CG30" s="51"/>
      <c r="CH30" s="51"/>
      <c r="CI30" s="12"/>
      <c r="CJ30" s="43" t="s">
        <v>1265</v>
      </c>
      <c r="CK30" s="43" t="s">
        <v>1266</v>
      </c>
      <c r="CL30" s="43" t="s">
        <v>1267</v>
      </c>
      <c r="CM30" s="43" t="s">
        <v>1268</v>
      </c>
      <c r="CN30" s="43">
        <v>1277029359</v>
      </c>
      <c r="CO30" s="43" t="s">
        <v>1266</v>
      </c>
      <c r="CP30" s="43">
        <v>1215846356</v>
      </c>
      <c r="CQ30" s="43" t="s">
        <v>1269</v>
      </c>
      <c r="CR30" s="43" t="s">
        <v>1216</v>
      </c>
      <c r="CS30" s="43">
        <v>44013</v>
      </c>
      <c r="CT30" s="203">
        <v>599.01080000000002</v>
      </c>
      <c r="CU30" s="43">
        <v>8.8999999999999999E-3</v>
      </c>
      <c r="CV30" s="43">
        <v>3.6999999999999998E-2</v>
      </c>
      <c r="CW30" s="43">
        <v>7.8600000000000003E-2</v>
      </c>
      <c r="CX30" s="43">
        <v>8.0600000000000005E-2</v>
      </c>
      <c r="CY30" s="43">
        <v>0.17949999999999999</v>
      </c>
      <c r="CZ30" s="43">
        <v>0.26269999999999999</v>
      </c>
      <c r="DA30" s="43">
        <v>0.29349999999999998</v>
      </c>
      <c r="DB30" s="43">
        <v>5.0999999999999997E-2</v>
      </c>
      <c r="DC30" s="43">
        <v>8.2000000000000007E-3</v>
      </c>
      <c r="DD30" s="43"/>
      <c r="DE30" s="43"/>
      <c r="DF30" s="51"/>
      <c r="DG30" s="51"/>
      <c r="DH30" s="51"/>
      <c r="DI30" s="51"/>
      <c r="DJ30" s="200"/>
    </row>
    <row r="31" spans="1:114" ht="15.75" customHeight="1" x14ac:dyDescent="0.2">
      <c r="A31" s="187"/>
      <c r="B31" s="187"/>
      <c r="C31" s="187"/>
      <c r="D31" s="187"/>
      <c r="E31" s="187"/>
      <c r="F31" s="187"/>
      <c r="G31" s="188" t="s">
        <v>1494</v>
      </c>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12"/>
      <c r="AH31" s="43" t="s">
        <v>1545</v>
      </c>
      <c r="AI31" s="43" t="s">
        <v>1546</v>
      </c>
      <c r="AJ31" s="43" t="s">
        <v>1503</v>
      </c>
      <c r="AK31" s="43" t="s">
        <v>1504</v>
      </c>
      <c r="AL31" s="43">
        <v>1065980436</v>
      </c>
      <c r="AM31" s="43" t="s">
        <v>1547</v>
      </c>
      <c r="AN31" s="43">
        <v>624795774</v>
      </c>
      <c r="AO31" s="43" t="s">
        <v>1504</v>
      </c>
      <c r="AP31" s="43" t="s">
        <v>1216</v>
      </c>
      <c r="AQ31" s="43">
        <v>44013</v>
      </c>
      <c r="AR31" s="43">
        <v>3.6844999999999999</v>
      </c>
      <c r="AS31" s="43">
        <v>0.4325</v>
      </c>
      <c r="AT31" s="43">
        <v>0.16289999999999999</v>
      </c>
      <c r="AU31" s="43">
        <v>9.1999999999999998E-2</v>
      </c>
      <c r="AV31" s="43">
        <v>6.1199999999999997E-2</v>
      </c>
      <c r="AW31" s="43">
        <v>4.4699999999999997E-2</v>
      </c>
      <c r="AX31" s="43">
        <v>3.4500000000000003E-2</v>
      </c>
      <c r="AY31" s="43">
        <v>2.7699999999999999E-2</v>
      </c>
      <c r="AZ31" s="43">
        <v>2.29E-2</v>
      </c>
      <c r="BA31" s="43">
        <v>9.4100000000000003E-2</v>
      </c>
      <c r="BB31" s="43">
        <v>2.5899999999999999E-2</v>
      </c>
      <c r="BC31" s="43">
        <v>1.6999999999999999E-3</v>
      </c>
      <c r="BD31" s="43">
        <v>0</v>
      </c>
      <c r="BE31" s="43">
        <v>0</v>
      </c>
      <c r="BF31" s="43">
        <v>0</v>
      </c>
      <c r="BG31" s="43">
        <v>0</v>
      </c>
      <c r="BH31" s="12"/>
      <c r="BI31" s="65" t="s">
        <v>1325</v>
      </c>
      <c r="BJ31" s="65" t="s">
        <v>1326</v>
      </c>
      <c r="BK31" s="65" t="s">
        <v>1327</v>
      </c>
      <c r="BL31" s="65" t="s">
        <v>1328</v>
      </c>
      <c r="BM31" s="65">
        <v>1274354704</v>
      </c>
      <c r="BN31" s="65" t="s">
        <v>1329</v>
      </c>
      <c r="BO31" s="65">
        <v>495598783</v>
      </c>
      <c r="BP31" s="65" t="s">
        <v>1330</v>
      </c>
      <c r="BQ31" s="65" t="s">
        <v>1216</v>
      </c>
      <c r="BR31" s="65">
        <v>44013</v>
      </c>
      <c r="BS31" s="65">
        <v>559.15890000000002</v>
      </c>
      <c r="BT31" s="65">
        <v>1.34E-2</v>
      </c>
      <c r="BU31" s="65">
        <v>4.7199999999999999E-2</v>
      </c>
      <c r="BV31" s="65">
        <v>9.64E-2</v>
      </c>
      <c r="BW31" s="65">
        <v>9.3899999999999997E-2</v>
      </c>
      <c r="BX31" s="65">
        <v>0.19350000000000001</v>
      </c>
      <c r="BY31" s="65">
        <v>0.25269999999999998</v>
      </c>
      <c r="BZ31" s="65">
        <v>0.251</v>
      </c>
      <c r="CA31" s="65">
        <v>3.8300000000000001E-2</v>
      </c>
      <c r="CB31" s="65">
        <v>1.35E-2</v>
      </c>
      <c r="CC31" s="192"/>
      <c r="CD31" s="192"/>
      <c r="CE31" s="192"/>
      <c r="CF31" s="192"/>
      <c r="CG31" s="192"/>
      <c r="CH31" s="192"/>
      <c r="CI31" s="12"/>
      <c r="CJ31" s="43" t="s">
        <v>1283</v>
      </c>
      <c r="CK31" s="43" t="s">
        <v>1284</v>
      </c>
      <c r="CL31" s="43" t="s">
        <v>1285</v>
      </c>
      <c r="CM31" s="43" t="s">
        <v>1286</v>
      </c>
      <c r="CN31" s="43">
        <v>1374403536</v>
      </c>
      <c r="CO31" s="43" t="s">
        <v>1284</v>
      </c>
      <c r="CP31" s="43">
        <v>284954685</v>
      </c>
      <c r="CQ31" s="43" t="s">
        <v>1287</v>
      </c>
      <c r="CR31" s="43" t="s">
        <v>1216</v>
      </c>
      <c r="CS31" s="43">
        <v>44013</v>
      </c>
      <c r="CT31" s="43">
        <v>392.2955</v>
      </c>
      <c r="CU31" s="43">
        <v>1.95E-2</v>
      </c>
      <c r="CV31" s="43">
        <v>6.6900000000000001E-2</v>
      </c>
      <c r="CW31" s="43">
        <v>0.12870000000000001</v>
      </c>
      <c r="CX31" s="43">
        <v>0.11609999999999999</v>
      </c>
      <c r="CY31" s="43">
        <v>0.21379999999999999</v>
      </c>
      <c r="CZ31" s="43">
        <v>0.2354</v>
      </c>
      <c r="DA31" s="43">
        <v>0.19409999999999999</v>
      </c>
      <c r="DB31" s="43">
        <v>2.1299999999999999E-2</v>
      </c>
      <c r="DC31" s="43">
        <v>4.1999999999999997E-3</v>
      </c>
      <c r="DD31" s="43"/>
      <c r="DE31" s="43"/>
      <c r="DF31" s="51"/>
      <c r="DG31" s="51"/>
      <c r="DH31" s="51"/>
      <c r="DI31" s="51"/>
      <c r="DJ31" s="200"/>
    </row>
    <row r="32" spans="1:114" ht="15.75" customHeight="1" x14ac:dyDescent="0.2">
      <c r="A32" s="191"/>
      <c r="B32" s="191"/>
      <c r="C32" s="191"/>
      <c r="D32" s="191"/>
      <c r="E32" s="191"/>
      <c r="F32" s="191"/>
      <c r="G32" s="192" t="s">
        <v>1185</v>
      </c>
      <c r="H32" s="192" t="s">
        <v>1186</v>
      </c>
      <c r="I32" s="192" t="s">
        <v>1187</v>
      </c>
      <c r="J32" s="192" t="s">
        <v>1188</v>
      </c>
      <c r="K32" s="192" t="s">
        <v>1189</v>
      </c>
      <c r="L32" s="192" t="s">
        <v>1190</v>
      </c>
      <c r="M32" s="192" t="s">
        <v>1191</v>
      </c>
      <c r="N32" s="192" t="s">
        <v>1192</v>
      </c>
      <c r="O32" s="192" t="s">
        <v>1193</v>
      </c>
      <c r="P32" s="192" t="s">
        <v>1194</v>
      </c>
      <c r="Q32" s="192" t="s">
        <v>1505</v>
      </c>
      <c r="R32" s="192" t="s">
        <v>1506</v>
      </c>
      <c r="S32" s="192" t="s">
        <v>1507</v>
      </c>
      <c r="T32" s="192" t="s">
        <v>1508</v>
      </c>
      <c r="U32" s="192" t="s">
        <v>1509</v>
      </c>
      <c r="V32" s="192" t="s">
        <v>1510</v>
      </c>
      <c r="W32" s="192" t="s">
        <v>1511</v>
      </c>
      <c r="X32" s="192" t="s">
        <v>1512</v>
      </c>
      <c r="Y32" s="192" t="s">
        <v>1513</v>
      </c>
      <c r="Z32" s="192" t="s">
        <v>1514</v>
      </c>
      <c r="AA32" s="192"/>
      <c r="AB32" s="192"/>
      <c r="AC32" s="192"/>
      <c r="AD32" s="192"/>
      <c r="AE32" s="192"/>
      <c r="AF32" s="192"/>
      <c r="AG32" s="193"/>
      <c r="AH32" s="65" t="s">
        <v>1548</v>
      </c>
      <c r="AI32" s="65" t="s">
        <v>1549</v>
      </c>
      <c r="AJ32" s="65" t="s">
        <v>1550</v>
      </c>
      <c r="AK32" s="65" t="s">
        <v>1551</v>
      </c>
      <c r="AL32" s="65">
        <v>445305390</v>
      </c>
      <c r="AM32" s="65" t="s">
        <v>1549</v>
      </c>
      <c r="AN32" s="65">
        <v>445204563</v>
      </c>
      <c r="AO32" s="65" t="s">
        <v>1552</v>
      </c>
      <c r="AP32" s="65" t="s">
        <v>1216</v>
      </c>
      <c r="AQ32" s="65">
        <v>44013</v>
      </c>
      <c r="AR32" s="65">
        <v>2.1395</v>
      </c>
      <c r="AS32" s="65">
        <v>0.63839999999999997</v>
      </c>
      <c r="AT32" s="65">
        <v>0.156</v>
      </c>
      <c r="AU32" s="65">
        <v>6.8400000000000002E-2</v>
      </c>
      <c r="AV32" s="65">
        <v>3.8100000000000002E-2</v>
      </c>
      <c r="AW32" s="65">
        <v>2.4199999999999999E-2</v>
      </c>
      <c r="AX32" s="65">
        <v>1.67E-2</v>
      </c>
      <c r="AY32" s="65">
        <v>1.2200000000000001E-2</v>
      </c>
      <c r="AZ32" s="65">
        <v>9.2999999999999992E-3</v>
      </c>
      <c r="BA32" s="65">
        <v>3.1099999999999999E-2</v>
      </c>
      <c r="BB32" s="65">
        <v>5.4000000000000003E-3</v>
      </c>
      <c r="BC32" s="65">
        <v>1E-4</v>
      </c>
      <c r="BD32" s="65">
        <v>0</v>
      </c>
      <c r="BE32" s="65">
        <v>0</v>
      </c>
      <c r="BF32" s="65">
        <v>0</v>
      </c>
      <c r="BG32" s="65">
        <v>0</v>
      </c>
      <c r="BH32" s="193"/>
      <c r="BI32" s="65" t="s">
        <v>1344</v>
      </c>
      <c r="BJ32" s="65" t="s">
        <v>1345</v>
      </c>
      <c r="BK32" s="65" t="s">
        <v>1346</v>
      </c>
      <c r="BL32" s="65" t="s">
        <v>1347</v>
      </c>
      <c r="BM32" s="65">
        <v>1322399438</v>
      </c>
      <c r="BN32" s="65" t="s">
        <v>1345</v>
      </c>
      <c r="BO32" s="65">
        <v>588277915</v>
      </c>
      <c r="BP32" s="65" t="s">
        <v>1348</v>
      </c>
      <c r="BQ32" s="65" t="s">
        <v>1216</v>
      </c>
      <c r="BR32" s="197">
        <v>44013</v>
      </c>
      <c r="BS32" s="65">
        <v>892.53869999999995</v>
      </c>
      <c r="BT32" s="198">
        <v>8.8999999999999999E-3</v>
      </c>
      <c r="BU32" s="198">
        <v>3.2000000000000001E-2</v>
      </c>
      <c r="BV32" s="198">
        <v>6.9000000000000006E-2</v>
      </c>
      <c r="BW32" s="198">
        <v>7.2099999999999997E-2</v>
      </c>
      <c r="BX32" s="198">
        <v>0.16489999999999999</v>
      </c>
      <c r="BY32" s="198">
        <v>0.252</v>
      </c>
      <c r="BZ32" s="198">
        <v>0.29670000000000002</v>
      </c>
      <c r="CA32" s="198">
        <v>6.25E-2</v>
      </c>
      <c r="CB32" s="198">
        <v>4.19E-2</v>
      </c>
      <c r="CC32" s="198"/>
      <c r="CD32" s="198"/>
      <c r="CE32" s="198"/>
      <c r="CF32" s="198"/>
      <c r="CG32" s="198"/>
      <c r="CH32" s="198"/>
      <c r="CI32" s="193"/>
      <c r="CJ32" s="65" t="s">
        <v>1297</v>
      </c>
      <c r="CK32" s="65" t="s">
        <v>1298</v>
      </c>
      <c r="CL32" s="65" t="s">
        <v>1299</v>
      </c>
      <c r="CM32" s="65" t="s">
        <v>1300</v>
      </c>
      <c r="CN32" s="65">
        <v>620112416</v>
      </c>
      <c r="CO32" s="65" t="s">
        <v>1298</v>
      </c>
      <c r="CP32" s="65">
        <v>321598392</v>
      </c>
      <c r="CQ32" s="65" t="s">
        <v>1301</v>
      </c>
      <c r="CR32" s="65" t="s">
        <v>1216</v>
      </c>
      <c r="CS32" s="65">
        <v>44013</v>
      </c>
      <c r="CT32" s="65">
        <v>388.52609999999999</v>
      </c>
      <c r="CU32" s="65">
        <v>1.8599999999999998E-2</v>
      </c>
      <c r="CV32" s="65">
        <v>6.4299999999999996E-2</v>
      </c>
      <c r="CW32" s="65">
        <v>0.12470000000000001</v>
      </c>
      <c r="CX32" s="65">
        <v>0.1138</v>
      </c>
      <c r="CY32" s="65">
        <v>0.21290000000000001</v>
      </c>
      <c r="CZ32" s="65">
        <v>0.24</v>
      </c>
      <c r="DA32" s="65">
        <v>0.20250000000000001</v>
      </c>
      <c r="DB32" s="65">
        <v>2.1700000000000001E-2</v>
      </c>
      <c r="DC32" s="65">
        <v>1.5E-3</v>
      </c>
      <c r="DD32" s="65"/>
      <c r="DE32" s="65"/>
      <c r="DF32" s="192"/>
      <c r="DG32" s="192"/>
      <c r="DH32" s="192"/>
      <c r="DI32" s="192"/>
      <c r="DJ32" s="200"/>
    </row>
    <row r="33" spans="1:114" ht="15.75" customHeight="1" x14ac:dyDescent="0.2">
      <c r="A33" s="196"/>
      <c r="B33" s="196"/>
      <c r="C33" s="196"/>
      <c r="D33" s="196"/>
      <c r="E33" s="196"/>
      <c r="F33" s="196"/>
      <c r="G33" s="65" t="s">
        <v>1288</v>
      </c>
      <c r="H33" s="65" t="s">
        <v>63</v>
      </c>
      <c r="I33" s="65" t="s">
        <v>1254</v>
      </c>
      <c r="J33" s="65" t="s">
        <v>1255</v>
      </c>
      <c r="K33" s="65">
        <v>850417475</v>
      </c>
      <c r="L33" s="65" t="s">
        <v>63</v>
      </c>
      <c r="M33" s="65">
        <v>526656015</v>
      </c>
      <c r="N33" s="65" t="s">
        <v>1255</v>
      </c>
      <c r="O33" s="65" t="s">
        <v>1216</v>
      </c>
      <c r="P33" s="197">
        <v>44013</v>
      </c>
      <c r="Q33" s="65">
        <v>609.11260000000004</v>
      </c>
      <c r="R33" s="198">
        <v>8.6999999999999994E-3</v>
      </c>
      <c r="S33" s="198">
        <v>3.8800000000000001E-2</v>
      </c>
      <c r="T33" s="198">
        <v>8.2699999999999996E-2</v>
      </c>
      <c r="U33" s="198">
        <v>8.3699999999999997E-2</v>
      </c>
      <c r="V33" s="198">
        <v>0.18260000000000001</v>
      </c>
      <c r="W33" s="198">
        <v>0.2596</v>
      </c>
      <c r="X33" s="198">
        <v>0.28210000000000002</v>
      </c>
      <c r="Y33" s="198">
        <v>4.8800000000000003E-2</v>
      </c>
      <c r="Z33" s="198">
        <v>1.2999999999999999E-2</v>
      </c>
      <c r="AA33" s="198"/>
      <c r="AB33" s="198"/>
      <c r="AC33" s="198"/>
      <c r="AD33" s="198"/>
      <c r="AE33" s="198"/>
      <c r="AF33" s="198"/>
      <c r="AG33" s="199"/>
      <c r="AH33" s="65" t="s">
        <v>1553</v>
      </c>
      <c r="AI33" s="65" t="s">
        <v>1554</v>
      </c>
      <c r="AJ33" s="65" t="s">
        <v>1235</v>
      </c>
      <c r="AK33" s="65" t="s">
        <v>1236</v>
      </c>
      <c r="AL33" s="65">
        <v>447553564</v>
      </c>
      <c r="AM33" s="65" t="s">
        <v>1555</v>
      </c>
      <c r="AN33" s="65">
        <v>447553567</v>
      </c>
      <c r="AO33" s="65" t="s">
        <v>1236</v>
      </c>
      <c r="AP33" s="65" t="s">
        <v>1216</v>
      </c>
      <c r="AQ33" s="197">
        <v>44013</v>
      </c>
      <c r="AR33" s="65">
        <v>4.6165000000000003</v>
      </c>
      <c r="AS33" s="198">
        <v>0.40799999999999997</v>
      </c>
      <c r="AT33" s="198">
        <v>0.1585</v>
      </c>
      <c r="AU33" s="198">
        <v>9.11E-2</v>
      </c>
      <c r="AV33" s="198">
        <v>6.1499999999999999E-2</v>
      </c>
      <c r="AW33" s="198">
        <v>4.5400000000000003E-2</v>
      </c>
      <c r="AX33" s="198">
        <v>3.5400000000000001E-2</v>
      </c>
      <c r="AY33" s="198">
        <v>2.87E-2</v>
      </c>
      <c r="AZ33" s="198">
        <v>2.3900000000000001E-2</v>
      </c>
      <c r="BA33" s="198">
        <v>0.1007</v>
      </c>
      <c r="BB33" s="198">
        <v>3.1699999999999999E-2</v>
      </c>
      <c r="BC33" s="198">
        <v>9.5999999999999992E-3</v>
      </c>
      <c r="BD33" s="198">
        <v>4.1999999999999997E-3</v>
      </c>
      <c r="BE33" s="198">
        <v>1.4E-3</v>
      </c>
      <c r="BF33" s="198">
        <v>0</v>
      </c>
      <c r="BG33" s="198">
        <v>0</v>
      </c>
      <c r="BH33" s="199"/>
      <c r="BI33" s="65" t="s">
        <v>1358</v>
      </c>
      <c r="BJ33" s="65" t="s">
        <v>1359</v>
      </c>
      <c r="BK33" s="65" t="s">
        <v>1360</v>
      </c>
      <c r="BL33" s="65" t="s">
        <v>1361</v>
      </c>
      <c r="BM33" s="65">
        <v>1071976327</v>
      </c>
      <c r="BN33" s="65" t="s">
        <v>1359</v>
      </c>
      <c r="BO33" s="65">
        <v>1303288190</v>
      </c>
      <c r="BP33" s="201" t="s">
        <v>1362</v>
      </c>
      <c r="BQ33" s="65" t="s">
        <v>1216</v>
      </c>
      <c r="BR33" s="197">
        <v>44013</v>
      </c>
      <c r="BS33" s="65">
        <v>393.41669999999999</v>
      </c>
      <c r="BT33" s="198">
        <v>1.72E-2</v>
      </c>
      <c r="BU33" s="198">
        <v>6.9099999999999995E-2</v>
      </c>
      <c r="BV33" s="198">
        <v>0.13220000000000001</v>
      </c>
      <c r="BW33" s="198">
        <v>0.1183</v>
      </c>
      <c r="BX33" s="198">
        <v>0.21540000000000001</v>
      </c>
      <c r="BY33" s="198">
        <v>0.23319999999999999</v>
      </c>
      <c r="BZ33" s="198">
        <v>0.1888</v>
      </c>
      <c r="CA33" s="198">
        <v>2.0400000000000001E-2</v>
      </c>
      <c r="CB33" s="198">
        <v>5.4000000000000003E-3</v>
      </c>
      <c r="CC33" s="198"/>
      <c r="CD33" s="198"/>
      <c r="CE33" s="198"/>
      <c r="CF33" s="198"/>
      <c r="CG33" s="198"/>
      <c r="CH33" s="198"/>
      <c r="CI33" s="199"/>
      <c r="CJ33" s="65" t="s">
        <v>1312</v>
      </c>
      <c r="CK33" s="65" t="s">
        <v>1313</v>
      </c>
      <c r="CL33" s="65" t="s">
        <v>1314</v>
      </c>
      <c r="CM33" s="65" t="s">
        <v>1315</v>
      </c>
      <c r="CN33" s="65">
        <v>714796093</v>
      </c>
      <c r="CO33" s="65" t="s">
        <v>1313</v>
      </c>
      <c r="CP33" s="65">
        <v>348389028</v>
      </c>
      <c r="CQ33" s="65" t="s">
        <v>1316</v>
      </c>
      <c r="CR33" s="65" t="s">
        <v>1216</v>
      </c>
      <c r="CS33" s="197">
        <v>44013</v>
      </c>
      <c r="CT33" s="65">
        <v>404.33769999999998</v>
      </c>
      <c r="CU33" s="198">
        <v>1.2E-2</v>
      </c>
      <c r="CV33" s="198">
        <v>5.9400000000000001E-2</v>
      </c>
      <c r="CW33" s="198">
        <v>0.127</v>
      </c>
      <c r="CX33" s="198">
        <v>0.11550000000000001</v>
      </c>
      <c r="CY33" s="198">
        <v>0.21529999999999999</v>
      </c>
      <c r="CZ33" s="198">
        <v>0.2414</v>
      </c>
      <c r="DA33" s="198">
        <v>0.2029</v>
      </c>
      <c r="DB33" s="198">
        <v>2.2800000000000001E-2</v>
      </c>
      <c r="DC33" s="198">
        <v>3.7000000000000002E-3</v>
      </c>
      <c r="DD33" s="198"/>
      <c r="DE33" s="198"/>
      <c r="DF33" s="198"/>
      <c r="DG33" s="198"/>
      <c r="DH33" s="198"/>
      <c r="DI33" s="198"/>
      <c r="DJ33" s="200"/>
    </row>
    <row r="34" spans="1:114" ht="15.75" customHeight="1" x14ac:dyDescent="0.2">
      <c r="A34" s="196"/>
      <c r="B34" s="196"/>
      <c r="C34" s="196"/>
      <c r="D34" s="196"/>
      <c r="E34" s="196"/>
      <c r="F34" s="196"/>
      <c r="G34" s="65" t="s">
        <v>1233</v>
      </c>
      <c r="H34" s="65" t="s">
        <v>1234</v>
      </c>
      <c r="I34" s="65" t="s">
        <v>1235</v>
      </c>
      <c r="J34" s="65" t="s">
        <v>1236</v>
      </c>
      <c r="K34" s="65">
        <v>868013618</v>
      </c>
      <c r="L34" s="65" t="s">
        <v>1237</v>
      </c>
      <c r="M34" s="65">
        <v>868013621</v>
      </c>
      <c r="N34" s="65" t="s">
        <v>1238</v>
      </c>
      <c r="O34" s="65" t="s">
        <v>1216</v>
      </c>
      <c r="P34" s="197">
        <v>44013</v>
      </c>
      <c r="Q34" s="65">
        <v>629.86</v>
      </c>
      <c r="R34" s="198">
        <v>1.06E-2</v>
      </c>
      <c r="S34" s="198">
        <v>3.7900000000000003E-2</v>
      </c>
      <c r="T34" s="198">
        <v>0.08</v>
      </c>
      <c r="U34" s="198">
        <v>8.1500000000000003E-2</v>
      </c>
      <c r="V34" s="198">
        <v>0.17949999999999999</v>
      </c>
      <c r="W34" s="198">
        <v>0.25879999999999997</v>
      </c>
      <c r="X34" s="198">
        <v>0.28549999999999998</v>
      </c>
      <c r="Y34" s="198">
        <v>5.0999999999999997E-2</v>
      </c>
      <c r="Z34" s="198">
        <v>1.4999999999999999E-2</v>
      </c>
      <c r="AA34" s="198"/>
      <c r="AB34" s="198"/>
      <c r="AC34" s="198"/>
      <c r="AD34" s="198"/>
      <c r="AE34" s="198"/>
      <c r="AF34" s="198"/>
      <c r="AG34" s="199"/>
      <c r="AH34" s="65" t="s">
        <v>1556</v>
      </c>
      <c r="AI34" s="65" t="s">
        <v>1557</v>
      </c>
      <c r="AJ34" s="65" t="s">
        <v>1558</v>
      </c>
      <c r="AK34" s="65" t="s">
        <v>1559</v>
      </c>
      <c r="AL34" s="65">
        <v>944158857</v>
      </c>
      <c r="AM34" s="65" t="s">
        <v>1557</v>
      </c>
      <c r="AN34" s="65">
        <v>476936085</v>
      </c>
      <c r="AO34" s="65" t="s">
        <v>1560</v>
      </c>
      <c r="AP34" s="65" t="s">
        <v>1216</v>
      </c>
      <c r="AQ34" s="197">
        <v>44013</v>
      </c>
      <c r="AR34" s="65">
        <v>3.7709999999999999</v>
      </c>
      <c r="AS34" s="198">
        <v>0.43530000000000002</v>
      </c>
      <c r="AT34" s="198">
        <v>0.16220000000000001</v>
      </c>
      <c r="AU34" s="198">
        <v>9.0999999999999998E-2</v>
      </c>
      <c r="AV34" s="198">
        <v>6.0400000000000002E-2</v>
      </c>
      <c r="AW34" s="198">
        <v>4.3900000000000002E-2</v>
      </c>
      <c r="AX34" s="198">
        <v>3.39E-2</v>
      </c>
      <c r="AY34" s="198">
        <v>2.7199999999999998E-2</v>
      </c>
      <c r="AZ34" s="198">
        <v>2.24E-2</v>
      </c>
      <c r="BA34" s="198">
        <v>9.2299999999999993E-2</v>
      </c>
      <c r="BB34" s="198">
        <v>2.6599999999999999E-2</v>
      </c>
      <c r="BC34" s="198">
        <v>4.7999999999999996E-3</v>
      </c>
      <c r="BD34" s="198">
        <v>0</v>
      </c>
      <c r="BE34" s="198">
        <v>0</v>
      </c>
      <c r="BF34" s="198">
        <v>0</v>
      </c>
      <c r="BG34" s="198">
        <v>0</v>
      </c>
      <c r="BH34" s="199"/>
      <c r="BI34" s="65" t="s">
        <v>1374</v>
      </c>
      <c r="BJ34" s="65" t="s">
        <v>1375</v>
      </c>
      <c r="BK34" s="65" t="s">
        <v>1327</v>
      </c>
      <c r="BL34" s="65" t="s">
        <v>1328</v>
      </c>
      <c r="BM34" s="65">
        <v>1084930849</v>
      </c>
      <c r="BN34" s="65" t="s">
        <v>1376</v>
      </c>
      <c r="BO34" s="65">
        <v>495598783</v>
      </c>
      <c r="BP34" s="65" t="s">
        <v>1330</v>
      </c>
      <c r="BQ34" s="65" t="s">
        <v>1216</v>
      </c>
      <c r="BR34" s="197">
        <v>44013</v>
      </c>
      <c r="BS34" s="65">
        <v>627.63969999999995</v>
      </c>
      <c r="BT34" s="198">
        <v>1.2699999999999999E-2</v>
      </c>
      <c r="BU34" s="198">
        <v>4.4900000000000002E-2</v>
      </c>
      <c r="BV34" s="198">
        <v>9.2200000000000004E-2</v>
      </c>
      <c r="BW34" s="198">
        <v>9.06E-2</v>
      </c>
      <c r="BX34" s="198">
        <v>0.1893</v>
      </c>
      <c r="BY34" s="198">
        <v>0.25240000000000001</v>
      </c>
      <c r="BZ34" s="198">
        <v>0.25659999999999999</v>
      </c>
      <c r="CA34" s="198">
        <v>4.1399999999999999E-2</v>
      </c>
      <c r="CB34" s="198">
        <v>1.9900000000000001E-2</v>
      </c>
      <c r="CC34" s="198"/>
      <c r="CD34" s="198"/>
      <c r="CE34" s="198"/>
      <c r="CF34" s="198"/>
      <c r="CG34" s="198"/>
      <c r="CH34" s="198"/>
      <c r="CI34" s="199"/>
      <c r="CJ34" s="65" t="s">
        <v>1331</v>
      </c>
      <c r="CK34" s="65" t="s">
        <v>1332</v>
      </c>
      <c r="CL34" s="65" t="s">
        <v>1333</v>
      </c>
      <c r="CM34" s="65" t="s">
        <v>1334</v>
      </c>
      <c r="CN34" s="65">
        <v>1323901884</v>
      </c>
      <c r="CO34" s="65" t="s">
        <v>1335</v>
      </c>
      <c r="CP34" s="65">
        <v>1521489023</v>
      </c>
      <c r="CQ34" s="65" t="s">
        <v>1336</v>
      </c>
      <c r="CR34" s="65" t="s">
        <v>1216</v>
      </c>
      <c r="CS34" s="197">
        <v>44013</v>
      </c>
      <c r="CT34" s="65">
        <v>611.39110000000005</v>
      </c>
      <c r="CU34" s="198">
        <v>1.12E-2</v>
      </c>
      <c r="CV34" s="198">
        <v>3.9800000000000002E-2</v>
      </c>
      <c r="CW34" s="198">
        <v>8.3400000000000002E-2</v>
      </c>
      <c r="CX34" s="198">
        <v>8.4199999999999997E-2</v>
      </c>
      <c r="CY34" s="198">
        <v>0.18279999999999999</v>
      </c>
      <c r="CZ34" s="198">
        <v>0.25800000000000001</v>
      </c>
      <c r="DA34" s="198">
        <v>0.27839999999999998</v>
      </c>
      <c r="DB34" s="198">
        <v>4.8000000000000001E-2</v>
      </c>
      <c r="DC34" s="198">
        <v>1.43E-2</v>
      </c>
      <c r="DD34" s="198"/>
      <c r="DE34" s="198"/>
      <c r="DF34" s="198"/>
      <c r="DG34" s="198"/>
      <c r="DH34" s="198"/>
      <c r="DI34" s="198"/>
      <c r="DJ34" s="200"/>
    </row>
    <row r="35" spans="1:114" ht="15.75" customHeight="1" x14ac:dyDescent="0.2">
      <c r="A35" s="196"/>
      <c r="B35" s="196"/>
      <c r="C35" s="196"/>
      <c r="D35" s="196"/>
      <c r="E35" s="196"/>
      <c r="F35" s="196"/>
      <c r="G35" s="65" t="s">
        <v>1211</v>
      </c>
      <c r="H35" s="65" t="s">
        <v>1212</v>
      </c>
      <c r="I35" s="65" t="s">
        <v>1213</v>
      </c>
      <c r="J35" s="65" t="s">
        <v>1214</v>
      </c>
      <c r="K35" s="65">
        <v>880047117</v>
      </c>
      <c r="L35" s="65" t="s">
        <v>1212</v>
      </c>
      <c r="M35" s="65">
        <v>298910979</v>
      </c>
      <c r="N35" s="65" t="s">
        <v>1215</v>
      </c>
      <c r="O35" s="65" t="s">
        <v>1216</v>
      </c>
      <c r="P35" s="197">
        <v>44013</v>
      </c>
      <c r="Q35" s="65">
        <v>603.59580000000005</v>
      </c>
      <c r="R35" s="198">
        <v>1.1599999999999999E-2</v>
      </c>
      <c r="S35" s="198">
        <v>4.1000000000000002E-2</v>
      </c>
      <c r="T35" s="198">
        <v>8.5599999999999996E-2</v>
      </c>
      <c r="U35" s="198">
        <v>8.5800000000000001E-2</v>
      </c>
      <c r="V35" s="198">
        <v>0.1847</v>
      </c>
      <c r="W35" s="198">
        <v>0.25719999999999998</v>
      </c>
      <c r="X35" s="198">
        <v>0.27350000000000002</v>
      </c>
      <c r="Y35" s="198">
        <v>4.6300000000000001E-2</v>
      </c>
      <c r="Z35" s="198">
        <v>1.44E-2</v>
      </c>
      <c r="AA35" s="198"/>
      <c r="AB35" s="198"/>
      <c r="AC35" s="198"/>
      <c r="AD35" s="198"/>
      <c r="AE35" s="198"/>
      <c r="AF35" s="198"/>
      <c r="AG35" s="199"/>
      <c r="AH35" s="65" t="s">
        <v>1561</v>
      </c>
      <c r="AI35" s="65" t="s">
        <v>1562</v>
      </c>
      <c r="AJ35" s="65" t="s">
        <v>1321</v>
      </c>
      <c r="AK35" s="65" t="s">
        <v>1322</v>
      </c>
      <c r="AL35" s="65">
        <v>945621521</v>
      </c>
      <c r="AM35" s="65" t="s">
        <v>1562</v>
      </c>
      <c r="AN35" s="65">
        <v>486692023</v>
      </c>
      <c r="AO35" s="65" t="s">
        <v>1563</v>
      </c>
      <c r="AP35" s="65" t="s">
        <v>1216</v>
      </c>
      <c r="AQ35" s="197">
        <v>44013</v>
      </c>
      <c r="AR35" s="65">
        <v>3.5621999999999998</v>
      </c>
      <c r="AS35" s="198">
        <v>0.44269999999999998</v>
      </c>
      <c r="AT35" s="198">
        <v>0.16389999999999999</v>
      </c>
      <c r="AU35" s="198">
        <v>9.1499999999999998E-2</v>
      </c>
      <c r="AV35" s="198">
        <v>6.0499999999999998E-2</v>
      </c>
      <c r="AW35" s="198">
        <v>4.3799999999999999E-2</v>
      </c>
      <c r="AX35" s="198">
        <v>3.3700000000000001E-2</v>
      </c>
      <c r="AY35" s="198">
        <v>2.69E-2</v>
      </c>
      <c r="AZ35" s="198">
        <v>2.2200000000000001E-2</v>
      </c>
      <c r="BA35" s="198">
        <v>9.0200000000000002E-2</v>
      </c>
      <c r="BB35" s="198">
        <v>2.3699999999999999E-2</v>
      </c>
      <c r="BC35" s="198">
        <v>8.9999999999999998E-4</v>
      </c>
      <c r="BD35" s="198">
        <v>0</v>
      </c>
      <c r="BE35" s="198">
        <v>0</v>
      </c>
      <c r="BF35" s="198">
        <v>0</v>
      </c>
      <c r="BG35" s="198">
        <v>0</v>
      </c>
      <c r="BH35" s="199"/>
      <c r="BI35" s="65" t="s">
        <v>1387</v>
      </c>
      <c r="BJ35" s="65" t="s">
        <v>1388</v>
      </c>
      <c r="BK35" s="65" t="s">
        <v>1389</v>
      </c>
      <c r="BL35" s="65" t="s">
        <v>1390</v>
      </c>
      <c r="BM35" s="65">
        <v>1292952049</v>
      </c>
      <c r="BN35" s="65" t="s">
        <v>1388</v>
      </c>
      <c r="BO35" s="65">
        <v>305003647</v>
      </c>
      <c r="BP35" s="65" t="s">
        <v>1390</v>
      </c>
      <c r="BQ35" s="65" t="s">
        <v>1216</v>
      </c>
      <c r="BR35" s="197">
        <v>44013</v>
      </c>
      <c r="BS35" s="65">
        <v>622.71910000000003</v>
      </c>
      <c r="BT35" s="198">
        <v>1.06E-2</v>
      </c>
      <c r="BU35" s="198">
        <v>3.7699999999999997E-2</v>
      </c>
      <c r="BV35" s="198">
        <v>7.9600000000000004E-2</v>
      </c>
      <c r="BW35" s="198">
        <v>8.1199999999999994E-2</v>
      </c>
      <c r="BX35" s="198">
        <v>0.1794</v>
      </c>
      <c r="BY35" s="198">
        <v>0.25950000000000001</v>
      </c>
      <c r="BZ35" s="198">
        <v>0.28720000000000001</v>
      </c>
      <c r="CA35" s="198">
        <v>5.1200000000000002E-2</v>
      </c>
      <c r="CB35" s="198">
        <v>1.35E-2</v>
      </c>
      <c r="CC35" s="198"/>
      <c r="CD35" s="198"/>
      <c r="CE35" s="198"/>
      <c r="CF35" s="198"/>
      <c r="CG35" s="198"/>
      <c r="CH35" s="198"/>
      <c r="CI35" s="199"/>
      <c r="CJ35" s="65" t="s">
        <v>1349</v>
      </c>
      <c r="CK35" s="65" t="s">
        <v>1350</v>
      </c>
      <c r="CL35" s="65" t="s">
        <v>1299</v>
      </c>
      <c r="CM35" s="65" t="s">
        <v>1300</v>
      </c>
      <c r="CN35" s="65">
        <v>1380831764</v>
      </c>
      <c r="CO35" s="65" t="s">
        <v>1350</v>
      </c>
      <c r="CP35" s="65">
        <v>284419051</v>
      </c>
      <c r="CQ35" s="65" t="s">
        <v>1300</v>
      </c>
      <c r="CR35" s="65" t="s">
        <v>1216</v>
      </c>
      <c r="CS35" s="197">
        <v>44013</v>
      </c>
      <c r="CT35" s="65">
        <v>562.14670000000001</v>
      </c>
      <c r="CU35" s="198">
        <v>1.12E-2</v>
      </c>
      <c r="CV35" s="198">
        <v>3.9699999999999999E-2</v>
      </c>
      <c r="CW35" s="198">
        <v>8.3500000000000005E-2</v>
      </c>
      <c r="CX35" s="198">
        <v>8.4599999999999995E-2</v>
      </c>
      <c r="CY35" s="198">
        <v>0.1845</v>
      </c>
      <c r="CZ35" s="198">
        <v>0.26190000000000002</v>
      </c>
      <c r="DA35" s="198">
        <v>0.28320000000000001</v>
      </c>
      <c r="DB35" s="198">
        <v>4.58E-2</v>
      </c>
      <c r="DC35" s="198">
        <v>5.7000000000000002E-3</v>
      </c>
      <c r="DD35" s="198"/>
      <c r="DE35" s="198"/>
      <c r="DF35" s="198"/>
      <c r="DG35" s="198"/>
      <c r="DH35" s="198"/>
      <c r="DI35" s="198"/>
      <c r="DJ35" s="200"/>
    </row>
    <row r="36" spans="1:114" ht="15.75" customHeight="1" x14ac:dyDescent="0.2">
      <c r="A36" s="196"/>
      <c r="B36" s="196"/>
      <c r="C36" s="196"/>
      <c r="D36" s="196"/>
      <c r="E36" s="196"/>
      <c r="F36" s="196"/>
      <c r="G36" s="65" t="s">
        <v>1270</v>
      </c>
      <c r="H36" s="65" t="s">
        <v>1271</v>
      </c>
      <c r="I36" s="65" t="s">
        <v>1254</v>
      </c>
      <c r="J36" s="65" t="s">
        <v>1255</v>
      </c>
      <c r="K36" s="65">
        <v>1047246341</v>
      </c>
      <c r="L36" s="65" t="s">
        <v>1271</v>
      </c>
      <c r="M36" s="65">
        <v>526656015</v>
      </c>
      <c r="N36" s="65" t="s">
        <v>1255</v>
      </c>
      <c r="O36" s="65" t="s">
        <v>1216</v>
      </c>
      <c r="P36" s="197">
        <v>44013</v>
      </c>
      <c r="Q36" s="65">
        <v>563.33640000000003</v>
      </c>
      <c r="R36" s="198">
        <v>1.1900000000000001E-2</v>
      </c>
      <c r="S36" s="198">
        <v>4.2000000000000003E-2</v>
      </c>
      <c r="T36" s="198">
        <v>8.7400000000000005E-2</v>
      </c>
      <c r="U36" s="198">
        <v>8.7400000000000005E-2</v>
      </c>
      <c r="V36" s="198">
        <v>0.18720000000000001</v>
      </c>
      <c r="W36" s="198">
        <v>0.25869999999999999</v>
      </c>
      <c r="X36" s="198">
        <v>0.27239999999999998</v>
      </c>
      <c r="Y36" s="198">
        <v>4.3999999999999997E-2</v>
      </c>
      <c r="Z36" s="198">
        <v>8.9999999999999993E-3</v>
      </c>
      <c r="AA36" s="198"/>
      <c r="AB36" s="198"/>
      <c r="AC36" s="198"/>
      <c r="AD36" s="198"/>
      <c r="AE36" s="198"/>
      <c r="AF36" s="198"/>
      <c r="AG36" s="199"/>
      <c r="AH36" s="65" t="s">
        <v>1564</v>
      </c>
      <c r="AI36" s="65" t="s">
        <v>1565</v>
      </c>
      <c r="AJ36" s="65" t="s">
        <v>1244</v>
      </c>
      <c r="AK36" s="65" t="s">
        <v>1245</v>
      </c>
      <c r="AL36" s="65">
        <v>354902315</v>
      </c>
      <c r="AM36" s="65" t="s">
        <v>1565</v>
      </c>
      <c r="AN36" s="65">
        <v>295913422</v>
      </c>
      <c r="AO36" s="65" t="s">
        <v>1393</v>
      </c>
      <c r="AP36" s="65" t="s">
        <v>1216</v>
      </c>
      <c r="AQ36" s="197">
        <v>44013</v>
      </c>
      <c r="AR36" s="65">
        <v>3.2633000000000001</v>
      </c>
      <c r="AS36" s="198">
        <v>0.49220000000000003</v>
      </c>
      <c r="AT36" s="198">
        <v>0.1643</v>
      </c>
      <c r="AU36" s="198">
        <v>8.6499999999999994E-2</v>
      </c>
      <c r="AV36" s="198">
        <v>5.4899999999999997E-2</v>
      </c>
      <c r="AW36" s="198">
        <v>3.85E-2</v>
      </c>
      <c r="AX36" s="198">
        <v>2.8899999999999999E-2</v>
      </c>
      <c r="AY36" s="198">
        <v>2.2599999999999999E-2</v>
      </c>
      <c r="AZ36" s="198">
        <v>1.83E-2</v>
      </c>
      <c r="BA36" s="198">
        <v>7.1400000000000005E-2</v>
      </c>
      <c r="BB36" s="198">
        <v>1.84E-2</v>
      </c>
      <c r="BC36" s="198">
        <v>3.3999999999999998E-3</v>
      </c>
      <c r="BD36" s="198">
        <v>4.0000000000000002E-4</v>
      </c>
      <c r="BE36" s="198">
        <v>0</v>
      </c>
      <c r="BF36" s="198">
        <v>0</v>
      </c>
      <c r="BG36" s="198">
        <v>0</v>
      </c>
      <c r="BH36" s="199"/>
      <c r="BI36" s="65" t="s">
        <v>1397</v>
      </c>
      <c r="BJ36" s="65" t="s">
        <v>1398</v>
      </c>
      <c r="BK36" s="65" t="s">
        <v>1399</v>
      </c>
      <c r="BL36" s="65" t="s">
        <v>1400</v>
      </c>
      <c r="BM36" s="65">
        <v>1342290011</v>
      </c>
      <c r="BN36" s="65" t="s">
        <v>1398</v>
      </c>
      <c r="BO36" s="65">
        <v>1040083066</v>
      </c>
      <c r="BP36" s="65" t="s">
        <v>1401</v>
      </c>
      <c r="BQ36" s="65" t="s">
        <v>1216</v>
      </c>
      <c r="BR36" s="197">
        <v>44013</v>
      </c>
      <c r="BS36" s="65">
        <v>393.20949999999999</v>
      </c>
      <c r="BT36" s="198">
        <v>1.9199999999999998E-2</v>
      </c>
      <c r="BU36" s="198">
        <v>6.6100000000000006E-2</v>
      </c>
      <c r="BV36" s="198">
        <v>0.1275</v>
      </c>
      <c r="BW36" s="198">
        <v>0.1153</v>
      </c>
      <c r="BX36" s="198">
        <v>0.21340000000000001</v>
      </c>
      <c r="BY36" s="198">
        <v>0.2366</v>
      </c>
      <c r="BZ36" s="198">
        <v>0.19650000000000001</v>
      </c>
      <c r="CA36" s="198">
        <v>2.1700000000000001E-2</v>
      </c>
      <c r="CB36" s="198">
        <v>3.8E-3</v>
      </c>
      <c r="CC36" s="198"/>
      <c r="CD36" s="198"/>
      <c r="CE36" s="198"/>
      <c r="CF36" s="198"/>
      <c r="CG36" s="198"/>
      <c r="CH36" s="198"/>
      <c r="CI36" s="199"/>
      <c r="CJ36" s="65" t="s">
        <v>1363</v>
      </c>
      <c r="CK36" s="65" t="s">
        <v>1364</v>
      </c>
      <c r="CL36" s="65" t="s">
        <v>1365</v>
      </c>
      <c r="CM36" s="65" t="s">
        <v>1366</v>
      </c>
      <c r="CN36" s="65">
        <v>656971078</v>
      </c>
      <c r="CO36" s="65" t="s">
        <v>1364</v>
      </c>
      <c r="CP36" s="65">
        <v>761807761</v>
      </c>
      <c r="CQ36" s="65" t="s">
        <v>1367</v>
      </c>
      <c r="CR36" s="65" t="s">
        <v>1216</v>
      </c>
      <c r="CS36" s="197">
        <v>44013</v>
      </c>
      <c r="CT36" s="65">
        <v>683.83050000000003</v>
      </c>
      <c r="CU36" s="198">
        <v>9.9000000000000008E-3</v>
      </c>
      <c r="CV36" s="198">
        <v>3.5499999999999997E-2</v>
      </c>
      <c r="CW36" s="198">
        <v>7.5499999999999998E-2</v>
      </c>
      <c r="CX36" s="198">
        <v>7.7799999999999994E-2</v>
      </c>
      <c r="CY36" s="198">
        <v>0.1744</v>
      </c>
      <c r="CZ36" s="198">
        <v>0.25800000000000001</v>
      </c>
      <c r="DA36" s="198">
        <v>0.29270000000000002</v>
      </c>
      <c r="DB36" s="198">
        <v>5.57E-2</v>
      </c>
      <c r="DC36" s="198">
        <v>2.0400000000000001E-2</v>
      </c>
      <c r="DD36" s="198"/>
      <c r="DE36" s="198"/>
      <c r="DF36" s="198"/>
      <c r="DG36" s="198"/>
      <c r="DH36" s="198"/>
      <c r="DI36" s="198"/>
      <c r="DJ36" s="200"/>
    </row>
    <row r="37" spans="1:114" ht="15.75" customHeight="1" x14ac:dyDescent="0.2">
      <c r="A37" s="196"/>
      <c r="B37" s="196"/>
      <c r="C37" s="196"/>
      <c r="D37" s="196"/>
      <c r="E37" s="196"/>
      <c r="F37" s="196"/>
      <c r="G37" s="65" t="s">
        <v>1252</v>
      </c>
      <c r="H37" s="65" t="s">
        <v>1253</v>
      </c>
      <c r="I37" s="65" t="s">
        <v>1254</v>
      </c>
      <c r="J37" s="65" t="s">
        <v>1255</v>
      </c>
      <c r="K37" s="65">
        <v>1095254858</v>
      </c>
      <c r="L37" s="65" t="s">
        <v>1253</v>
      </c>
      <c r="M37" s="65">
        <v>526656015</v>
      </c>
      <c r="N37" s="65" t="s">
        <v>1255</v>
      </c>
      <c r="O37" s="65" t="s">
        <v>1216</v>
      </c>
      <c r="P37" s="197">
        <v>44013</v>
      </c>
      <c r="Q37" s="65">
        <v>653.68640000000005</v>
      </c>
      <c r="R37" s="198">
        <v>9.1000000000000004E-3</v>
      </c>
      <c r="S37" s="198">
        <v>3.2800000000000003E-2</v>
      </c>
      <c r="T37" s="198">
        <v>7.0900000000000005E-2</v>
      </c>
      <c r="U37" s="198">
        <v>7.4300000000000005E-2</v>
      </c>
      <c r="V37" s="198">
        <v>0.1709</v>
      </c>
      <c r="W37" s="198">
        <v>0.26240000000000002</v>
      </c>
      <c r="X37" s="198">
        <v>0.30869999999999997</v>
      </c>
      <c r="Y37" s="198">
        <v>5.9200000000000003E-2</v>
      </c>
      <c r="Z37" s="198">
        <v>1.17E-2</v>
      </c>
      <c r="AA37" s="198"/>
      <c r="AB37" s="198"/>
      <c r="AC37" s="198"/>
      <c r="AD37" s="198"/>
      <c r="AE37" s="198"/>
      <c r="AF37" s="198"/>
      <c r="AG37" s="199"/>
      <c r="AH37" s="65" t="s">
        <v>1566</v>
      </c>
      <c r="AI37" s="65" t="s">
        <v>1567</v>
      </c>
      <c r="AJ37" s="65" t="s">
        <v>1235</v>
      </c>
      <c r="AK37" s="65" t="s">
        <v>1236</v>
      </c>
      <c r="AL37" s="65">
        <v>719525810</v>
      </c>
      <c r="AM37" s="65" t="s">
        <v>1567</v>
      </c>
      <c r="AN37" s="65">
        <v>447553567</v>
      </c>
      <c r="AO37" s="65" t="s">
        <v>1236</v>
      </c>
      <c r="AP37" s="65" t="s">
        <v>1216</v>
      </c>
      <c r="AQ37" s="197">
        <v>44013</v>
      </c>
      <c r="AR37" s="65">
        <v>3.2704</v>
      </c>
      <c r="AS37" s="198">
        <v>0.49270000000000003</v>
      </c>
      <c r="AT37" s="198">
        <v>0.1643</v>
      </c>
      <c r="AU37" s="198">
        <v>8.6400000000000005E-2</v>
      </c>
      <c r="AV37" s="198">
        <v>5.4800000000000001E-2</v>
      </c>
      <c r="AW37" s="198">
        <v>3.85E-2</v>
      </c>
      <c r="AX37" s="198">
        <v>2.8799999999999999E-2</v>
      </c>
      <c r="AY37" s="198">
        <v>2.2599999999999999E-2</v>
      </c>
      <c r="AZ37" s="198">
        <v>1.83E-2</v>
      </c>
      <c r="BA37" s="198">
        <v>7.1300000000000002E-2</v>
      </c>
      <c r="BB37" s="198">
        <v>1.84E-2</v>
      </c>
      <c r="BC37" s="198">
        <v>3.5000000000000001E-3</v>
      </c>
      <c r="BD37" s="198">
        <v>5.9999999999999995E-4</v>
      </c>
      <c r="BE37" s="198">
        <v>0</v>
      </c>
      <c r="BF37" s="198">
        <v>0</v>
      </c>
      <c r="BG37" s="198">
        <v>0</v>
      </c>
      <c r="BH37" s="199"/>
      <c r="BI37" s="65" t="s">
        <v>1412</v>
      </c>
      <c r="BJ37" s="65" t="s">
        <v>1413</v>
      </c>
      <c r="BK37" s="65" t="s">
        <v>1414</v>
      </c>
      <c r="BL37" s="65" t="s">
        <v>1415</v>
      </c>
      <c r="BM37" s="65">
        <v>921022358</v>
      </c>
      <c r="BN37" s="65" t="s">
        <v>1413</v>
      </c>
      <c r="BO37" s="65">
        <v>284800461</v>
      </c>
      <c r="BP37" s="65" t="s">
        <v>1415</v>
      </c>
      <c r="BQ37" s="65" t="s">
        <v>1216</v>
      </c>
      <c r="BR37" s="197">
        <v>44013</v>
      </c>
      <c r="BS37" s="65">
        <v>434.23</v>
      </c>
      <c r="BT37" s="198">
        <v>1.77E-2</v>
      </c>
      <c r="BU37" s="198">
        <v>6.1100000000000002E-2</v>
      </c>
      <c r="BV37" s="198">
        <v>0.1196</v>
      </c>
      <c r="BW37" s="198">
        <v>0.1101</v>
      </c>
      <c r="BX37" s="198">
        <v>0.20910000000000001</v>
      </c>
      <c r="BY37" s="198">
        <v>0.24129999999999999</v>
      </c>
      <c r="BZ37" s="198">
        <v>0.2094</v>
      </c>
      <c r="CA37" s="198">
        <v>2.53E-2</v>
      </c>
      <c r="CB37" s="198">
        <v>6.4000000000000003E-3</v>
      </c>
      <c r="CC37" s="198"/>
      <c r="CD37" s="198"/>
      <c r="CE37" s="198"/>
      <c r="CF37" s="198"/>
      <c r="CG37" s="198"/>
      <c r="CH37" s="198"/>
      <c r="CI37" s="199"/>
      <c r="CJ37" s="65" t="s">
        <v>1377</v>
      </c>
      <c r="CK37" s="65" t="s">
        <v>1378</v>
      </c>
      <c r="CL37" s="65" t="s">
        <v>1379</v>
      </c>
      <c r="CM37" s="65" t="s">
        <v>1380</v>
      </c>
      <c r="CN37" s="65">
        <v>731592936</v>
      </c>
      <c r="CO37" s="65" t="s">
        <v>1381</v>
      </c>
      <c r="CP37" s="65">
        <v>282764297</v>
      </c>
      <c r="CQ37" s="65" t="s">
        <v>1380</v>
      </c>
      <c r="CR37" s="65" t="s">
        <v>1216</v>
      </c>
      <c r="CS37" s="197">
        <v>44013</v>
      </c>
      <c r="CT37" s="65">
        <v>262.73180000000002</v>
      </c>
      <c r="CU37" s="198">
        <v>2.86E-2</v>
      </c>
      <c r="CV37" s="198">
        <v>9.5399999999999999E-2</v>
      </c>
      <c r="CW37" s="198">
        <v>0.17080000000000001</v>
      </c>
      <c r="CX37" s="198">
        <v>0.14000000000000001</v>
      </c>
      <c r="CY37" s="198">
        <v>0.22450000000000001</v>
      </c>
      <c r="CZ37" s="198">
        <v>0.20019999999999999</v>
      </c>
      <c r="DA37" s="198">
        <v>0.13059999999999999</v>
      </c>
      <c r="DB37" s="198">
        <v>9.4000000000000004E-3</v>
      </c>
      <c r="DC37" s="198">
        <v>4.0000000000000002E-4</v>
      </c>
      <c r="DD37" s="198"/>
      <c r="DE37" s="198"/>
      <c r="DF37" s="198"/>
      <c r="DG37" s="198"/>
      <c r="DH37" s="198"/>
      <c r="DI37" s="198"/>
      <c r="DJ37" s="200"/>
    </row>
    <row r="38" spans="1:114" ht="15.75" customHeight="1" x14ac:dyDescent="0.2">
      <c r="A38" s="196"/>
      <c r="B38" s="196"/>
      <c r="C38" s="196"/>
      <c r="D38" s="196"/>
      <c r="E38" s="196"/>
      <c r="F38" s="196"/>
      <c r="G38" s="65" t="s">
        <v>1302</v>
      </c>
      <c r="H38" s="65" t="s">
        <v>1303</v>
      </c>
      <c r="I38" s="65" t="s">
        <v>1254</v>
      </c>
      <c r="J38" s="65" t="s">
        <v>1255</v>
      </c>
      <c r="K38" s="65">
        <v>553834731</v>
      </c>
      <c r="L38" s="65" t="s">
        <v>1303</v>
      </c>
      <c r="M38" s="65">
        <v>526656015</v>
      </c>
      <c r="N38" s="65" t="s">
        <v>1255</v>
      </c>
      <c r="O38" s="65" t="s">
        <v>1216</v>
      </c>
      <c r="P38" s="197">
        <v>44013</v>
      </c>
      <c r="Q38" s="65">
        <v>493.14569999999998</v>
      </c>
      <c r="R38" s="198">
        <v>1.2E-2</v>
      </c>
      <c r="S38" s="198">
        <v>4.8899999999999999E-2</v>
      </c>
      <c r="T38" s="198">
        <v>9.9500000000000005E-2</v>
      </c>
      <c r="U38" s="198">
        <v>9.6600000000000005E-2</v>
      </c>
      <c r="V38" s="198">
        <v>0.1978</v>
      </c>
      <c r="W38" s="198">
        <v>0.2555</v>
      </c>
      <c r="X38" s="198">
        <v>0.25009999999999999</v>
      </c>
      <c r="Y38" s="198">
        <v>3.49E-2</v>
      </c>
      <c r="Z38" s="198">
        <v>4.7000000000000002E-3</v>
      </c>
      <c r="AA38" s="198"/>
      <c r="AB38" s="198"/>
      <c r="AC38" s="198"/>
      <c r="AD38" s="198"/>
      <c r="AE38" s="198"/>
      <c r="AF38" s="198"/>
      <c r="AG38" s="199"/>
      <c r="AH38" s="65" t="s">
        <v>1568</v>
      </c>
      <c r="AI38" s="65" t="s">
        <v>1569</v>
      </c>
      <c r="AJ38" s="65" t="s">
        <v>1244</v>
      </c>
      <c r="AK38" s="65" t="s">
        <v>1245</v>
      </c>
      <c r="AL38" s="65">
        <v>916869395</v>
      </c>
      <c r="AM38" s="65" t="s">
        <v>1569</v>
      </c>
      <c r="AN38" s="65">
        <v>295913422</v>
      </c>
      <c r="AO38" s="65" t="s">
        <v>1393</v>
      </c>
      <c r="AP38" s="65" t="s">
        <v>1216</v>
      </c>
      <c r="AQ38" s="197">
        <v>44013</v>
      </c>
      <c r="AR38" s="65">
        <v>3.4148999999999998</v>
      </c>
      <c r="AS38" s="198">
        <v>0.48749999999999999</v>
      </c>
      <c r="AT38" s="198">
        <v>0.16389999999999999</v>
      </c>
      <c r="AU38" s="198">
        <v>8.6699999999999999E-2</v>
      </c>
      <c r="AV38" s="198">
        <v>5.5100000000000003E-2</v>
      </c>
      <c r="AW38" s="198">
        <v>3.8800000000000001E-2</v>
      </c>
      <c r="AX38" s="198">
        <v>2.9100000000000001E-2</v>
      </c>
      <c r="AY38" s="198">
        <v>2.29E-2</v>
      </c>
      <c r="AZ38" s="198">
        <v>1.8499999999999999E-2</v>
      </c>
      <c r="BA38" s="198">
        <v>7.2700000000000001E-2</v>
      </c>
      <c r="BB38" s="198">
        <v>1.9099999999999999E-2</v>
      </c>
      <c r="BC38" s="198">
        <v>4.1000000000000003E-3</v>
      </c>
      <c r="BD38" s="198">
        <v>1.4E-3</v>
      </c>
      <c r="BE38" s="198">
        <v>2.0000000000000001E-4</v>
      </c>
      <c r="BF38" s="198">
        <v>0</v>
      </c>
      <c r="BG38" s="198">
        <v>0</v>
      </c>
      <c r="BH38" s="199"/>
      <c r="BI38" s="65" t="s">
        <v>1423</v>
      </c>
      <c r="BJ38" s="65" t="s">
        <v>1424</v>
      </c>
      <c r="BK38" s="65" t="s">
        <v>1279</v>
      </c>
      <c r="BL38" s="65" t="s">
        <v>1280</v>
      </c>
      <c r="BM38" s="65">
        <v>1354260888</v>
      </c>
      <c r="BN38" s="65" t="s">
        <v>1425</v>
      </c>
      <c r="BO38" s="65">
        <v>982119759</v>
      </c>
      <c r="BP38" s="65" t="s">
        <v>1282</v>
      </c>
      <c r="BQ38" s="65" t="s">
        <v>1216</v>
      </c>
      <c r="BR38" s="197">
        <v>44013</v>
      </c>
      <c r="BS38" s="65">
        <v>595.80730000000005</v>
      </c>
      <c r="BT38" s="198">
        <v>1.26E-2</v>
      </c>
      <c r="BU38" s="198">
        <v>4.4299999999999999E-2</v>
      </c>
      <c r="BV38" s="198">
        <v>9.1200000000000003E-2</v>
      </c>
      <c r="BW38" s="198">
        <v>0.09</v>
      </c>
      <c r="BX38" s="198">
        <v>0.18909999999999999</v>
      </c>
      <c r="BY38" s="198">
        <v>0.25419999999999998</v>
      </c>
      <c r="BZ38" s="198">
        <v>0.26040000000000002</v>
      </c>
      <c r="CA38" s="198">
        <v>4.2099999999999999E-2</v>
      </c>
      <c r="CB38" s="198">
        <v>1.61E-2</v>
      </c>
      <c r="CC38" s="198"/>
      <c r="CD38" s="198"/>
      <c r="CE38" s="198"/>
      <c r="CF38" s="198"/>
      <c r="CG38" s="198"/>
      <c r="CH38" s="198"/>
      <c r="CI38" s="199"/>
      <c r="CJ38" s="65" t="s">
        <v>1391</v>
      </c>
      <c r="CK38" s="65" t="s">
        <v>1392</v>
      </c>
      <c r="CL38" s="65" t="s">
        <v>1244</v>
      </c>
      <c r="CM38" s="65" t="s">
        <v>1245</v>
      </c>
      <c r="CN38" s="65">
        <v>824318267</v>
      </c>
      <c r="CO38" s="65" t="s">
        <v>1392</v>
      </c>
      <c r="CP38" s="65">
        <v>295913422</v>
      </c>
      <c r="CQ38" s="65" t="s">
        <v>1393</v>
      </c>
      <c r="CR38" s="65" t="s">
        <v>1216</v>
      </c>
      <c r="CS38" s="197">
        <v>44013</v>
      </c>
      <c r="CT38" s="65">
        <v>505.91359999999997</v>
      </c>
      <c r="CU38" s="198">
        <v>1.4999999999999999E-2</v>
      </c>
      <c r="CV38" s="198">
        <v>5.2499999999999998E-2</v>
      </c>
      <c r="CW38" s="198">
        <v>0.1052</v>
      </c>
      <c r="CX38" s="198">
        <v>0.1003</v>
      </c>
      <c r="CY38" s="198">
        <v>0.20019999999999999</v>
      </c>
      <c r="CZ38" s="198">
        <v>0.24909999999999999</v>
      </c>
      <c r="DA38" s="198">
        <v>0.23469999999999999</v>
      </c>
      <c r="DB38" s="198">
        <v>3.27E-2</v>
      </c>
      <c r="DC38" s="198">
        <v>1.0200000000000001E-2</v>
      </c>
      <c r="DD38" s="198"/>
      <c r="DE38" s="198"/>
      <c r="DF38" s="198"/>
      <c r="DG38" s="198"/>
      <c r="DH38" s="198"/>
      <c r="DI38" s="198"/>
      <c r="DJ38" s="200"/>
    </row>
    <row r="39" spans="1:114" ht="15.75" customHeight="1" x14ac:dyDescent="0.2">
      <c r="A39" s="196"/>
      <c r="B39" s="196"/>
      <c r="C39" s="196"/>
      <c r="D39" s="196"/>
      <c r="E39" s="196"/>
      <c r="F39" s="196"/>
      <c r="G39" s="65" t="s">
        <v>1317</v>
      </c>
      <c r="H39" s="65" t="s">
        <v>1318</v>
      </c>
      <c r="I39" s="65" t="s">
        <v>1254</v>
      </c>
      <c r="J39" s="65" t="s">
        <v>1255</v>
      </c>
      <c r="K39" s="65">
        <v>608206510</v>
      </c>
      <c r="L39" s="65" t="s">
        <v>1318</v>
      </c>
      <c r="M39" s="65">
        <v>526656015</v>
      </c>
      <c r="N39" s="65" t="s">
        <v>1255</v>
      </c>
      <c r="O39" s="65" t="s">
        <v>1216</v>
      </c>
      <c r="P39" s="197">
        <v>44013</v>
      </c>
      <c r="Q39" s="65">
        <v>580.0915</v>
      </c>
      <c r="R39" s="198">
        <v>0.01</v>
      </c>
      <c r="S39" s="198">
        <v>4.1399999999999999E-2</v>
      </c>
      <c r="T39" s="198">
        <v>8.6300000000000002E-2</v>
      </c>
      <c r="U39" s="198">
        <v>8.6499999999999994E-2</v>
      </c>
      <c r="V39" s="198">
        <v>0.18609999999999999</v>
      </c>
      <c r="W39" s="198">
        <v>0.25879999999999997</v>
      </c>
      <c r="X39" s="198">
        <v>0.27460000000000001</v>
      </c>
      <c r="Y39" s="198">
        <v>4.5400000000000003E-2</v>
      </c>
      <c r="Z39" s="198">
        <v>1.09E-2</v>
      </c>
      <c r="AA39" s="198"/>
      <c r="AB39" s="198"/>
      <c r="AC39" s="198"/>
      <c r="AD39" s="198"/>
      <c r="AE39" s="198"/>
      <c r="AF39" s="198"/>
      <c r="AG39" s="199"/>
      <c r="AH39" s="65"/>
      <c r="AI39" s="65"/>
      <c r="AJ39" s="65"/>
      <c r="AK39" s="65"/>
      <c r="AL39" s="65"/>
      <c r="AM39" s="65"/>
      <c r="AN39" s="65"/>
      <c r="AO39" s="65"/>
      <c r="AP39" s="65"/>
      <c r="AQ39" s="205" t="s">
        <v>1570</v>
      </c>
      <c r="AR39" s="205">
        <f>AVERAGE(AR4:AR38)</f>
        <v>3.4647057142857149</v>
      </c>
      <c r="AS39" s="198"/>
      <c r="AT39" s="198"/>
      <c r="AU39" s="198"/>
      <c r="AV39" s="198"/>
      <c r="AW39" s="198"/>
      <c r="AX39" s="198"/>
      <c r="AY39" s="198"/>
      <c r="AZ39" s="198"/>
      <c r="BA39" s="198"/>
      <c r="BB39" s="198"/>
      <c r="BC39" s="198"/>
      <c r="BD39" s="198"/>
      <c r="BE39" s="198"/>
      <c r="BF39" s="198"/>
      <c r="BG39" s="198"/>
      <c r="BH39" s="199"/>
      <c r="BI39" s="65" t="s">
        <v>1434</v>
      </c>
      <c r="BJ39" s="65" t="s">
        <v>1435</v>
      </c>
      <c r="BK39" s="65" t="s">
        <v>1258</v>
      </c>
      <c r="BL39" s="65" t="s">
        <v>1259</v>
      </c>
      <c r="BM39" s="65">
        <v>1371565796</v>
      </c>
      <c r="BN39" s="65" t="s">
        <v>1435</v>
      </c>
      <c r="BO39" s="65">
        <v>489487383</v>
      </c>
      <c r="BP39" s="65" t="s">
        <v>1436</v>
      </c>
      <c r="BQ39" s="65" t="s">
        <v>1216</v>
      </c>
      <c r="BR39" s="197">
        <v>44013</v>
      </c>
      <c r="BS39" s="65">
        <v>1050.8009999999999</v>
      </c>
      <c r="BT39" s="198">
        <v>7.7000000000000002E-3</v>
      </c>
      <c r="BU39" s="198">
        <v>2.7799999999999998E-2</v>
      </c>
      <c r="BV39" s="198">
        <v>6.0999999999999999E-2</v>
      </c>
      <c r="BW39" s="198">
        <v>6.5199999999999994E-2</v>
      </c>
      <c r="BX39" s="198">
        <v>0.1542</v>
      </c>
      <c r="BY39" s="198">
        <v>0.24790000000000001</v>
      </c>
      <c r="BZ39" s="198">
        <v>0.30809999999999998</v>
      </c>
      <c r="CA39" s="198">
        <v>7.1900000000000006E-2</v>
      </c>
      <c r="CB39" s="198">
        <v>5.62E-2</v>
      </c>
      <c r="CC39" s="198"/>
      <c r="CD39" s="198"/>
      <c r="CE39" s="198"/>
      <c r="CF39" s="198"/>
      <c r="CG39" s="198"/>
      <c r="CH39" s="198"/>
      <c r="CI39" s="199"/>
      <c r="CJ39" s="65" t="s">
        <v>1402</v>
      </c>
      <c r="CK39" s="65" t="s">
        <v>1403</v>
      </c>
      <c r="CL39" s="65" t="s">
        <v>1404</v>
      </c>
      <c r="CM39" s="65" t="s">
        <v>1405</v>
      </c>
      <c r="CN39" s="65">
        <v>1372638631</v>
      </c>
      <c r="CO39" s="65" t="s">
        <v>1403</v>
      </c>
      <c r="CP39" s="65">
        <v>1004862412</v>
      </c>
      <c r="CQ39" s="65" t="s">
        <v>1406</v>
      </c>
      <c r="CR39" s="65" t="s">
        <v>1216</v>
      </c>
      <c r="CS39" s="197">
        <v>44013</v>
      </c>
      <c r="CT39" s="65">
        <v>614.95590000000004</v>
      </c>
      <c r="CU39" s="198">
        <v>1.15E-2</v>
      </c>
      <c r="CV39" s="198">
        <v>4.07E-2</v>
      </c>
      <c r="CW39" s="198">
        <v>8.5099999999999995E-2</v>
      </c>
      <c r="CX39" s="198">
        <v>8.5400000000000004E-2</v>
      </c>
      <c r="CY39" s="198">
        <v>0.184</v>
      </c>
      <c r="CZ39" s="198">
        <v>0.25679999999999997</v>
      </c>
      <c r="DA39" s="198">
        <v>0.27389999999999998</v>
      </c>
      <c r="DB39" s="198">
        <v>4.6800000000000001E-2</v>
      </c>
      <c r="DC39" s="198">
        <v>1.5800000000000002E-2</v>
      </c>
      <c r="DD39" s="198"/>
      <c r="DE39" s="198"/>
      <c r="DF39" s="198"/>
      <c r="DG39" s="198"/>
      <c r="DH39" s="198"/>
      <c r="DI39" s="198"/>
      <c r="DJ39" s="200"/>
    </row>
    <row r="40" spans="1:114" ht="15.75" customHeight="1" x14ac:dyDescent="0.2">
      <c r="A40" s="196"/>
      <c r="B40" s="196"/>
      <c r="C40" s="196"/>
      <c r="D40" s="196"/>
      <c r="E40" s="196"/>
      <c r="F40" s="196"/>
      <c r="G40" s="65" t="s">
        <v>1337</v>
      </c>
      <c r="H40" s="65" t="s">
        <v>1338</v>
      </c>
      <c r="I40" s="65" t="s">
        <v>1291</v>
      </c>
      <c r="J40" s="65" t="s">
        <v>1292</v>
      </c>
      <c r="K40" s="65">
        <v>727296976</v>
      </c>
      <c r="L40" s="65" t="s">
        <v>1338</v>
      </c>
      <c r="M40" s="65">
        <v>290671617</v>
      </c>
      <c r="N40" s="65" t="s">
        <v>1294</v>
      </c>
      <c r="O40" s="65" t="s">
        <v>1216</v>
      </c>
      <c r="P40" s="197">
        <v>44013</v>
      </c>
      <c r="Q40" s="65">
        <v>676.05790000000002</v>
      </c>
      <c r="R40" s="198">
        <v>9.5999999999999992E-3</v>
      </c>
      <c r="S40" s="198">
        <v>3.4200000000000001E-2</v>
      </c>
      <c r="T40" s="198">
        <v>7.3400000000000007E-2</v>
      </c>
      <c r="U40" s="198">
        <v>7.6200000000000004E-2</v>
      </c>
      <c r="V40" s="198">
        <v>0.1726</v>
      </c>
      <c r="W40" s="198">
        <v>0.25940000000000002</v>
      </c>
      <c r="X40" s="198">
        <v>0.29920000000000002</v>
      </c>
      <c r="Y40" s="198">
        <v>5.7599999999999998E-2</v>
      </c>
      <c r="Z40" s="198">
        <v>1.78E-2</v>
      </c>
      <c r="AA40" s="198"/>
      <c r="AB40" s="198"/>
      <c r="AC40" s="198"/>
      <c r="AD40" s="198"/>
      <c r="AE40" s="198"/>
      <c r="AF40" s="198"/>
      <c r="AG40" s="199"/>
      <c r="AH40" s="65"/>
      <c r="AI40" s="65"/>
      <c r="AJ40" s="65"/>
      <c r="AK40" s="65"/>
      <c r="AL40" s="65"/>
      <c r="AM40" s="65"/>
      <c r="AN40" s="65"/>
      <c r="AO40" s="65"/>
      <c r="AP40" s="65"/>
      <c r="AQ40" s="197"/>
      <c r="AR40" s="65"/>
      <c r="AS40" s="198"/>
      <c r="AT40" s="198"/>
      <c r="AU40" s="198"/>
      <c r="AV40" s="198"/>
      <c r="AW40" s="198"/>
      <c r="AX40" s="198"/>
      <c r="AY40" s="198"/>
      <c r="AZ40" s="198"/>
      <c r="BA40" s="198"/>
      <c r="BB40" s="198"/>
      <c r="BC40" s="198"/>
      <c r="BD40" s="198"/>
      <c r="BE40" s="198"/>
      <c r="BF40" s="198"/>
      <c r="BG40" s="198"/>
      <c r="BH40" s="199"/>
      <c r="BI40" s="65" t="s">
        <v>1449</v>
      </c>
      <c r="BJ40" s="65" t="s">
        <v>1450</v>
      </c>
      <c r="BK40" s="65" t="s">
        <v>1389</v>
      </c>
      <c r="BL40" s="65" t="s">
        <v>1390</v>
      </c>
      <c r="BM40" s="65">
        <v>1427744264</v>
      </c>
      <c r="BN40" s="65" t="s">
        <v>1451</v>
      </c>
      <c r="BO40" s="65">
        <v>305003647</v>
      </c>
      <c r="BP40" s="65" t="s">
        <v>1390</v>
      </c>
      <c r="BQ40" s="65" t="s">
        <v>1216</v>
      </c>
      <c r="BR40" s="197">
        <v>44013</v>
      </c>
      <c r="BS40" s="65">
        <v>432.05610000000001</v>
      </c>
      <c r="BT40" s="198">
        <v>1.7500000000000002E-2</v>
      </c>
      <c r="BU40" s="198">
        <v>6.0499999999999998E-2</v>
      </c>
      <c r="BV40" s="198">
        <v>0.1186</v>
      </c>
      <c r="BW40" s="198">
        <v>0.1095</v>
      </c>
      <c r="BX40" s="198">
        <v>0.20880000000000001</v>
      </c>
      <c r="BY40" s="198">
        <v>0.24229999999999999</v>
      </c>
      <c r="BZ40" s="198">
        <v>0.21149999999999999</v>
      </c>
      <c r="CA40" s="198">
        <v>2.5600000000000001E-2</v>
      </c>
      <c r="CB40" s="198">
        <v>5.7000000000000002E-3</v>
      </c>
      <c r="CC40" s="198"/>
      <c r="CD40" s="198"/>
      <c r="CE40" s="198"/>
      <c r="CF40" s="198"/>
      <c r="CG40" s="198"/>
      <c r="CH40" s="198"/>
      <c r="CI40" s="199"/>
      <c r="CJ40" s="65" t="s">
        <v>1416</v>
      </c>
      <c r="CK40" s="65" t="s">
        <v>1417</v>
      </c>
      <c r="CL40" s="65" t="s">
        <v>1418</v>
      </c>
      <c r="CM40" s="65" t="s">
        <v>1419</v>
      </c>
      <c r="CN40" s="65">
        <v>506627515</v>
      </c>
      <c r="CO40" s="65" t="s">
        <v>1417</v>
      </c>
      <c r="CP40" s="65">
        <v>488106216</v>
      </c>
      <c r="CQ40" s="65" t="s">
        <v>1419</v>
      </c>
      <c r="CR40" s="65" t="s">
        <v>1216</v>
      </c>
      <c r="CS40" s="197">
        <v>44013</v>
      </c>
      <c r="CT40" s="65">
        <v>395.60480000000001</v>
      </c>
      <c r="CU40" s="198">
        <v>1.9300000000000001E-2</v>
      </c>
      <c r="CV40" s="198">
        <v>6.6299999999999998E-2</v>
      </c>
      <c r="CW40" s="198">
        <v>0.1278</v>
      </c>
      <c r="CX40" s="198">
        <v>0.11550000000000001</v>
      </c>
      <c r="CY40" s="198">
        <v>0.21340000000000001</v>
      </c>
      <c r="CZ40" s="198">
        <v>0.2361</v>
      </c>
      <c r="DA40" s="198">
        <v>0.1956</v>
      </c>
      <c r="DB40" s="198">
        <v>2.1700000000000001E-2</v>
      </c>
      <c r="DC40" s="198">
        <v>4.3E-3</v>
      </c>
      <c r="DD40" s="198"/>
      <c r="DE40" s="198"/>
      <c r="DF40" s="198"/>
      <c r="DG40" s="198"/>
      <c r="DH40" s="198"/>
      <c r="DI40" s="198"/>
      <c r="DJ40" s="200"/>
    </row>
    <row r="41" spans="1:114" ht="15.75" customHeight="1" x14ac:dyDescent="0.2">
      <c r="A41" s="196"/>
      <c r="B41" s="196"/>
      <c r="C41" s="196"/>
      <c r="D41" s="196"/>
      <c r="E41" s="196"/>
      <c r="F41" s="196"/>
      <c r="G41" s="65" t="s">
        <v>1351</v>
      </c>
      <c r="H41" s="65" t="s">
        <v>1352</v>
      </c>
      <c r="I41" s="65" t="s">
        <v>1291</v>
      </c>
      <c r="J41" s="65" t="s">
        <v>1292</v>
      </c>
      <c r="K41" s="65">
        <v>1017551780</v>
      </c>
      <c r="L41" s="65" t="s">
        <v>1352</v>
      </c>
      <c r="M41" s="65">
        <v>290671617</v>
      </c>
      <c r="N41" s="65" t="s">
        <v>1294</v>
      </c>
      <c r="O41" s="65" t="s">
        <v>1216</v>
      </c>
      <c r="P41" s="197">
        <v>44013</v>
      </c>
      <c r="Q41" s="65">
        <v>618.84749999999997</v>
      </c>
      <c r="R41" s="198">
        <v>1.0500000000000001E-2</v>
      </c>
      <c r="S41" s="198">
        <v>3.7400000000000003E-2</v>
      </c>
      <c r="T41" s="198">
        <v>7.9200000000000007E-2</v>
      </c>
      <c r="U41" s="198">
        <v>8.09E-2</v>
      </c>
      <c r="V41" s="198">
        <v>0.17910000000000001</v>
      </c>
      <c r="W41" s="198">
        <v>0.2601</v>
      </c>
      <c r="X41" s="198">
        <v>0.28889999999999999</v>
      </c>
      <c r="Y41" s="198">
        <v>5.1400000000000001E-2</v>
      </c>
      <c r="Z41" s="198">
        <v>1.2500000000000001E-2</v>
      </c>
      <c r="AA41" s="198"/>
      <c r="AB41" s="198"/>
      <c r="AC41" s="198"/>
      <c r="AD41" s="198"/>
      <c r="AE41" s="198"/>
      <c r="AF41" s="198"/>
      <c r="AG41" s="199"/>
      <c r="AH41" s="192" t="s">
        <v>1494</v>
      </c>
      <c r="AI41" s="192"/>
      <c r="AJ41" s="192"/>
      <c r="AK41" s="192"/>
      <c r="AL41" s="192"/>
      <c r="AM41" s="192"/>
      <c r="AN41" s="192"/>
      <c r="AO41" s="192"/>
      <c r="AP41" s="192"/>
      <c r="AQ41" s="194"/>
      <c r="AR41" s="192"/>
      <c r="AS41" s="195"/>
      <c r="AT41" s="195"/>
      <c r="AU41" s="195"/>
      <c r="AV41" s="195"/>
      <c r="AW41" s="195"/>
      <c r="AX41" s="195"/>
      <c r="AY41" s="195"/>
      <c r="AZ41" s="195"/>
      <c r="BA41" s="195"/>
      <c r="BB41" s="198"/>
      <c r="BC41" s="198"/>
      <c r="BD41" s="198"/>
      <c r="BE41" s="198"/>
      <c r="BF41" s="198"/>
      <c r="BG41" s="198"/>
      <c r="BH41" s="199"/>
      <c r="BI41" s="65" t="s">
        <v>1462</v>
      </c>
      <c r="BJ41" s="65" t="s">
        <v>1463</v>
      </c>
      <c r="BK41" s="65" t="s">
        <v>1464</v>
      </c>
      <c r="BL41" s="65" t="s">
        <v>1465</v>
      </c>
      <c r="BM41" s="65">
        <v>852912420</v>
      </c>
      <c r="BN41" s="65" t="s">
        <v>1463</v>
      </c>
      <c r="BO41" s="65">
        <v>299175870</v>
      </c>
      <c r="BP41" s="65" t="s">
        <v>1466</v>
      </c>
      <c r="BQ41" s="65" t="s">
        <v>1216</v>
      </c>
      <c r="BR41" s="197">
        <v>44013</v>
      </c>
      <c r="BS41" s="65">
        <v>1469.2215000000001</v>
      </c>
      <c r="BT41" s="198">
        <v>5.5999999999999999E-3</v>
      </c>
      <c r="BU41" s="198">
        <v>2.0299999999999999E-2</v>
      </c>
      <c r="BV41" s="198">
        <v>4.6199999999999998E-2</v>
      </c>
      <c r="BW41" s="198">
        <v>5.1700000000000003E-2</v>
      </c>
      <c r="BX41" s="198">
        <v>0.13109999999999999</v>
      </c>
      <c r="BY41" s="198">
        <v>0.2334</v>
      </c>
      <c r="BZ41" s="198">
        <v>0.32369999999999999</v>
      </c>
      <c r="CA41" s="198">
        <v>9.2899999999999996E-2</v>
      </c>
      <c r="CB41" s="198">
        <v>9.5100000000000004E-2</v>
      </c>
      <c r="CC41" s="198"/>
      <c r="CD41" s="198"/>
      <c r="CE41" s="198"/>
      <c r="CF41" s="198"/>
      <c r="CG41" s="198"/>
      <c r="CH41" s="198"/>
      <c r="CI41" s="199"/>
      <c r="CJ41" s="65" t="s">
        <v>1426</v>
      </c>
      <c r="CK41" s="65" t="s">
        <v>1427</v>
      </c>
      <c r="CL41" s="65" t="s">
        <v>1299</v>
      </c>
      <c r="CM41" s="65" t="s">
        <v>1300</v>
      </c>
      <c r="CN41" s="65">
        <v>860822992</v>
      </c>
      <c r="CO41" s="65" t="s">
        <v>1427</v>
      </c>
      <c r="CP41" s="65">
        <v>284419051</v>
      </c>
      <c r="CQ41" s="65" t="s">
        <v>1300</v>
      </c>
      <c r="CR41" s="65" t="s">
        <v>1216</v>
      </c>
      <c r="CS41" s="197">
        <v>44013</v>
      </c>
      <c r="CT41" s="65">
        <v>256.08769999999998</v>
      </c>
      <c r="CU41" s="198">
        <v>2.9499999999999998E-2</v>
      </c>
      <c r="CV41" s="198">
        <v>9.8400000000000001E-2</v>
      </c>
      <c r="CW41" s="198">
        <v>0.1749</v>
      </c>
      <c r="CX41" s="198">
        <v>0.14199999999999999</v>
      </c>
      <c r="CY41" s="198">
        <v>0.22450000000000001</v>
      </c>
      <c r="CZ41" s="198">
        <v>0.19589999999999999</v>
      </c>
      <c r="DA41" s="198">
        <v>0.125</v>
      </c>
      <c r="DB41" s="198">
        <v>8.9999999999999993E-3</v>
      </c>
      <c r="DC41" s="198">
        <v>8.0000000000000004E-4</v>
      </c>
      <c r="DD41" s="198"/>
      <c r="DE41" s="198"/>
      <c r="DF41" s="198"/>
      <c r="DG41" s="198"/>
      <c r="DH41" s="198"/>
      <c r="DI41" s="198"/>
      <c r="DJ41" s="200"/>
    </row>
    <row r="42" spans="1:114" ht="15.75" customHeight="1" x14ac:dyDescent="0.2">
      <c r="A42" s="196"/>
      <c r="B42" s="196"/>
      <c r="C42" s="196"/>
      <c r="D42" s="196"/>
      <c r="E42" s="196"/>
      <c r="F42" s="196"/>
      <c r="G42" s="65" t="s">
        <v>1368</v>
      </c>
      <c r="H42" s="65" t="s">
        <v>60</v>
      </c>
      <c r="I42" s="65" t="s">
        <v>1369</v>
      </c>
      <c r="J42" s="65" t="s">
        <v>1370</v>
      </c>
      <c r="K42" s="65">
        <v>665000000</v>
      </c>
      <c r="L42" s="65" t="s">
        <v>60</v>
      </c>
      <c r="M42" s="65">
        <v>1160000000</v>
      </c>
      <c r="N42" s="65" t="s">
        <v>1370</v>
      </c>
      <c r="O42" s="65" t="s">
        <v>1216</v>
      </c>
      <c r="P42" s="197">
        <v>44013</v>
      </c>
      <c r="Q42" s="65">
        <v>705.65949999999998</v>
      </c>
      <c r="R42" s="198">
        <v>1.0699999999999999E-2</v>
      </c>
      <c r="S42" s="198">
        <v>3.7999999999999999E-2</v>
      </c>
      <c r="T42" s="198">
        <v>8.0100000000000005E-2</v>
      </c>
      <c r="U42" s="198">
        <v>8.1299999999999997E-2</v>
      </c>
      <c r="V42" s="198">
        <v>0.1782</v>
      </c>
      <c r="W42" s="198">
        <v>0.25509999999999999</v>
      </c>
      <c r="X42" s="198">
        <v>0.28010000000000002</v>
      </c>
      <c r="Y42" s="198">
        <v>5.1400000000000001E-2</v>
      </c>
      <c r="Z42" s="198">
        <v>2.52E-2</v>
      </c>
      <c r="AA42" s="198"/>
      <c r="AB42" s="198"/>
      <c r="AC42" s="198"/>
      <c r="AD42" s="198"/>
      <c r="AE42" s="198"/>
      <c r="AF42" s="198"/>
      <c r="AG42" s="199"/>
      <c r="AH42" s="192" t="s">
        <v>1185</v>
      </c>
      <c r="AI42" s="192" t="s">
        <v>1186</v>
      </c>
      <c r="AJ42" s="192" t="s">
        <v>1187</v>
      </c>
      <c r="AK42" s="192" t="s">
        <v>1188</v>
      </c>
      <c r="AL42" s="192" t="s">
        <v>1189</v>
      </c>
      <c r="AM42" s="192" t="s">
        <v>1190</v>
      </c>
      <c r="AN42" s="192" t="s">
        <v>1191</v>
      </c>
      <c r="AO42" s="192" t="s">
        <v>1192</v>
      </c>
      <c r="AP42" s="192" t="s">
        <v>1193</v>
      </c>
      <c r="AQ42" s="194" t="s">
        <v>1194</v>
      </c>
      <c r="AR42" s="192" t="s">
        <v>1505</v>
      </c>
      <c r="AS42" s="195" t="s">
        <v>1506</v>
      </c>
      <c r="AT42" s="195" t="s">
        <v>1507</v>
      </c>
      <c r="AU42" s="195" t="s">
        <v>1508</v>
      </c>
      <c r="AV42" s="195" t="s">
        <v>1509</v>
      </c>
      <c r="AW42" s="195" t="s">
        <v>1510</v>
      </c>
      <c r="AX42" s="195" t="s">
        <v>1511</v>
      </c>
      <c r="AY42" s="195" t="s">
        <v>1512</v>
      </c>
      <c r="AZ42" s="195" t="s">
        <v>1513</v>
      </c>
      <c r="BA42" s="195" t="s">
        <v>1514</v>
      </c>
      <c r="BB42" s="198"/>
      <c r="BC42" s="198"/>
      <c r="BD42" s="198"/>
      <c r="BE42" s="198"/>
      <c r="BF42" s="198"/>
      <c r="BG42" s="198"/>
      <c r="BH42" s="199"/>
      <c r="BI42" s="65"/>
      <c r="BJ42" s="65"/>
      <c r="BK42" s="65"/>
      <c r="BL42" s="65"/>
      <c r="BM42" s="65"/>
      <c r="BN42" s="65"/>
      <c r="BO42" s="65"/>
      <c r="BP42" s="65"/>
      <c r="BQ42" s="65"/>
      <c r="BR42" s="202" t="s">
        <v>1571</v>
      </c>
      <c r="BS42" s="202">
        <f>AVERAGE(BS25:BS41)</f>
        <v>619.74224705882352</v>
      </c>
      <c r="BT42" s="198"/>
      <c r="BU42" s="198"/>
      <c r="BV42" s="198"/>
      <c r="BW42" s="198"/>
      <c r="BX42" s="198"/>
      <c r="BY42" s="198"/>
      <c r="BZ42" s="198"/>
      <c r="CA42" s="198"/>
      <c r="CB42" s="198"/>
      <c r="CC42" s="198"/>
      <c r="CD42" s="198"/>
      <c r="CE42" s="198"/>
      <c r="CF42" s="198"/>
      <c r="CG42" s="198"/>
      <c r="CH42" s="198"/>
      <c r="CI42" s="199"/>
      <c r="CJ42" s="65" t="s">
        <v>1437</v>
      </c>
      <c r="CK42" s="65" t="s">
        <v>1438</v>
      </c>
      <c r="CL42" s="65" t="s">
        <v>1439</v>
      </c>
      <c r="CM42" s="65" t="s">
        <v>1440</v>
      </c>
      <c r="CN42" s="65">
        <v>1127240206</v>
      </c>
      <c r="CO42" s="65" t="s">
        <v>1438</v>
      </c>
      <c r="CP42" s="65">
        <v>1098184645</v>
      </c>
      <c r="CQ42" s="65" t="s">
        <v>1440</v>
      </c>
      <c r="CR42" s="65" t="s">
        <v>1216</v>
      </c>
      <c r="CS42" s="197">
        <v>44013</v>
      </c>
      <c r="CT42" s="65">
        <v>448.03269999999998</v>
      </c>
      <c r="CU42" s="198">
        <v>1.83E-2</v>
      </c>
      <c r="CV42" s="198">
        <v>6.3200000000000006E-2</v>
      </c>
      <c r="CW42" s="198">
        <v>0.1227</v>
      </c>
      <c r="CX42" s="198">
        <v>0.11210000000000001</v>
      </c>
      <c r="CY42" s="198">
        <v>0.2102</v>
      </c>
      <c r="CZ42" s="198">
        <v>0.23799999999999999</v>
      </c>
      <c r="DA42" s="198">
        <v>0.20250000000000001</v>
      </c>
      <c r="DB42" s="198">
        <v>2.41E-2</v>
      </c>
      <c r="DC42" s="198">
        <v>8.8999999999999999E-3</v>
      </c>
      <c r="DD42" s="198"/>
      <c r="DE42" s="198"/>
      <c r="DF42" s="198"/>
      <c r="DG42" s="198"/>
      <c r="DH42" s="198"/>
      <c r="DI42" s="198"/>
      <c r="DJ42" s="200"/>
    </row>
    <row r="43" spans="1:114" ht="15.75" customHeight="1" x14ac:dyDescent="0.2">
      <c r="A43" s="196"/>
      <c r="B43" s="196"/>
      <c r="C43" s="196"/>
      <c r="D43" s="196"/>
      <c r="E43" s="196"/>
      <c r="F43" s="196"/>
      <c r="G43" s="65" t="s">
        <v>1382</v>
      </c>
      <c r="H43" s="65" t="s">
        <v>1383</v>
      </c>
      <c r="I43" s="65" t="s">
        <v>1258</v>
      </c>
      <c r="J43" s="65" t="s">
        <v>1259</v>
      </c>
      <c r="K43" s="65">
        <v>829000000</v>
      </c>
      <c r="L43" s="65" t="s">
        <v>1383</v>
      </c>
      <c r="M43" s="65">
        <v>293000000</v>
      </c>
      <c r="N43" s="65" t="s">
        <v>1260</v>
      </c>
      <c r="O43" s="65" t="s">
        <v>1216</v>
      </c>
      <c r="P43" s="197">
        <v>44013</v>
      </c>
      <c r="Q43" s="65">
        <v>638.10609999999997</v>
      </c>
      <c r="R43" s="198">
        <v>8.8999999999999999E-3</v>
      </c>
      <c r="S43" s="198">
        <v>3.6900000000000002E-2</v>
      </c>
      <c r="T43" s="198">
        <v>7.8299999999999995E-2</v>
      </c>
      <c r="U43" s="198">
        <v>8.0199999999999994E-2</v>
      </c>
      <c r="V43" s="198">
        <v>0.17799999999999999</v>
      </c>
      <c r="W43" s="198">
        <v>0.25979999999999998</v>
      </c>
      <c r="X43" s="198">
        <v>0.29020000000000001</v>
      </c>
      <c r="Y43" s="198">
        <v>5.28E-2</v>
      </c>
      <c r="Z43" s="198">
        <v>1.49E-2</v>
      </c>
      <c r="AA43" s="198"/>
      <c r="AB43" s="198"/>
      <c r="AC43" s="198"/>
      <c r="AD43" s="198"/>
      <c r="AE43" s="198"/>
      <c r="AF43" s="198"/>
      <c r="AG43" s="199"/>
      <c r="AH43" s="65" t="s">
        <v>1217</v>
      </c>
      <c r="AI43" s="65" t="s">
        <v>1218</v>
      </c>
      <c r="AJ43" s="65" t="s">
        <v>1219</v>
      </c>
      <c r="AK43" s="65" t="s">
        <v>1220</v>
      </c>
      <c r="AL43" s="65">
        <v>509098112</v>
      </c>
      <c r="AM43" s="65" t="s">
        <v>1221</v>
      </c>
      <c r="AN43" s="65">
        <v>311349149</v>
      </c>
      <c r="AO43" s="65" t="s">
        <v>1222</v>
      </c>
      <c r="AP43" s="65" t="s">
        <v>1216</v>
      </c>
      <c r="AQ43" s="197">
        <v>44013</v>
      </c>
      <c r="AR43" s="65">
        <v>402.91609999999997</v>
      </c>
      <c r="AS43" s="198">
        <v>1.67E-2</v>
      </c>
      <c r="AT43" s="198">
        <v>6.7299999999999999E-2</v>
      </c>
      <c r="AU43" s="198">
        <v>0.1293</v>
      </c>
      <c r="AV43" s="198">
        <v>0.11650000000000001</v>
      </c>
      <c r="AW43" s="198">
        <v>0.2142</v>
      </c>
      <c r="AX43" s="198">
        <v>0.23530000000000001</v>
      </c>
      <c r="AY43" s="198">
        <v>0.19359999999999999</v>
      </c>
      <c r="AZ43" s="198">
        <v>2.1499999999999998E-2</v>
      </c>
      <c r="BA43" s="198">
        <v>5.5999999999999999E-3</v>
      </c>
      <c r="BB43" s="198"/>
      <c r="BC43" s="198"/>
      <c r="BD43" s="198"/>
      <c r="BE43" s="198"/>
      <c r="BF43" s="198"/>
      <c r="BG43" s="198"/>
      <c r="BH43" s="199"/>
      <c r="BI43" s="65"/>
      <c r="BJ43" s="65"/>
      <c r="BK43" s="65"/>
      <c r="BL43" s="65"/>
      <c r="BM43" s="65"/>
      <c r="BN43" s="65"/>
      <c r="BO43" s="65"/>
      <c r="BP43" s="65"/>
      <c r="BQ43" s="65"/>
      <c r="BR43" s="202" t="s">
        <v>1572</v>
      </c>
      <c r="BS43" s="202">
        <f>BS42/60</f>
        <v>10.329037450980392</v>
      </c>
      <c r="BT43" s="198"/>
      <c r="BU43" s="198"/>
      <c r="BV43" s="198"/>
      <c r="BW43" s="198"/>
      <c r="BX43" s="198"/>
      <c r="BY43" s="198"/>
      <c r="BZ43" s="198"/>
      <c r="CA43" s="198"/>
      <c r="CB43" s="198"/>
      <c r="CC43" s="198"/>
      <c r="CD43" s="198"/>
      <c r="CE43" s="198"/>
      <c r="CF43" s="198"/>
      <c r="CG43" s="198"/>
      <c r="CH43" s="198"/>
      <c r="CI43" s="199"/>
      <c r="CJ43" s="65" t="s">
        <v>1452</v>
      </c>
      <c r="CK43" s="65" t="s">
        <v>1453</v>
      </c>
      <c r="CL43" s="65" t="s">
        <v>1454</v>
      </c>
      <c r="CM43" s="65" t="s">
        <v>1455</v>
      </c>
      <c r="CN43" s="65">
        <v>1214763767</v>
      </c>
      <c r="CO43" s="65" t="s">
        <v>1453</v>
      </c>
      <c r="CP43" s="65">
        <v>1493742816</v>
      </c>
      <c r="CQ43" s="65" t="s">
        <v>1455</v>
      </c>
      <c r="CR43" s="65" t="s">
        <v>1216</v>
      </c>
      <c r="CS43" s="197">
        <v>44013</v>
      </c>
      <c r="CT43" s="65">
        <v>504.99779999999998</v>
      </c>
      <c r="CU43" s="198">
        <v>1.55E-2</v>
      </c>
      <c r="CV43" s="198">
        <v>5.3999999999999999E-2</v>
      </c>
      <c r="CW43" s="198">
        <v>0.10780000000000001</v>
      </c>
      <c r="CX43" s="198">
        <v>0.10199999999999999</v>
      </c>
      <c r="CY43" s="198">
        <v>0.20169999999999999</v>
      </c>
      <c r="CZ43" s="198">
        <v>0.2472</v>
      </c>
      <c r="DA43" s="198">
        <v>0.2293</v>
      </c>
      <c r="DB43" s="198">
        <v>3.1300000000000001E-2</v>
      </c>
      <c r="DC43" s="198">
        <v>1.11E-2</v>
      </c>
      <c r="DD43" s="198"/>
      <c r="DE43" s="198"/>
      <c r="DF43" s="198"/>
      <c r="DG43" s="198"/>
      <c r="DH43" s="198"/>
      <c r="DI43" s="198"/>
      <c r="DJ43" s="200"/>
    </row>
    <row r="44" spans="1:114" ht="15.75" customHeight="1" x14ac:dyDescent="0.15">
      <c r="A44" s="196"/>
      <c r="B44" s="196"/>
      <c r="C44" s="196"/>
      <c r="D44" s="196"/>
      <c r="E44" s="196"/>
      <c r="F44" s="196"/>
      <c r="G44" s="65" t="s">
        <v>1394</v>
      </c>
      <c r="H44" s="65" t="s">
        <v>62</v>
      </c>
      <c r="I44" s="65" t="s">
        <v>1369</v>
      </c>
      <c r="J44" s="65" t="s">
        <v>1370</v>
      </c>
      <c r="K44" s="65">
        <v>1110000000</v>
      </c>
      <c r="L44" s="65" t="s">
        <v>62</v>
      </c>
      <c r="M44" s="65">
        <v>1160000000</v>
      </c>
      <c r="N44" s="65" t="s">
        <v>1370</v>
      </c>
      <c r="O44" s="65" t="s">
        <v>1216</v>
      </c>
      <c r="P44" s="197">
        <v>44013</v>
      </c>
      <c r="Q44" s="65">
        <v>754.17539999999997</v>
      </c>
      <c r="R44" s="198">
        <v>1.09E-2</v>
      </c>
      <c r="S44" s="198">
        <v>3.8600000000000002E-2</v>
      </c>
      <c r="T44" s="198">
        <v>8.1100000000000005E-2</v>
      </c>
      <c r="U44" s="198">
        <v>8.2000000000000003E-2</v>
      </c>
      <c r="V44" s="198">
        <v>0.17849999999999999</v>
      </c>
      <c r="W44" s="198">
        <v>0.25319999999999998</v>
      </c>
      <c r="X44" s="198">
        <v>0.27529999999999999</v>
      </c>
      <c r="Y44" s="198">
        <v>5.0299999999999997E-2</v>
      </c>
      <c r="Z44" s="198">
        <v>3.0099999999999998E-2</v>
      </c>
      <c r="AA44" s="198"/>
      <c r="AB44" s="198"/>
      <c r="AC44" s="198"/>
      <c r="AD44" s="198"/>
      <c r="AE44" s="198"/>
      <c r="AF44" s="198"/>
      <c r="AG44" s="199"/>
      <c r="AH44" s="65" t="s">
        <v>1239</v>
      </c>
      <c r="AI44" s="65" t="s">
        <v>1240</v>
      </c>
      <c r="AJ44" s="65" t="s">
        <v>1235</v>
      </c>
      <c r="AK44" s="65" t="s">
        <v>1236</v>
      </c>
      <c r="AL44" s="65">
        <v>529996768</v>
      </c>
      <c r="AM44" s="65" t="s">
        <v>1240</v>
      </c>
      <c r="AN44" s="65">
        <v>504720043</v>
      </c>
      <c r="AO44" s="65" t="s">
        <v>1241</v>
      </c>
      <c r="AP44" s="65" t="s">
        <v>1216</v>
      </c>
      <c r="AQ44" s="197">
        <v>44013</v>
      </c>
      <c r="AR44" s="65">
        <v>515.43110000000001</v>
      </c>
      <c r="AS44" s="198">
        <v>1.38E-2</v>
      </c>
      <c r="AT44" s="198">
        <v>4.8599999999999997E-2</v>
      </c>
      <c r="AU44" s="198">
        <v>9.8699999999999996E-2</v>
      </c>
      <c r="AV44" s="198">
        <v>9.5799999999999996E-2</v>
      </c>
      <c r="AW44" s="198">
        <v>0.1961</v>
      </c>
      <c r="AX44" s="198">
        <v>0.25359999999999999</v>
      </c>
      <c r="AY44" s="198">
        <v>0.24879999999999999</v>
      </c>
      <c r="AZ44" s="198">
        <v>3.6200000000000003E-2</v>
      </c>
      <c r="BA44" s="198">
        <v>8.3999999999999995E-3</v>
      </c>
      <c r="BB44" s="198"/>
      <c r="BC44" s="198"/>
      <c r="BD44" s="198"/>
      <c r="BE44" s="198"/>
      <c r="BF44" s="198"/>
      <c r="BG44" s="198"/>
      <c r="BH44" s="199"/>
      <c r="BI44" s="192" t="s">
        <v>1573</v>
      </c>
      <c r="BJ44" s="192"/>
      <c r="BK44" s="192"/>
      <c r="BL44" s="192"/>
      <c r="BM44" s="192"/>
      <c r="BN44" s="192"/>
      <c r="BO44" s="192"/>
      <c r="BP44" s="192"/>
      <c r="BQ44" s="192"/>
      <c r="BR44" s="194"/>
      <c r="BS44" s="192"/>
      <c r="BT44" s="195"/>
      <c r="BU44" s="195"/>
      <c r="BV44" s="195"/>
      <c r="BW44" s="195"/>
      <c r="BX44" s="195"/>
      <c r="BY44" s="195"/>
      <c r="BZ44" s="195"/>
      <c r="CA44" s="195"/>
      <c r="CB44" s="195"/>
      <c r="CC44" s="195"/>
      <c r="CD44" s="198"/>
      <c r="CE44" s="198"/>
      <c r="CF44" s="198"/>
      <c r="CG44" s="198"/>
      <c r="CH44" s="198"/>
      <c r="CI44" s="199"/>
      <c r="CJ44" s="65" t="s">
        <v>1467</v>
      </c>
      <c r="CK44" s="65" t="s">
        <v>1468</v>
      </c>
      <c r="CL44" s="65" t="s">
        <v>1369</v>
      </c>
      <c r="CM44" s="65" t="s">
        <v>1370</v>
      </c>
      <c r="CN44" s="65">
        <v>638689075</v>
      </c>
      <c r="CO44" s="65" t="s">
        <v>1468</v>
      </c>
      <c r="CP44" s="65">
        <v>1162116447</v>
      </c>
      <c r="CQ44" s="65" t="s">
        <v>1370</v>
      </c>
      <c r="CR44" s="65" t="s">
        <v>1216</v>
      </c>
      <c r="CS44" s="197">
        <v>44013</v>
      </c>
      <c r="CT44" s="65">
        <v>445.09589999999997</v>
      </c>
      <c r="CU44" s="198">
        <v>1.67E-2</v>
      </c>
      <c r="CV44" s="198">
        <v>5.79E-2</v>
      </c>
      <c r="CW44" s="198">
        <v>0.1143</v>
      </c>
      <c r="CX44" s="198">
        <v>0.1067</v>
      </c>
      <c r="CY44" s="198">
        <v>0.20660000000000001</v>
      </c>
      <c r="CZ44" s="198">
        <v>0.24529999999999999</v>
      </c>
      <c r="DA44" s="198">
        <v>0.2195</v>
      </c>
      <c r="DB44" s="198">
        <v>2.75E-2</v>
      </c>
      <c r="DC44" s="198">
        <v>5.5999999999999999E-3</v>
      </c>
      <c r="DD44" s="198"/>
      <c r="DE44" s="198"/>
      <c r="DF44" s="198"/>
      <c r="DG44" s="198"/>
      <c r="DH44" s="198"/>
      <c r="DI44" s="198"/>
      <c r="DJ44" s="12"/>
    </row>
    <row r="45" spans="1:114" ht="15.75" customHeight="1" x14ac:dyDescent="0.2">
      <c r="A45" s="196"/>
      <c r="B45" s="196"/>
      <c r="C45" s="196"/>
      <c r="D45" s="196"/>
      <c r="E45" s="196"/>
      <c r="F45" s="196"/>
      <c r="G45" s="65" t="s">
        <v>1407</v>
      </c>
      <c r="H45" s="65" t="s">
        <v>1408</v>
      </c>
      <c r="I45" s="65" t="s">
        <v>1285</v>
      </c>
      <c r="J45" s="65" t="s">
        <v>1286</v>
      </c>
      <c r="K45" s="65">
        <v>1340000000</v>
      </c>
      <c r="L45" s="65" t="s">
        <v>1408</v>
      </c>
      <c r="M45" s="65">
        <v>967000000</v>
      </c>
      <c r="N45" s="65" t="s">
        <v>1409</v>
      </c>
      <c r="O45" s="65" t="s">
        <v>1216</v>
      </c>
      <c r="P45" s="197">
        <v>44013</v>
      </c>
      <c r="Q45" s="65">
        <v>636.43359999999996</v>
      </c>
      <c r="R45" s="198">
        <v>1.09E-2</v>
      </c>
      <c r="S45" s="198">
        <v>3.8600000000000002E-2</v>
      </c>
      <c r="T45" s="198">
        <v>8.1299999999999997E-2</v>
      </c>
      <c r="U45" s="198">
        <v>8.2500000000000004E-2</v>
      </c>
      <c r="V45" s="198">
        <v>0.18049999999999999</v>
      </c>
      <c r="W45" s="198">
        <v>0.25769999999999998</v>
      </c>
      <c r="X45" s="198">
        <v>0.28160000000000002</v>
      </c>
      <c r="Y45" s="198">
        <v>5.0099999999999999E-2</v>
      </c>
      <c r="Z45" s="198">
        <v>1.6799999999999999E-2</v>
      </c>
      <c r="AA45" s="198"/>
      <c r="AB45" s="198"/>
      <c r="AC45" s="198"/>
      <c r="AD45" s="198"/>
      <c r="AE45" s="198"/>
      <c r="AF45" s="198"/>
      <c r="AG45" s="199"/>
      <c r="AH45" s="65" t="s">
        <v>1256</v>
      </c>
      <c r="AI45" s="65" t="s">
        <v>1257</v>
      </c>
      <c r="AJ45" s="65" t="s">
        <v>1258</v>
      </c>
      <c r="AK45" s="65" t="s">
        <v>1259</v>
      </c>
      <c r="AL45" s="65">
        <v>538212549</v>
      </c>
      <c r="AM45" s="65" t="s">
        <v>1257</v>
      </c>
      <c r="AN45" s="65">
        <v>292594310</v>
      </c>
      <c r="AO45" s="65" t="s">
        <v>1260</v>
      </c>
      <c r="AP45" s="65" t="s">
        <v>1216</v>
      </c>
      <c r="AQ45" s="197">
        <v>44013</v>
      </c>
      <c r="AR45" s="65">
        <v>650.80319999999995</v>
      </c>
      <c r="AS45" s="198">
        <v>9.7000000000000003E-3</v>
      </c>
      <c r="AT45" s="198">
        <v>4.5499999999999999E-2</v>
      </c>
      <c r="AU45" s="198">
        <v>9.6199999999999994E-2</v>
      </c>
      <c r="AV45" s="198">
        <v>9.3600000000000003E-2</v>
      </c>
      <c r="AW45" s="198">
        <v>0.1928</v>
      </c>
      <c r="AX45" s="198">
        <v>0.25140000000000001</v>
      </c>
      <c r="AY45" s="198">
        <v>0.24970000000000001</v>
      </c>
      <c r="AZ45" s="198">
        <v>3.9100000000000003E-2</v>
      </c>
      <c r="BA45" s="198">
        <v>2.2100000000000002E-2</v>
      </c>
      <c r="BB45" s="198"/>
      <c r="BC45" s="198"/>
      <c r="BD45" s="198"/>
      <c r="BE45" s="198"/>
      <c r="BF45" s="198"/>
      <c r="BG45" s="198"/>
      <c r="BH45" s="199"/>
      <c r="BI45" s="192" t="s">
        <v>1185</v>
      </c>
      <c r="BJ45" s="192" t="s">
        <v>1186</v>
      </c>
      <c r="BK45" s="192" t="s">
        <v>1187</v>
      </c>
      <c r="BL45" s="192" t="s">
        <v>1188</v>
      </c>
      <c r="BM45" s="192" t="s">
        <v>1189</v>
      </c>
      <c r="BN45" s="192" t="s">
        <v>1190</v>
      </c>
      <c r="BO45" s="192" t="s">
        <v>1191</v>
      </c>
      <c r="BP45" s="192" t="s">
        <v>1192</v>
      </c>
      <c r="BQ45" s="192" t="s">
        <v>1193</v>
      </c>
      <c r="BR45" s="194" t="s">
        <v>1194</v>
      </c>
      <c r="BS45" s="192" t="s">
        <v>1505</v>
      </c>
      <c r="BT45" s="195" t="s">
        <v>1574</v>
      </c>
      <c r="BU45" s="195" t="s">
        <v>1575</v>
      </c>
      <c r="BV45" s="195" t="s">
        <v>1576</v>
      </c>
      <c r="BW45" s="195" t="s">
        <v>1577</v>
      </c>
      <c r="BX45" s="195" t="s">
        <v>1578</v>
      </c>
      <c r="BY45" s="195" t="s">
        <v>1579</v>
      </c>
      <c r="BZ45" s="195" t="s">
        <v>1580</v>
      </c>
      <c r="CA45" s="195" t="s">
        <v>1581</v>
      </c>
      <c r="CB45" s="195" t="s">
        <v>1582</v>
      </c>
      <c r="CC45" s="195" t="s">
        <v>1583</v>
      </c>
      <c r="CD45" s="198"/>
      <c r="CE45" s="198"/>
      <c r="CF45" s="198"/>
      <c r="CG45" s="198"/>
      <c r="CH45" s="198"/>
      <c r="CI45" s="199"/>
      <c r="CJ45" s="65" t="s">
        <v>1475</v>
      </c>
      <c r="CK45" s="65" t="s">
        <v>1476</v>
      </c>
      <c r="CL45" s="65" t="s">
        <v>1414</v>
      </c>
      <c r="CM45" s="65" t="s">
        <v>1415</v>
      </c>
      <c r="CN45" s="65">
        <v>913292932</v>
      </c>
      <c r="CO45" s="65" t="s">
        <v>1476</v>
      </c>
      <c r="CP45" s="65">
        <v>284800461</v>
      </c>
      <c r="CQ45" s="65" t="s">
        <v>1415</v>
      </c>
      <c r="CR45" s="65" t="s">
        <v>1216</v>
      </c>
      <c r="CS45" s="197">
        <v>44013</v>
      </c>
      <c r="CT45" s="65">
        <v>406.96249999999998</v>
      </c>
      <c r="CU45" s="198">
        <v>1.8599999999999998E-2</v>
      </c>
      <c r="CV45" s="198">
        <v>6.4000000000000001E-2</v>
      </c>
      <c r="CW45" s="198">
        <v>0.1242</v>
      </c>
      <c r="CX45" s="198">
        <v>0.1132</v>
      </c>
      <c r="CY45" s="198">
        <v>0.21179999999999999</v>
      </c>
      <c r="CZ45" s="198">
        <v>0.23880000000000001</v>
      </c>
      <c r="DA45" s="198">
        <v>0.2019</v>
      </c>
      <c r="DB45" s="198">
        <v>2.3099999999999999E-2</v>
      </c>
      <c r="DC45" s="198">
        <v>4.4000000000000003E-3</v>
      </c>
      <c r="DD45" s="198"/>
      <c r="DE45" s="198"/>
      <c r="DF45" s="198"/>
      <c r="DG45" s="198"/>
      <c r="DH45" s="198"/>
      <c r="DI45" s="198"/>
      <c r="DJ45" s="200"/>
    </row>
    <row r="46" spans="1:114" ht="15.75" customHeight="1" x14ac:dyDescent="0.2">
      <c r="A46" s="196"/>
      <c r="B46" s="196"/>
      <c r="C46" s="196"/>
      <c r="D46" s="196"/>
      <c r="E46" s="196"/>
      <c r="F46" s="196"/>
      <c r="G46" s="65" t="s">
        <v>1420</v>
      </c>
      <c r="H46" s="65" t="s">
        <v>59</v>
      </c>
      <c r="I46" s="65" t="s">
        <v>1369</v>
      </c>
      <c r="J46" s="65" t="s">
        <v>1370</v>
      </c>
      <c r="K46" s="65">
        <v>1195621598</v>
      </c>
      <c r="L46" s="65" t="s">
        <v>59</v>
      </c>
      <c r="M46" s="65">
        <v>1162116447</v>
      </c>
      <c r="N46" s="65" t="s">
        <v>1370</v>
      </c>
      <c r="O46" s="65" t="s">
        <v>1216</v>
      </c>
      <c r="P46" s="197">
        <v>44013</v>
      </c>
      <c r="Q46" s="65">
        <v>711.64070000000004</v>
      </c>
      <c r="R46" s="198">
        <v>1.03E-2</v>
      </c>
      <c r="S46" s="198">
        <v>3.6700000000000003E-2</v>
      </c>
      <c r="T46" s="198">
        <v>7.7799999999999994E-2</v>
      </c>
      <c r="U46" s="198">
        <v>7.9500000000000001E-2</v>
      </c>
      <c r="V46" s="198">
        <v>0.17599999999999999</v>
      </c>
      <c r="W46" s="198">
        <v>0.25580000000000003</v>
      </c>
      <c r="X46" s="198">
        <v>0.28520000000000001</v>
      </c>
      <c r="Y46" s="198">
        <v>5.3600000000000002E-2</v>
      </c>
      <c r="Z46" s="198">
        <v>2.5100000000000001E-2</v>
      </c>
      <c r="AA46" s="198"/>
      <c r="AB46" s="198"/>
      <c r="AC46" s="198"/>
      <c r="AD46" s="198"/>
      <c r="AE46" s="198"/>
      <c r="AF46" s="198"/>
      <c r="AG46" s="199"/>
      <c r="AH46" s="65" t="s">
        <v>1272</v>
      </c>
      <c r="AI46" s="65" t="s">
        <v>1273</v>
      </c>
      <c r="AJ46" s="65" t="s">
        <v>1274</v>
      </c>
      <c r="AK46" s="65" t="s">
        <v>1275</v>
      </c>
      <c r="AL46" s="65">
        <v>1265838130</v>
      </c>
      <c r="AM46" s="65" t="s">
        <v>1273</v>
      </c>
      <c r="AN46" s="65">
        <v>1181305700</v>
      </c>
      <c r="AO46" s="201" t="s">
        <v>1276</v>
      </c>
      <c r="AP46" s="65" t="s">
        <v>1216</v>
      </c>
      <c r="AQ46" s="197">
        <v>44013</v>
      </c>
      <c r="AR46" s="65">
        <v>568.3383</v>
      </c>
      <c r="AS46" s="198">
        <v>1.17E-2</v>
      </c>
      <c r="AT46" s="198">
        <v>4.1599999999999998E-2</v>
      </c>
      <c r="AU46" s="198">
        <v>8.6699999999999999E-2</v>
      </c>
      <c r="AV46" s="198">
        <v>8.6800000000000002E-2</v>
      </c>
      <c r="AW46" s="198">
        <v>0.1865</v>
      </c>
      <c r="AX46" s="198">
        <v>0.25890000000000002</v>
      </c>
      <c r="AY46" s="198">
        <v>0.27389999999999998</v>
      </c>
      <c r="AZ46" s="198">
        <v>4.4600000000000001E-2</v>
      </c>
      <c r="BA46" s="198">
        <v>9.2999999999999992E-3</v>
      </c>
      <c r="BB46" s="198"/>
      <c r="BC46" s="198"/>
      <c r="BD46" s="198"/>
      <c r="BE46" s="198"/>
      <c r="BF46" s="198"/>
      <c r="BG46" s="198"/>
      <c r="BH46" s="199"/>
      <c r="BI46" s="65" t="s">
        <v>1223</v>
      </c>
      <c r="BJ46" s="65" t="s">
        <v>1224</v>
      </c>
      <c r="BK46" s="65" t="s">
        <v>1225</v>
      </c>
      <c r="BL46" s="65" t="s">
        <v>1226</v>
      </c>
      <c r="BM46" s="65">
        <v>1003168863</v>
      </c>
      <c r="BN46" s="65" t="s">
        <v>1224</v>
      </c>
      <c r="BO46" s="65">
        <v>302647750</v>
      </c>
      <c r="BP46" s="65" t="s">
        <v>1227</v>
      </c>
      <c r="BQ46" s="65" t="s">
        <v>1216</v>
      </c>
      <c r="BR46" s="197">
        <v>44013</v>
      </c>
      <c r="BS46" s="65">
        <v>3156.2139999999999</v>
      </c>
      <c r="BT46" s="198">
        <v>4.7000000000000002E-3</v>
      </c>
      <c r="BU46" s="198">
        <v>2.1700000000000001E-2</v>
      </c>
      <c r="BV46" s="198">
        <v>5.1299999999999998E-2</v>
      </c>
      <c r="BW46" s="198">
        <v>5.6000000000000001E-2</v>
      </c>
      <c r="BX46" s="198">
        <v>0.13289999999999999</v>
      </c>
      <c r="BY46" s="198">
        <v>0.20810000000000001</v>
      </c>
      <c r="BZ46" s="198">
        <v>0.24149999999999999</v>
      </c>
      <c r="CA46" s="198">
        <v>0.112</v>
      </c>
      <c r="CB46" s="198">
        <v>0.16089999999999999</v>
      </c>
      <c r="CC46" s="198">
        <v>1.09E-2</v>
      </c>
      <c r="CD46" s="198"/>
      <c r="CE46" s="198"/>
      <c r="CF46" s="198"/>
      <c r="CG46" s="198"/>
      <c r="CH46" s="198"/>
      <c r="CI46" s="199"/>
      <c r="CJ46" s="65" t="s">
        <v>1485</v>
      </c>
      <c r="CK46" s="65" t="s">
        <v>1486</v>
      </c>
      <c r="CL46" s="65" t="s">
        <v>1285</v>
      </c>
      <c r="CM46" s="65" t="s">
        <v>1286</v>
      </c>
      <c r="CN46" s="65">
        <v>1128416098</v>
      </c>
      <c r="CO46" s="65" t="s">
        <v>1486</v>
      </c>
      <c r="CP46" s="65">
        <v>307749755</v>
      </c>
      <c r="CQ46" s="201" t="s">
        <v>1487</v>
      </c>
      <c r="CR46" s="65" t="s">
        <v>1216</v>
      </c>
      <c r="CS46" s="197">
        <v>44013</v>
      </c>
      <c r="CT46" s="65">
        <v>350.39350000000002</v>
      </c>
      <c r="CU46" s="198">
        <v>2.12E-2</v>
      </c>
      <c r="CV46" s="198">
        <v>7.2300000000000003E-2</v>
      </c>
      <c r="CW46" s="198">
        <v>0.13719999999999999</v>
      </c>
      <c r="CX46" s="198">
        <v>0.1215</v>
      </c>
      <c r="CY46" s="198">
        <v>0.21790000000000001</v>
      </c>
      <c r="CZ46" s="198">
        <v>0.23019999999999999</v>
      </c>
      <c r="DA46" s="198">
        <v>0.18099999999999999</v>
      </c>
      <c r="DB46" s="198">
        <v>1.7500000000000002E-2</v>
      </c>
      <c r="DC46" s="198">
        <v>1.1999999999999999E-3</v>
      </c>
      <c r="DD46" s="198"/>
      <c r="DE46" s="198"/>
      <c r="DF46" s="198"/>
      <c r="DG46" s="198"/>
      <c r="DH46" s="198"/>
      <c r="DI46" s="198"/>
      <c r="DJ46" s="200"/>
    </row>
    <row r="47" spans="1:114" ht="15.75" customHeight="1" x14ac:dyDescent="0.2">
      <c r="A47" s="196"/>
      <c r="B47" s="196"/>
      <c r="C47" s="196"/>
      <c r="D47" s="196"/>
      <c r="E47" s="196"/>
      <c r="F47" s="196"/>
      <c r="G47" s="65" t="s">
        <v>1428</v>
      </c>
      <c r="H47" s="65" t="s">
        <v>1429</v>
      </c>
      <c r="I47" s="65" t="s">
        <v>1235</v>
      </c>
      <c r="J47" s="65" t="s">
        <v>1236</v>
      </c>
      <c r="K47" s="65">
        <v>1200391796</v>
      </c>
      <c r="L47" s="65" t="s">
        <v>1429</v>
      </c>
      <c r="M47" s="65">
        <v>461402737</v>
      </c>
      <c r="N47" s="65" t="s">
        <v>1430</v>
      </c>
      <c r="O47" s="65" t="s">
        <v>1216</v>
      </c>
      <c r="P47" s="197">
        <v>44013</v>
      </c>
      <c r="Q47" s="65">
        <v>659.69839999999999</v>
      </c>
      <c r="R47" s="198">
        <v>9.7999999999999997E-3</v>
      </c>
      <c r="S47" s="198">
        <v>3.5099999999999999E-2</v>
      </c>
      <c r="T47" s="198">
        <v>7.4999999999999997E-2</v>
      </c>
      <c r="U47" s="198">
        <v>7.7499999999999999E-2</v>
      </c>
      <c r="V47" s="198">
        <v>0.17449999999999999</v>
      </c>
      <c r="W47" s="198">
        <v>0.25969999999999999</v>
      </c>
      <c r="X47" s="198">
        <v>0.29620000000000002</v>
      </c>
      <c r="Y47" s="198">
        <v>5.5800000000000002E-2</v>
      </c>
      <c r="Z47" s="198">
        <v>1.6299999999999999E-2</v>
      </c>
      <c r="AA47" s="198"/>
      <c r="AB47" s="198"/>
      <c r="AC47" s="198"/>
      <c r="AD47" s="198"/>
      <c r="AE47" s="198"/>
      <c r="AF47" s="198"/>
      <c r="AG47" s="199"/>
      <c r="AH47" s="65" t="s">
        <v>1289</v>
      </c>
      <c r="AI47" s="65" t="s">
        <v>1290</v>
      </c>
      <c r="AJ47" s="65" t="s">
        <v>1291</v>
      </c>
      <c r="AK47" s="65" t="s">
        <v>1292</v>
      </c>
      <c r="AL47" s="65">
        <v>547305617</v>
      </c>
      <c r="AM47" s="65" t="s">
        <v>1293</v>
      </c>
      <c r="AN47" s="65">
        <v>290671617</v>
      </c>
      <c r="AO47" s="65" t="s">
        <v>1294</v>
      </c>
      <c r="AP47" s="65" t="s">
        <v>1216</v>
      </c>
      <c r="AQ47" s="197">
        <v>44013</v>
      </c>
      <c r="AR47" s="65">
        <v>575.72990000000004</v>
      </c>
      <c r="AS47" s="198">
        <v>1.1900000000000001E-2</v>
      </c>
      <c r="AT47" s="198">
        <v>4.2000000000000003E-2</v>
      </c>
      <c r="AU47" s="198">
        <v>8.7400000000000005E-2</v>
      </c>
      <c r="AV47" s="198">
        <v>8.7300000000000003E-2</v>
      </c>
      <c r="AW47" s="198">
        <v>0.18679999999999999</v>
      </c>
      <c r="AX47" s="198">
        <v>0.25779999999999997</v>
      </c>
      <c r="AY47" s="198">
        <v>0.27139999999999997</v>
      </c>
      <c r="AZ47" s="198">
        <v>4.4400000000000002E-2</v>
      </c>
      <c r="BA47" s="198">
        <v>1.11E-2</v>
      </c>
      <c r="BB47" s="198"/>
      <c r="BC47" s="198"/>
      <c r="BD47" s="198"/>
      <c r="BE47" s="198"/>
      <c r="BF47" s="198"/>
      <c r="BG47" s="198"/>
      <c r="BH47" s="199"/>
      <c r="BI47" s="65" t="s">
        <v>1242</v>
      </c>
      <c r="BJ47" s="65" t="s">
        <v>1243</v>
      </c>
      <c r="BK47" s="65" t="s">
        <v>1244</v>
      </c>
      <c r="BL47" s="65" t="s">
        <v>1245</v>
      </c>
      <c r="BM47" s="65">
        <v>1117841866</v>
      </c>
      <c r="BN47" s="65" t="s">
        <v>1246</v>
      </c>
      <c r="BO47" s="65">
        <v>791124596</v>
      </c>
      <c r="BP47" s="65" t="s">
        <v>1247</v>
      </c>
      <c r="BQ47" s="65" t="s">
        <v>1216</v>
      </c>
      <c r="BR47" s="197">
        <v>44013</v>
      </c>
      <c r="BS47" s="65">
        <v>3507.2662999999998</v>
      </c>
      <c r="BT47" s="198">
        <v>4.3E-3</v>
      </c>
      <c r="BU47" s="198">
        <v>2.1899999999999999E-2</v>
      </c>
      <c r="BV47" s="198">
        <v>5.4300000000000001E-2</v>
      </c>
      <c r="BW47" s="198">
        <v>5.9400000000000001E-2</v>
      </c>
      <c r="BX47" s="198">
        <v>0.13730000000000001</v>
      </c>
      <c r="BY47" s="198">
        <v>0.20169999999999999</v>
      </c>
      <c r="BZ47" s="198">
        <v>0.2097</v>
      </c>
      <c r="CA47" s="198">
        <v>0.1089</v>
      </c>
      <c r="CB47" s="198">
        <v>0.18840000000000001</v>
      </c>
      <c r="CC47" s="198">
        <v>1.3899999999999999E-2</v>
      </c>
      <c r="CD47" s="198"/>
      <c r="CE47" s="198"/>
      <c r="CF47" s="198"/>
      <c r="CG47" s="198"/>
      <c r="CH47" s="198"/>
      <c r="CI47" s="199"/>
      <c r="CJ47" s="65" t="s">
        <v>1495</v>
      </c>
      <c r="CK47" s="65" t="s">
        <v>1496</v>
      </c>
      <c r="CL47" s="65" t="s">
        <v>1414</v>
      </c>
      <c r="CM47" s="65" t="s">
        <v>1415</v>
      </c>
      <c r="CN47" s="65">
        <v>1144258115</v>
      </c>
      <c r="CO47" s="65" t="s">
        <v>1496</v>
      </c>
      <c r="CP47" s="65">
        <v>284800461</v>
      </c>
      <c r="CQ47" s="65" t="s">
        <v>1415</v>
      </c>
      <c r="CR47" s="65" t="s">
        <v>1216</v>
      </c>
      <c r="CS47" s="197">
        <v>44013</v>
      </c>
      <c r="CT47" s="65">
        <v>424.22210000000001</v>
      </c>
      <c r="CU47" s="198">
        <v>1.7600000000000001E-2</v>
      </c>
      <c r="CV47" s="198">
        <v>6.0900000000000003E-2</v>
      </c>
      <c r="CW47" s="198">
        <v>0.1192</v>
      </c>
      <c r="CX47" s="198">
        <v>0.11</v>
      </c>
      <c r="CY47" s="198">
        <v>0.20930000000000001</v>
      </c>
      <c r="CZ47" s="198">
        <v>0.24229999999999999</v>
      </c>
      <c r="DA47" s="198">
        <v>0.2109</v>
      </c>
      <c r="DB47" s="198">
        <v>2.52E-2</v>
      </c>
      <c r="DC47" s="198">
        <v>4.7000000000000002E-3</v>
      </c>
      <c r="DD47" s="198"/>
      <c r="DE47" s="198"/>
      <c r="DF47" s="198"/>
      <c r="DG47" s="198"/>
      <c r="DH47" s="198"/>
      <c r="DI47" s="198"/>
      <c r="DJ47" s="200"/>
    </row>
    <row r="48" spans="1:114" ht="15.75" customHeight="1" x14ac:dyDescent="0.2">
      <c r="A48" s="196"/>
      <c r="B48" s="196"/>
      <c r="C48" s="196"/>
      <c r="D48" s="196"/>
      <c r="E48" s="196"/>
      <c r="F48" s="196"/>
      <c r="G48" s="65" t="s">
        <v>1441</v>
      </c>
      <c r="H48" s="65" t="s">
        <v>1442</v>
      </c>
      <c r="I48" s="65" t="s">
        <v>1258</v>
      </c>
      <c r="J48" s="65" t="s">
        <v>1259</v>
      </c>
      <c r="K48" s="65">
        <v>1223414680</v>
      </c>
      <c r="L48" s="65" t="s">
        <v>1443</v>
      </c>
      <c r="M48" s="65">
        <v>489487383</v>
      </c>
      <c r="N48" s="65" t="s">
        <v>1436</v>
      </c>
      <c r="O48" s="65" t="s">
        <v>1216</v>
      </c>
      <c r="P48" s="197">
        <v>44013</v>
      </c>
      <c r="Q48" s="65">
        <v>545.8433</v>
      </c>
      <c r="R48" s="198">
        <v>1.3599999999999999E-2</v>
      </c>
      <c r="S48" s="198">
        <v>4.7800000000000002E-2</v>
      </c>
      <c r="T48" s="198">
        <v>9.74E-2</v>
      </c>
      <c r="U48" s="198">
        <v>9.4600000000000004E-2</v>
      </c>
      <c r="V48" s="198">
        <v>0.19450000000000001</v>
      </c>
      <c r="W48" s="198">
        <v>0.25269999999999998</v>
      </c>
      <c r="X48" s="198">
        <v>0.24959999999999999</v>
      </c>
      <c r="Y48" s="198">
        <v>3.7600000000000001E-2</v>
      </c>
      <c r="Z48" s="198">
        <v>1.2200000000000001E-2</v>
      </c>
      <c r="AA48" s="198"/>
      <c r="AB48" s="198"/>
      <c r="AC48" s="198"/>
      <c r="AD48" s="198"/>
      <c r="AE48" s="198"/>
      <c r="AF48" s="198"/>
      <c r="AG48" s="199"/>
      <c r="AH48" s="65" t="s">
        <v>1304</v>
      </c>
      <c r="AI48" s="65" t="s">
        <v>1305</v>
      </c>
      <c r="AJ48" s="65" t="s">
        <v>1235</v>
      </c>
      <c r="AK48" s="65" t="s">
        <v>1236</v>
      </c>
      <c r="AL48" s="65">
        <v>603097018</v>
      </c>
      <c r="AM48" s="65" t="s">
        <v>1306</v>
      </c>
      <c r="AN48" s="65">
        <v>447553567</v>
      </c>
      <c r="AO48" s="65" t="s">
        <v>1236</v>
      </c>
      <c r="AP48" s="65" t="s">
        <v>1216</v>
      </c>
      <c r="AQ48" s="197">
        <v>44013</v>
      </c>
      <c r="AR48" s="65">
        <v>467.44549999999998</v>
      </c>
      <c r="AS48" s="198">
        <v>1.72E-2</v>
      </c>
      <c r="AT48" s="198">
        <v>5.96E-2</v>
      </c>
      <c r="AU48" s="198">
        <v>0.11700000000000001</v>
      </c>
      <c r="AV48" s="198">
        <v>0.10829999999999999</v>
      </c>
      <c r="AW48" s="198">
        <v>0.2072</v>
      </c>
      <c r="AX48" s="198">
        <v>0.24179999999999999</v>
      </c>
      <c r="AY48" s="198">
        <v>0.21260000000000001</v>
      </c>
      <c r="AZ48" s="198">
        <v>2.6599999999999999E-2</v>
      </c>
      <c r="BA48" s="198">
        <v>9.5999999999999992E-3</v>
      </c>
      <c r="BB48" s="198"/>
      <c r="BC48" s="198"/>
      <c r="BD48" s="198"/>
      <c r="BE48" s="198"/>
      <c r="BF48" s="198"/>
      <c r="BG48" s="198"/>
      <c r="BH48" s="199"/>
      <c r="BI48" s="65" t="s">
        <v>1261</v>
      </c>
      <c r="BJ48" s="65" t="s">
        <v>1262</v>
      </c>
      <c r="BK48" s="65" t="s">
        <v>1263</v>
      </c>
      <c r="BL48" s="65" t="s">
        <v>1264</v>
      </c>
      <c r="BM48" s="65">
        <v>1358222641</v>
      </c>
      <c r="BN48" s="65" t="s">
        <v>1262</v>
      </c>
      <c r="BO48" s="65">
        <v>352305770</v>
      </c>
      <c r="BP48" s="65" t="s">
        <v>1264</v>
      </c>
      <c r="BQ48" s="65" t="s">
        <v>1216</v>
      </c>
      <c r="BR48" s="197">
        <v>44013</v>
      </c>
      <c r="BS48" s="65">
        <v>2597.0992000000001</v>
      </c>
      <c r="BT48" s="198">
        <v>4.7000000000000002E-3</v>
      </c>
      <c r="BU48" s="198">
        <v>2.23E-2</v>
      </c>
      <c r="BV48" s="198">
        <v>5.3199999999999997E-2</v>
      </c>
      <c r="BW48" s="198">
        <v>5.79E-2</v>
      </c>
      <c r="BX48" s="198">
        <v>0.1363</v>
      </c>
      <c r="BY48" s="198">
        <v>0.20960000000000001</v>
      </c>
      <c r="BZ48" s="198">
        <v>0.23649999999999999</v>
      </c>
      <c r="CA48" s="198">
        <v>0.11210000000000001</v>
      </c>
      <c r="CB48" s="198">
        <v>0.16089999999999999</v>
      </c>
      <c r="CC48" s="198">
        <v>6.6E-3</v>
      </c>
      <c r="CD48" s="198"/>
      <c r="CE48" s="198"/>
      <c r="CF48" s="198"/>
      <c r="CG48" s="198"/>
      <c r="CH48" s="198"/>
      <c r="CI48" s="199"/>
      <c r="CJ48" s="65"/>
      <c r="CK48" s="65"/>
      <c r="CL48" s="65"/>
      <c r="CM48" s="65"/>
      <c r="CN48" s="65"/>
      <c r="CO48" s="65"/>
      <c r="CP48" s="65"/>
      <c r="CQ48" s="65"/>
      <c r="CR48" s="65"/>
      <c r="CS48" s="202" t="s">
        <v>1584</v>
      </c>
      <c r="CT48" s="202">
        <f>AVERAGE(CT28:CT47)</f>
        <v>465.20348000000013</v>
      </c>
      <c r="CU48" s="198"/>
      <c r="CV48" s="198"/>
      <c r="CW48" s="198"/>
      <c r="CX48" s="198"/>
      <c r="CY48" s="198"/>
      <c r="CZ48" s="198"/>
      <c r="DA48" s="198"/>
      <c r="DB48" s="198"/>
      <c r="DC48" s="198"/>
      <c r="DD48" s="198"/>
      <c r="DE48" s="198"/>
      <c r="DF48" s="198"/>
      <c r="DG48" s="198"/>
      <c r="DH48" s="198"/>
      <c r="DI48" s="198"/>
      <c r="DJ48" s="200"/>
    </row>
    <row r="49" spans="1:114" ht="15.75" customHeight="1" x14ac:dyDescent="0.2">
      <c r="A49" s="196"/>
      <c r="B49" s="196"/>
      <c r="C49" s="196"/>
      <c r="D49" s="196"/>
      <c r="E49" s="196"/>
      <c r="F49" s="196"/>
      <c r="G49" s="65" t="s">
        <v>1456</v>
      </c>
      <c r="H49" s="65" t="s">
        <v>1457</v>
      </c>
      <c r="I49" s="65" t="s">
        <v>1458</v>
      </c>
      <c r="J49" s="65" t="s">
        <v>1459</v>
      </c>
      <c r="K49" s="65">
        <v>1437783446</v>
      </c>
      <c r="L49" s="65" t="s">
        <v>1457</v>
      </c>
      <c r="M49" s="65">
        <v>308973149</v>
      </c>
      <c r="N49" s="65" t="s">
        <v>1459</v>
      </c>
      <c r="O49" s="65" t="s">
        <v>1216</v>
      </c>
      <c r="P49" s="197">
        <v>44013</v>
      </c>
      <c r="Q49" s="65">
        <v>947.15869999999995</v>
      </c>
      <c r="R49" s="198">
        <v>7.4000000000000003E-3</v>
      </c>
      <c r="S49" s="198">
        <v>2.69E-2</v>
      </c>
      <c r="T49" s="198">
        <v>5.9299999999999999E-2</v>
      </c>
      <c r="U49" s="198">
        <v>6.3899999999999998E-2</v>
      </c>
      <c r="V49" s="198">
        <v>0.1532</v>
      </c>
      <c r="W49" s="198">
        <v>0.25059999999999999</v>
      </c>
      <c r="X49" s="198">
        <v>0.317</v>
      </c>
      <c r="Y49" s="198">
        <v>7.51E-2</v>
      </c>
      <c r="Z49" s="198">
        <v>4.6600000000000003E-2</v>
      </c>
      <c r="AA49" s="198"/>
      <c r="AB49" s="198"/>
      <c r="AC49" s="198"/>
      <c r="AD49" s="198"/>
      <c r="AE49" s="198"/>
      <c r="AF49" s="198"/>
      <c r="AG49" s="199"/>
      <c r="AH49" s="65" t="s">
        <v>1319</v>
      </c>
      <c r="AI49" s="65" t="s">
        <v>1320</v>
      </c>
      <c r="AJ49" s="65" t="s">
        <v>1321</v>
      </c>
      <c r="AK49" s="65" t="s">
        <v>1322</v>
      </c>
      <c r="AL49" s="65">
        <v>915469477</v>
      </c>
      <c r="AM49" s="65" t="s">
        <v>1323</v>
      </c>
      <c r="AN49" s="65">
        <v>354731085</v>
      </c>
      <c r="AO49" s="65" t="s">
        <v>1324</v>
      </c>
      <c r="AP49" s="65" t="s">
        <v>1216</v>
      </c>
      <c r="AQ49" s="197">
        <v>44013</v>
      </c>
      <c r="AR49" s="65">
        <v>360.9298</v>
      </c>
      <c r="AS49" s="198">
        <v>2.1000000000000001E-2</v>
      </c>
      <c r="AT49" s="198">
        <v>7.1900000000000006E-2</v>
      </c>
      <c r="AU49" s="198">
        <v>0.13650000000000001</v>
      </c>
      <c r="AV49" s="198">
        <v>0.121</v>
      </c>
      <c r="AW49" s="198">
        <v>0.21709999999999999</v>
      </c>
      <c r="AX49" s="198">
        <v>0.22989999999999999</v>
      </c>
      <c r="AY49" s="198">
        <v>0.18149999999999999</v>
      </c>
      <c r="AZ49" s="198">
        <v>1.84E-2</v>
      </c>
      <c r="BA49" s="198">
        <v>2.7000000000000001E-3</v>
      </c>
      <c r="BB49" s="198"/>
      <c r="BC49" s="198"/>
      <c r="BD49" s="198"/>
      <c r="BE49" s="198"/>
      <c r="BF49" s="198"/>
      <c r="BG49" s="198"/>
      <c r="BH49" s="199"/>
      <c r="BI49" s="65" t="s">
        <v>1277</v>
      </c>
      <c r="BJ49" s="65" t="s">
        <v>1278</v>
      </c>
      <c r="BK49" s="65" t="s">
        <v>1279</v>
      </c>
      <c r="BL49" s="65" t="s">
        <v>1280</v>
      </c>
      <c r="BM49" s="65">
        <v>1375425432</v>
      </c>
      <c r="BN49" s="65" t="s">
        <v>1281</v>
      </c>
      <c r="BO49" s="65">
        <v>982119759</v>
      </c>
      <c r="BP49" s="65" t="s">
        <v>1282</v>
      </c>
      <c r="BQ49" s="65" t="s">
        <v>1216</v>
      </c>
      <c r="BR49" s="197">
        <v>44013</v>
      </c>
      <c r="BS49" s="65">
        <v>2304.8274999999999</v>
      </c>
      <c r="BT49" s="198">
        <v>5.5999999999999999E-3</v>
      </c>
      <c r="BU49" s="198">
        <v>2.63E-2</v>
      </c>
      <c r="BV49" s="198">
        <v>6.13E-2</v>
      </c>
      <c r="BW49" s="198">
        <v>6.5100000000000005E-2</v>
      </c>
      <c r="BX49" s="198">
        <v>0.14779999999999999</v>
      </c>
      <c r="BY49" s="198">
        <v>0.2152</v>
      </c>
      <c r="BZ49" s="198">
        <v>0.22819999999999999</v>
      </c>
      <c r="CA49" s="198">
        <v>0.1033</v>
      </c>
      <c r="CB49" s="198">
        <v>0.1416</v>
      </c>
      <c r="CC49" s="198">
        <v>5.5999999999999999E-3</v>
      </c>
      <c r="CD49" s="198"/>
      <c r="CE49" s="198"/>
      <c r="CF49" s="198"/>
      <c r="CG49" s="198"/>
      <c r="CH49" s="198"/>
      <c r="CI49" s="199"/>
      <c r="CJ49" s="65"/>
      <c r="CK49" s="65"/>
      <c r="CL49" s="65"/>
      <c r="CM49" s="65"/>
      <c r="CN49" s="65"/>
      <c r="CO49" s="65"/>
      <c r="CP49" s="65"/>
      <c r="CQ49" s="65"/>
      <c r="CR49" s="65"/>
      <c r="CS49" s="202" t="s">
        <v>1585</v>
      </c>
      <c r="CT49" s="202">
        <f>CT48/60</f>
        <v>7.7533913333333357</v>
      </c>
      <c r="CU49" s="198"/>
      <c r="CV49" s="198"/>
      <c r="CW49" s="198"/>
      <c r="CX49" s="198"/>
      <c r="CY49" s="198"/>
      <c r="CZ49" s="198"/>
      <c r="DA49" s="198"/>
      <c r="DB49" s="198"/>
      <c r="DC49" s="198"/>
      <c r="DD49" s="198"/>
      <c r="DE49" s="198"/>
      <c r="DF49" s="198"/>
      <c r="DG49" s="198"/>
      <c r="DH49" s="198"/>
      <c r="DI49" s="198"/>
      <c r="DJ49" s="200"/>
    </row>
    <row r="50" spans="1:114" ht="15.75" customHeight="1" x14ac:dyDescent="0.15">
      <c r="A50" s="196"/>
      <c r="B50" s="196"/>
      <c r="C50" s="196"/>
      <c r="D50" s="196"/>
      <c r="E50" s="196"/>
      <c r="F50" s="196"/>
      <c r="G50" s="65" t="s">
        <v>1469</v>
      </c>
      <c r="H50" s="65" t="s">
        <v>1470</v>
      </c>
      <c r="I50" s="65" t="s">
        <v>1254</v>
      </c>
      <c r="J50" s="65" t="s">
        <v>1255</v>
      </c>
      <c r="K50" s="65">
        <v>572821456</v>
      </c>
      <c r="L50" s="65" t="s">
        <v>1470</v>
      </c>
      <c r="M50" s="65">
        <v>526656015</v>
      </c>
      <c r="N50" s="65" t="s">
        <v>1255</v>
      </c>
      <c r="O50" s="65" t="s">
        <v>1216</v>
      </c>
      <c r="P50" s="197">
        <v>44013</v>
      </c>
      <c r="Q50" s="65">
        <v>587.77099999999996</v>
      </c>
      <c r="R50" s="198">
        <v>9.2999999999999992E-3</v>
      </c>
      <c r="S50" s="198">
        <v>4.1500000000000002E-2</v>
      </c>
      <c r="T50" s="198">
        <v>8.7499999999999994E-2</v>
      </c>
      <c r="U50" s="198">
        <v>8.7400000000000005E-2</v>
      </c>
      <c r="V50" s="198">
        <v>0.18690000000000001</v>
      </c>
      <c r="W50" s="198">
        <v>0.2581</v>
      </c>
      <c r="X50" s="198">
        <v>0.27179999999999999</v>
      </c>
      <c r="Y50" s="198">
        <v>4.4900000000000002E-2</v>
      </c>
      <c r="Z50" s="198">
        <v>1.2699999999999999E-2</v>
      </c>
      <c r="AA50" s="198"/>
      <c r="AB50" s="198"/>
      <c r="AC50" s="198"/>
      <c r="AD50" s="198"/>
      <c r="AE50" s="198"/>
      <c r="AF50" s="198"/>
      <c r="AG50" s="199"/>
      <c r="AH50" s="65" t="s">
        <v>1339</v>
      </c>
      <c r="AI50" s="65" t="s">
        <v>1340</v>
      </c>
      <c r="AJ50" s="65" t="s">
        <v>1341</v>
      </c>
      <c r="AK50" s="65" t="s">
        <v>1342</v>
      </c>
      <c r="AL50" s="65">
        <v>1404165333</v>
      </c>
      <c r="AM50" s="65" t="s">
        <v>1343</v>
      </c>
      <c r="AN50" s="65">
        <v>1241617493</v>
      </c>
      <c r="AO50" s="65" t="s">
        <v>1342</v>
      </c>
      <c r="AP50" s="65" t="s">
        <v>1216</v>
      </c>
      <c r="AQ50" s="197">
        <v>44013</v>
      </c>
      <c r="AR50" s="65">
        <v>988.61270000000002</v>
      </c>
      <c r="AS50" s="198">
        <v>7.9000000000000008E-3</v>
      </c>
      <c r="AT50" s="198">
        <v>2.8400000000000002E-2</v>
      </c>
      <c r="AU50" s="198">
        <v>6.2100000000000002E-2</v>
      </c>
      <c r="AV50" s="198">
        <v>6.6199999999999995E-2</v>
      </c>
      <c r="AW50" s="198">
        <v>0.15620000000000001</v>
      </c>
      <c r="AX50" s="198">
        <v>0.2495</v>
      </c>
      <c r="AY50" s="198">
        <v>0.30819999999999997</v>
      </c>
      <c r="AZ50" s="198">
        <v>7.0800000000000002E-2</v>
      </c>
      <c r="BA50" s="198">
        <v>5.0799999999999998E-2</v>
      </c>
      <c r="BB50" s="198"/>
      <c r="BC50" s="198"/>
      <c r="BD50" s="198"/>
      <c r="BE50" s="198"/>
      <c r="BF50" s="198"/>
      <c r="BG50" s="198"/>
      <c r="BH50" s="199"/>
      <c r="BI50" s="65" t="s">
        <v>1295</v>
      </c>
      <c r="BJ50" s="65" t="s">
        <v>1296</v>
      </c>
      <c r="BK50" s="65" t="s">
        <v>1250</v>
      </c>
      <c r="BL50" s="65" t="s">
        <v>1251</v>
      </c>
      <c r="BM50" s="65">
        <v>1181774280</v>
      </c>
      <c r="BN50" s="65" t="s">
        <v>1296</v>
      </c>
      <c r="BO50" s="65">
        <v>1062496488</v>
      </c>
      <c r="BP50" s="65" t="s">
        <v>1251</v>
      </c>
      <c r="BQ50" s="65" t="s">
        <v>1216</v>
      </c>
      <c r="BR50" s="197">
        <v>44013</v>
      </c>
      <c r="BS50" s="65">
        <v>2502.6214</v>
      </c>
      <c r="BT50" s="198">
        <v>7.6E-3</v>
      </c>
      <c r="BU50" s="198">
        <v>3.56E-2</v>
      </c>
      <c r="BV50" s="198">
        <v>8.0500000000000002E-2</v>
      </c>
      <c r="BW50" s="198">
        <v>8.1199999999999994E-2</v>
      </c>
      <c r="BX50" s="198">
        <v>0.16950000000000001</v>
      </c>
      <c r="BY50" s="198">
        <v>0.21640000000000001</v>
      </c>
      <c r="BZ50" s="198">
        <v>0.1943</v>
      </c>
      <c r="CA50" s="198">
        <v>8.5599999999999996E-2</v>
      </c>
      <c r="CB50" s="198">
        <v>0.12039999999999999</v>
      </c>
      <c r="CC50" s="198">
        <v>8.9999999999999993E-3</v>
      </c>
      <c r="CD50" s="198"/>
      <c r="CE50" s="198"/>
      <c r="CF50" s="198"/>
      <c r="CG50" s="198"/>
      <c r="CH50" s="198"/>
      <c r="CI50" s="199"/>
      <c r="CJ50" s="192" t="s">
        <v>1573</v>
      </c>
      <c r="CK50" s="192"/>
      <c r="CL50" s="192"/>
      <c r="CM50" s="192"/>
      <c r="CN50" s="192"/>
      <c r="CO50" s="192"/>
      <c r="CP50" s="192"/>
      <c r="CQ50" s="192"/>
      <c r="CR50" s="192"/>
      <c r="CS50" s="194"/>
      <c r="CT50" s="192"/>
      <c r="CU50" s="195"/>
      <c r="CV50" s="195"/>
      <c r="CW50" s="195"/>
      <c r="CX50" s="195"/>
      <c r="CY50" s="195"/>
      <c r="CZ50" s="195"/>
      <c r="DA50" s="195"/>
      <c r="DB50" s="195"/>
      <c r="DC50" s="195"/>
      <c r="DD50" s="195"/>
      <c r="DE50" s="198"/>
      <c r="DF50" s="198"/>
      <c r="DG50" s="198"/>
      <c r="DH50" s="198"/>
      <c r="DI50" s="198"/>
      <c r="DJ50" s="12"/>
    </row>
    <row r="51" spans="1:114" ht="15.75" customHeight="1" x14ac:dyDescent="0.15">
      <c r="A51" s="196"/>
      <c r="B51" s="196"/>
      <c r="C51" s="196"/>
      <c r="D51" s="196"/>
      <c r="E51" s="196"/>
      <c r="F51" s="196"/>
      <c r="G51" s="65" t="s">
        <v>1477</v>
      </c>
      <c r="H51" s="65" t="s">
        <v>1478</v>
      </c>
      <c r="I51" s="65" t="s">
        <v>1291</v>
      </c>
      <c r="J51" s="65" t="s">
        <v>1292</v>
      </c>
      <c r="K51" s="65">
        <v>700970012</v>
      </c>
      <c r="L51" s="65" t="s">
        <v>1478</v>
      </c>
      <c r="M51" s="65">
        <v>290671617</v>
      </c>
      <c r="N51" s="65" t="s">
        <v>1294</v>
      </c>
      <c r="O51" s="65" t="s">
        <v>1216</v>
      </c>
      <c r="P51" s="197">
        <v>44013</v>
      </c>
      <c r="Q51" s="65">
        <v>625.57569999999998</v>
      </c>
      <c r="R51" s="198">
        <v>1.0500000000000001E-2</v>
      </c>
      <c r="S51" s="198">
        <v>3.7499999999999999E-2</v>
      </c>
      <c r="T51" s="198">
        <v>7.9399999999999998E-2</v>
      </c>
      <c r="U51" s="198">
        <v>8.1000000000000003E-2</v>
      </c>
      <c r="V51" s="198">
        <v>0.17910000000000001</v>
      </c>
      <c r="W51" s="198">
        <v>0.25950000000000001</v>
      </c>
      <c r="X51" s="198">
        <v>0.28760000000000002</v>
      </c>
      <c r="Y51" s="198">
        <v>5.1400000000000001E-2</v>
      </c>
      <c r="Z51" s="198">
        <v>1.38E-2</v>
      </c>
      <c r="AA51" s="198"/>
      <c r="AB51" s="198"/>
      <c r="AC51" s="198"/>
      <c r="AD51" s="198"/>
      <c r="AE51" s="198"/>
      <c r="AF51" s="198"/>
      <c r="AG51" s="199"/>
      <c r="AH51" s="65" t="s">
        <v>1353</v>
      </c>
      <c r="AI51" s="65" t="s">
        <v>1354</v>
      </c>
      <c r="AJ51" s="65" t="s">
        <v>1355</v>
      </c>
      <c r="AK51" s="65" t="s">
        <v>1356</v>
      </c>
      <c r="AL51" s="65">
        <v>485126024</v>
      </c>
      <c r="AM51" s="65" t="s">
        <v>1354</v>
      </c>
      <c r="AN51" s="65">
        <v>485126027</v>
      </c>
      <c r="AO51" s="65" t="s">
        <v>1357</v>
      </c>
      <c r="AP51" s="65" t="s">
        <v>1216</v>
      </c>
      <c r="AQ51" s="197">
        <v>44013</v>
      </c>
      <c r="AR51" s="65">
        <v>806.10550000000001</v>
      </c>
      <c r="AS51" s="198">
        <v>1.1299999999999999E-2</v>
      </c>
      <c r="AT51" s="198">
        <v>4.0099999999999997E-2</v>
      </c>
      <c r="AU51" s="198">
        <v>8.3699999999999997E-2</v>
      </c>
      <c r="AV51" s="198">
        <v>8.3799999999999999E-2</v>
      </c>
      <c r="AW51" s="198">
        <v>0.18029999999999999</v>
      </c>
      <c r="AX51" s="198">
        <v>0.25119999999999998</v>
      </c>
      <c r="AY51" s="198">
        <v>0.26790000000000003</v>
      </c>
      <c r="AZ51" s="198">
        <v>4.7800000000000002E-2</v>
      </c>
      <c r="BA51" s="198">
        <v>3.3799999999999997E-2</v>
      </c>
      <c r="BB51" s="198"/>
      <c r="BC51" s="198"/>
      <c r="BD51" s="198"/>
      <c r="BE51" s="198"/>
      <c r="BF51" s="198"/>
      <c r="BG51" s="198"/>
      <c r="BH51" s="199"/>
      <c r="BI51" s="65" t="s">
        <v>1307</v>
      </c>
      <c r="BJ51" s="65" t="s">
        <v>1308</v>
      </c>
      <c r="BK51" s="65" t="s">
        <v>1309</v>
      </c>
      <c r="BL51" s="65" t="s">
        <v>1310</v>
      </c>
      <c r="BM51" s="65">
        <v>1186994231</v>
      </c>
      <c r="BN51" s="65" t="s">
        <v>1308</v>
      </c>
      <c r="BO51" s="65">
        <v>1140629705</v>
      </c>
      <c r="BP51" s="65" t="s">
        <v>1311</v>
      </c>
      <c r="BQ51" s="65" t="s">
        <v>1216</v>
      </c>
      <c r="BR51" s="197">
        <v>44013</v>
      </c>
      <c r="BS51" s="65">
        <v>3580.3670000000002</v>
      </c>
      <c r="BT51" s="198">
        <v>2.5999999999999999E-3</v>
      </c>
      <c r="BU51" s="198">
        <v>1.77E-2</v>
      </c>
      <c r="BV51" s="198">
        <v>4.9799999999999997E-2</v>
      </c>
      <c r="BW51" s="198">
        <v>5.7000000000000002E-2</v>
      </c>
      <c r="BX51" s="198">
        <v>0.1358</v>
      </c>
      <c r="BY51" s="198">
        <v>0.20250000000000001</v>
      </c>
      <c r="BZ51" s="198">
        <v>0.21099999999999999</v>
      </c>
      <c r="CA51" s="198">
        <v>0.11169999999999999</v>
      </c>
      <c r="CB51" s="198">
        <v>0.19800000000000001</v>
      </c>
      <c r="CC51" s="198">
        <v>1.3899999999999999E-2</v>
      </c>
      <c r="CD51" s="198"/>
      <c r="CE51" s="198"/>
      <c r="CF51" s="198"/>
      <c r="CG51" s="198"/>
      <c r="CH51" s="198"/>
      <c r="CI51" s="199"/>
      <c r="CJ51" s="192" t="s">
        <v>1185</v>
      </c>
      <c r="CK51" s="192" t="s">
        <v>1186</v>
      </c>
      <c r="CL51" s="192" t="s">
        <v>1187</v>
      </c>
      <c r="CM51" s="192" t="s">
        <v>1188</v>
      </c>
      <c r="CN51" s="192" t="s">
        <v>1189</v>
      </c>
      <c r="CO51" s="192" t="s">
        <v>1190</v>
      </c>
      <c r="CP51" s="192" t="s">
        <v>1191</v>
      </c>
      <c r="CQ51" s="192" t="s">
        <v>1192</v>
      </c>
      <c r="CR51" s="192" t="s">
        <v>1193</v>
      </c>
      <c r="CS51" s="194" t="s">
        <v>1194</v>
      </c>
      <c r="CT51" s="192" t="s">
        <v>1505</v>
      </c>
      <c r="CU51" s="195" t="s">
        <v>1574</v>
      </c>
      <c r="CV51" s="195" t="s">
        <v>1575</v>
      </c>
      <c r="CW51" s="195" t="s">
        <v>1576</v>
      </c>
      <c r="CX51" s="195" t="s">
        <v>1577</v>
      </c>
      <c r="CY51" s="195" t="s">
        <v>1578</v>
      </c>
      <c r="CZ51" s="195" t="s">
        <v>1579</v>
      </c>
      <c r="DA51" s="195" t="s">
        <v>1580</v>
      </c>
      <c r="DB51" s="195" t="s">
        <v>1581</v>
      </c>
      <c r="DC51" s="195" t="s">
        <v>1582</v>
      </c>
      <c r="DD51" s="195" t="s">
        <v>1583</v>
      </c>
      <c r="DE51" s="198"/>
      <c r="DF51" s="198"/>
      <c r="DG51" s="198"/>
      <c r="DH51" s="198"/>
      <c r="DI51" s="198"/>
      <c r="DJ51" s="193"/>
    </row>
    <row r="52" spans="1:114" ht="15.75" customHeight="1" x14ac:dyDescent="0.2">
      <c r="A52" s="196"/>
      <c r="B52" s="196"/>
      <c r="C52" s="196"/>
      <c r="D52" s="196"/>
      <c r="E52" s="196"/>
      <c r="F52" s="196"/>
      <c r="G52" s="65" t="s">
        <v>1488</v>
      </c>
      <c r="H52" s="65" t="s">
        <v>61</v>
      </c>
      <c r="I52" s="65" t="s">
        <v>1489</v>
      </c>
      <c r="J52" s="65" t="s">
        <v>1490</v>
      </c>
      <c r="K52" s="65">
        <v>1216575026</v>
      </c>
      <c r="L52" s="65" t="s">
        <v>61</v>
      </c>
      <c r="M52" s="65">
        <v>1399403555</v>
      </c>
      <c r="N52" s="65" t="s">
        <v>1491</v>
      </c>
      <c r="O52" s="65" t="s">
        <v>1216</v>
      </c>
      <c r="P52" s="197">
        <v>44013</v>
      </c>
      <c r="Q52" s="65">
        <v>726.89800000000002</v>
      </c>
      <c r="R52" s="198">
        <v>8.5000000000000006E-3</v>
      </c>
      <c r="S52" s="198">
        <v>3.0599999999999999E-2</v>
      </c>
      <c r="T52" s="198">
        <v>6.6500000000000004E-2</v>
      </c>
      <c r="U52" s="198">
        <v>7.0499999999999993E-2</v>
      </c>
      <c r="V52" s="198">
        <v>0.16470000000000001</v>
      </c>
      <c r="W52" s="198">
        <v>0.25919999999999999</v>
      </c>
      <c r="X52" s="198">
        <v>0.31369999999999998</v>
      </c>
      <c r="Y52" s="198">
        <v>6.5500000000000003E-2</v>
      </c>
      <c r="Z52" s="198">
        <v>2.0899999999999998E-2</v>
      </c>
      <c r="AA52" s="198"/>
      <c r="AB52" s="198"/>
      <c r="AC52" s="198"/>
      <c r="AD52" s="198"/>
      <c r="AE52" s="198"/>
      <c r="AF52" s="198"/>
      <c r="AG52" s="199"/>
      <c r="AH52" s="65" t="s">
        <v>1371</v>
      </c>
      <c r="AI52" s="65" t="s">
        <v>1372</v>
      </c>
      <c r="AJ52" s="65" t="s">
        <v>1355</v>
      </c>
      <c r="AK52" s="65" t="s">
        <v>1356</v>
      </c>
      <c r="AL52" s="65">
        <v>642727743</v>
      </c>
      <c r="AM52" s="65" t="s">
        <v>1372</v>
      </c>
      <c r="AN52" s="65">
        <v>642727746</v>
      </c>
      <c r="AO52" s="65" t="s">
        <v>1373</v>
      </c>
      <c r="AP52" s="65" t="s">
        <v>1216</v>
      </c>
      <c r="AQ52" s="197">
        <v>44013</v>
      </c>
      <c r="AR52" s="65">
        <v>835.58720000000005</v>
      </c>
      <c r="AS52" s="198">
        <v>9.5999999999999992E-3</v>
      </c>
      <c r="AT52" s="198">
        <v>3.4200000000000001E-2</v>
      </c>
      <c r="AU52" s="198">
        <v>7.2999999999999995E-2</v>
      </c>
      <c r="AV52" s="198">
        <v>7.5399999999999995E-2</v>
      </c>
      <c r="AW52" s="198">
        <v>0.16980000000000001</v>
      </c>
      <c r="AX52" s="198">
        <v>0.253</v>
      </c>
      <c r="AY52" s="198">
        <v>0.28999999999999998</v>
      </c>
      <c r="AZ52" s="198">
        <v>5.8200000000000002E-2</v>
      </c>
      <c r="BA52" s="198">
        <v>3.6900000000000002E-2</v>
      </c>
      <c r="BB52" s="198"/>
      <c r="BC52" s="198"/>
      <c r="BD52" s="198"/>
      <c r="BE52" s="198"/>
      <c r="BF52" s="198"/>
      <c r="BG52" s="198"/>
      <c r="BH52" s="199"/>
      <c r="BI52" s="65" t="s">
        <v>1325</v>
      </c>
      <c r="BJ52" s="65" t="s">
        <v>1326</v>
      </c>
      <c r="BK52" s="65" t="s">
        <v>1327</v>
      </c>
      <c r="BL52" s="65" t="s">
        <v>1328</v>
      </c>
      <c r="BM52" s="65">
        <v>1274354704</v>
      </c>
      <c r="BN52" s="65" t="s">
        <v>1329</v>
      </c>
      <c r="BO52" s="65">
        <v>495598783</v>
      </c>
      <c r="BP52" s="65" t="s">
        <v>1330</v>
      </c>
      <c r="BQ52" s="65" t="s">
        <v>1216</v>
      </c>
      <c r="BR52" s="197">
        <v>44013</v>
      </c>
      <c r="BS52" s="65">
        <v>4054.5626999999999</v>
      </c>
      <c r="BT52" s="198">
        <v>3.0000000000000001E-3</v>
      </c>
      <c r="BU52" s="198">
        <v>1.5800000000000002E-2</v>
      </c>
      <c r="BV52" s="198">
        <v>4.1500000000000002E-2</v>
      </c>
      <c r="BW52" s="198">
        <v>4.7800000000000002E-2</v>
      </c>
      <c r="BX52" s="198">
        <v>0.1174</v>
      </c>
      <c r="BY52" s="198">
        <v>0.18809999999999999</v>
      </c>
      <c r="BZ52" s="198">
        <v>0.21490000000000001</v>
      </c>
      <c r="CA52" s="198">
        <v>0.1221</v>
      </c>
      <c r="CB52" s="198">
        <v>0.23480000000000001</v>
      </c>
      <c r="CC52" s="198">
        <v>1.46E-2</v>
      </c>
      <c r="CD52" s="198"/>
      <c r="CE52" s="198"/>
      <c r="CF52" s="198"/>
      <c r="CG52" s="198"/>
      <c r="CH52" s="198"/>
      <c r="CI52" s="199"/>
      <c r="CJ52" s="65" t="s">
        <v>1228</v>
      </c>
      <c r="CK52" s="65" t="s">
        <v>1229</v>
      </c>
      <c r="CL52" s="65" t="s">
        <v>1230</v>
      </c>
      <c r="CM52" s="65" t="s">
        <v>1231</v>
      </c>
      <c r="CN52" s="65">
        <v>1071310449</v>
      </c>
      <c r="CO52" s="65" t="s">
        <v>1229</v>
      </c>
      <c r="CP52" s="65">
        <v>575608309</v>
      </c>
      <c r="CQ52" s="65" t="s">
        <v>1232</v>
      </c>
      <c r="CR52" s="65" t="s">
        <v>1216</v>
      </c>
      <c r="CS52" s="197">
        <v>44013</v>
      </c>
      <c r="CT52" s="65">
        <v>1997.8465000000001</v>
      </c>
      <c r="CU52" s="198">
        <v>5.8999999999999999E-3</v>
      </c>
      <c r="CV52" s="198">
        <v>2.69E-2</v>
      </c>
      <c r="CW52" s="198">
        <v>6.1800000000000001E-2</v>
      </c>
      <c r="CX52" s="198">
        <v>6.5500000000000003E-2</v>
      </c>
      <c r="CY52" s="198">
        <v>0.14929999999999999</v>
      </c>
      <c r="CZ52" s="198">
        <v>0.21990000000000001</v>
      </c>
      <c r="DA52" s="198">
        <v>0.23849999999999999</v>
      </c>
      <c r="DB52" s="198">
        <v>0.10199999999999999</v>
      </c>
      <c r="DC52" s="198">
        <v>0.1263</v>
      </c>
      <c r="DD52" s="198">
        <v>3.8E-3</v>
      </c>
      <c r="DE52" s="198"/>
      <c r="DF52" s="198"/>
      <c r="DG52" s="198"/>
      <c r="DH52" s="198"/>
      <c r="DI52" s="198"/>
      <c r="DJ52" s="200"/>
    </row>
    <row r="53" spans="1:114" ht="15.75" customHeight="1" x14ac:dyDescent="0.2">
      <c r="A53" s="196"/>
      <c r="B53" s="196"/>
      <c r="C53" s="196"/>
      <c r="D53" s="196"/>
      <c r="E53" s="196"/>
      <c r="F53" s="196"/>
      <c r="G53" s="65" t="s">
        <v>1497</v>
      </c>
      <c r="H53" s="65" t="s">
        <v>1498</v>
      </c>
      <c r="I53" s="65" t="s">
        <v>1235</v>
      </c>
      <c r="J53" s="65" t="s">
        <v>1236</v>
      </c>
      <c r="K53" s="65">
        <v>1223338261</v>
      </c>
      <c r="L53" s="65" t="s">
        <v>1499</v>
      </c>
      <c r="M53" s="65">
        <v>1223338260</v>
      </c>
      <c r="N53" s="65" t="s">
        <v>1500</v>
      </c>
      <c r="O53" s="65" t="s">
        <v>1216</v>
      </c>
      <c r="P53" s="197">
        <v>44013</v>
      </c>
      <c r="Q53" s="65">
        <v>281.61059999999998</v>
      </c>
      <c r="R53" s="198">
        <v>2.2700000000000001E-2</v>
      </c>
      <c r="S53" s="198">
        <v>8.9899999999999994E-2</v>
      </c>
      <c r="T53" s="198">
        <v>0.16320000000000001</v>
      </c>
      <c r="U53" s="198">
        <v>0.13639999999999999</v>
      </c>
      <c r="V53" s="198">
        <v>0.22489999999999999</v>
      </c>
      <c r="W53" s="198">
        <v>0.20899999999999999</v>
      </c>
      <c r="X53" s="198">
        <v>0.14269999999999999</v>
      </c>
      <c r="Y53" s="198">
        <v>1.0800000000000001E-2</v>
      </c>
      <c r="Z53" s="198">
        <v>2.9999999999999997E-4</v>
      </c>
      <c r="AA53" s="198"/>
      <c r="AB53" s="198"/>
      <c r="AC53" s="198"/>
      <c r="AD53" s="198"/>
      <c r="AE53" s="198"/>
      <c r="AF53" s="198"/>
      <c r="AG53" s="199"/>
      <c r="AH53" s="65" t="s">
        <v>1384</v>
      </c>
      <c r="AI53" s="65" t="s">
        <v>1385</v>
      </c>
      <c r="AJ53" s="65" t="s">
        <v>1258</v>
      </c>
      <c r="AK53" s="65" t="s">
        <v>1259</v>
      </c>
      <c r="AL53" s="65">
        <v>1123582513</v>
      </c>
      <c r="AM53" s="65" t="s">
        <v>1385</v>
      </c>
      <c r="AN53" s="65">
        <v>525894639</v>
      </c>
      <c r="AO53" s="65" t="s">
        <v>1386</v>
      </c>
      <c r="AP53" s="65" t="s">
        <v>1216</v>
      </c>
      <c r="AQ53" s="197">
        <v>44013</v>
      </c>
      <c r="AR53" s="65">
        <v>430.03609999999998</v>
      </c>
      <c r="AS53" s="198">
        <v>1.9199999999999998E-2</v>
      </c>
      <c r="AT53" s="198">
        <v>6.6100000000000006E-2</v>
      </c>
      <c r="AU53" s="198">
        <v>0.1273</v>
      </c>
      <c r="AV53" s="198">
        <v>0.11509999999999999</v>
      </c>
      <c r="AW53" s="198">
        <v>0.21240000000000001</v>
      </c>
      <c r="AX53" s="198">
        <v>0.23480000000000001</v>
      </c>
      <c r="AY53" s="198">
        <v>0.19470000000000001</v>
      </c>
      <c r="AZ53" s="198">
        <v>2.2200000000000001E-2</v>
      </c>
      <c r="BA53" s="198">
        <v>8.0999999999999996E-3</v>
      </c>
      <c r="BB53" s="198"/>
      <c r="BC53" s="198"/>
      <c r="BD53" s="198"/>
      <c r="BE53" s="198"/>
      <c r="BF53" s="198"/>
      <c r="BG53" s="198"/>
      <c r="BH53" s="199"/>
      <c r="BI53" s="65" t="s">
        <v>1344</v>
      </c>
      <c r="BJ53" s="65" t="s">
        <v>1345</v>
      </c>
      <c r="BK53" s="65" t="s">
        <v>1346</v>
      </c>
      <c r="BL53" s="65" t="s">
        <v>1347</v>
      </c>
      <c r="BM53" s="65">
        <v>1322399438</v>
      </c>
      <c r="BN53" s="65" t="s">
        <v>1345</v>
      </c>
      <c r="BO53" s="65">
        <v>588277915</v>
      </c>
      <c r="BP53" s="65" t="s">
        <v>1348</v>
      </c>
      <c r="BQ53" s="65" t="s">
        <v>1216</v>
      </c>
      <c r="BR53" s="197">
        <v>44013</v>
      </c>
      <c r="BS53" s="65">
        <v>6225.7754999999997</v>
      </c>
      <c r="BT53" s="198">
        <v>2.7000000000000001E-3</v>
      </c>
      <c r="BU53" s="198">
        <v>1.3599999999999999E-2</v>
      </c>
      <c r="BV53" s="198">
        <v>3.4700000000000002E-2</v>
      </c>
      <c r="BW53" s="198">
        <v>4.02E-2</v>
      </c>
      <c r="BX53" s="198">
        <v>0.1023</v>
      </c>
      <c r="BY53" s="198">
        <v>0.17649999999999999</v>
      </c>
      <c r="BZ53" s="198">
        <v>0.2253</v>
      </c>
      <c r="CA53" s="198">
        <v>0.1268</v>
      </c>
      <c r="CB53" s="198">
        <v>0.247</v>
      </c>
      <c r="CC53" s="198">
        <v>3.1E-2</v>
      </c>
      <c r="CD53" s="198"/>
      <c r="CE53" s="198"/>
      <c r="CF53" s="198"/>
      <c r="CG53" s="198"/>
      <c r="CH53" s="198"/>
      <c r="CI53" s="199"/>
      <c r="CJ53" s="65" t="s">
        <v>1248</v>
      </c>
      <c r="CK53" s="65" t="s">
        <v>1249</v>
      </c>
      <c r="CL53" s="65" t="s">
        <v>1250</v>
      </c>
      <c r="CM53" s="65" t="s">
        <v>1251</v>
      </c>
      <c r="CN53" s="65">
        <v>1179915619</v>
      </c>
      <c r="CO53" s="65" t="s">
        <v>1249</v>
      </c>
      <c r="CP53" s="65">
        <v>1062496488</v>
      </c>
      <c r="CQ53" s="65" t="s">
        <v>1251</v>
      </c>
      <c r="CR53" s="65" t="s">
        <v>1216</v>
      </c>
      <c r="CS53" s="197">
        <v>44013</v>
      </c>
      <c r="CT53" s="65">
        <v>2787.8552</v>
      </c>
      <c r="CU53" s="198">
        <v>5.7999999999999996E-3</v>
      </c>
      <c r="CV53" s="198">
        <v>2.7300000000000001E-2</v>
      </c>
      <c r="CW53" s="198">
        <v>6.3600000000000004E-2</v>
      </c>
      <c r="CX53" s="198">
        <v>6.7100000000000007E-2</v>
      </c>
      <c r="CY53" s="198">
        <v>0.15010000000000001</v>
      </c>
      <c r="CZ53" s="198">
        <v>0.21360000000000001</v>
      </c>
      <c r="DA53" s="198">
        <v>0.2195</v>
      </c>
      <c r="DB53" s="198">
        <v>0.10050000000000001</v>
      </c>
      <c r="DC53" s="198">
        <v>0.14330000000000001</v>
      </c>
      <c r="DD53" s="198">
        <v>9.2999999999999992E-3</v>
      </c>
      <c r="DE53" s="198"/>
      <c r="DF53" s="198"/>
      <c r="DG53" s="198"/>
      <c r="DH53" s="198"/>
      <c r="DI53" s="198"/>
      <c r="DJ53" s="200"/>
    </row>
    <row r="54" spans="1:114" ht="15.75" customHeight="1" x14ac:dyDescent="0.2">
      <c r="A54" s="196"/>
      <c r="B54" s="196"/>
      <c r="C54" s="196"/>
      <c r="D54" s="196"/>
      <c r="E54" s="196"/>
      <c r="F54" s="196"/>
      <c r="G54" s="65" t="s">
        <v>1516</v>
      </c>
      <c r="H54" s="65" t="s">
        <v>1517</v>
      </c>
      <c r="I54" s="65" t="s">
        <v>1244</v>
      </c>
      <c r="J54" s="65" t="s">
        <v>1245</v>
      </c>
      <c r="K54" s="65">
        <v>890378044</v>
      </c>
      <c r="L54" s="65" t="s">
        <v>1517</v>
      </c>
      <c r="M54" s="65">
        <v>476160947</v>
      </c>
      <c r="N54" s="65" t="s">
        <v>1518</v>
      </c>
      <c r="O54" s="65" t="s">
        <v>1216</v>
      </c>
      <c r="P54" s="197">
        <v>44013</v>
      </c>
      <c r="Q54" s="65">
        <v>440.10210000000001</v>
      </c>
      <c r="R54" s="198">
        <v>1.7100000000000001E-2</v>
      </c>
      <c r="S54" s="198">
        <v>5.9299999999999999E-2</v>
      </c>
      <c r="T54" s="198">
        <v>0.1166</v>
      </c>
      <c r="U54" s="198">
        <v>0.1082</v>
      </c>
      <c r="V54" s="198">
        <v>0.2077</v>
      </c>
      <c r="W54" s="198">
        <v>0.24349999999999999</v>
      </c>
      <c r="X54" s="198">
        <v>0.215</v>
      </c>
      <c r="Y54" s="198">
        <v>2.6499999999999999E-2</v>
      </c>
      <c r="Z54" s="198">
        <v>6.0000000000000001E-3</v>
      </c>
      <c r="AA54" s="198"/>
      <c r="AB54" s="198"/>
      <c r="AC54" s="198"/>
      <c r="AD54" s="198"/>
      <c r="AE54" s="198"/>
      <c r="AF54" s="198"/>
      <c r="AG54" s="199"/>
      <c r="AH54" s="65" t="s">
        <v>1395</v>
      </c>
      <c r="AI54" s="65" t="s">
        <v>1396</v>
      </c>
      <c r="AJ54" s="65" t="s">
        <v>1244</v>
      </c>
      <c r="AK54" s="65" t="s">
        <v>1245</v>
      </c>
      <c r="AL54" s="65">
        <v>1369317521</v>
      </c>
      <c r="AM54" s="65" t="s">
        <v>1396</v>
      </c>
      <c r="AN54" s="65">
        <v>295913422</v>
      </c>
      <c r="AO54" s="65" t="s">
        <v>1393</v>
      </c>
      <c r="AP54" s="65" t="s">
        <v>1216</v>
      </c>
      <c r="AQ54" s="197">
        <v>44013</v>
      </c>
      <c r="AR54" s="65">
        <v>287.48779999999999</v>
      </c>
      <c r="AS54" s="198">
        <v>2.2800000000000001E-2</v>
      </c>
      <c r="AT54" s="198">
        <v>9.0499999999999997E-2</v>
      </c>
      <c r="AU54" s="198">
        <v>0.16400000000000001</v>
      </c>
      <c r="AV54" s="198">
        <v>0.13669999999999999</v>
      </c>
      <c r="AW54" s="198">
        <v>0.22439999999999999</v>
      </c>
      <c r="AX54" s="198">
        <v>0.20749999999999999</v>
      </c>
      <c r="AY54" s="198">
        <v>0.14119999999999999</v>
      </c>
      <c r="AZ54" s="198">
        <v>1.14E-2</v>
      </c>
      <c r="BA54" s="198">
        <v>1.6000000000000001E-3</v>
      </c>
      <c r="BB54" s="198"/>
      <c r="BC54" s="198"/>
      <c r="BD54" s="198"/>
      <c r="BE54" s="198"/>
      <c r="BF54" s="198"/>
      <c r="BG54" s="198"/>
      <c r="BH54" s="199"/>
      <c r="BI54" s="65" t="s">
        <v>1358</v>
      </c>
      <c r="BJ54" s="65" t="s">
        <v>1359</v>
      </c>
      <c r="BK54" s="65" t="s">
        <v>1360</v>
      </c>
      <c r="BL54" s="65" t="s">
        <v>1361</v>
      </c>
      <c r="BM54" s="65">
        <v>1071976327</v>
      </c>
      <c r="BN54" s="65" t="s">
        <v>1359</v>
      </c>
      <c r="BO54" s="65">
        <v>1303288190</v>
      </c>
      <c r="BP54" s="201" t="s">
        <v>1362</v>
      </c>
      <c r="BQ54" s="65" t="s">
        <v>1216</v>
      </c>
      <c r="BR54" s="197">
        <v>44013</v>
      </c>
      <c r="BS54" s="65">
        <v>4288.5636999999997</v>
      </c>
      <c r="BT54" s="198">
        <v>4.7000000000000002E-3</v>
      </c>
      <c r="BU54" s="198">
        <v>2.63E-2</v>
      </c>
      <c r="BV54" s="198">
        <v>6.3600000000000004E-2</v>
      </c>
      <c r="BW54" s="198">
        <v>6.7599999999999993E-2</v>
      </c>
      <c r="BX54" s="198">
        <v>0.14940000000000001</v>
      </c>
      <c r="BY54" s="198">
        <v>0.20549999999999999</v>
      </c>
      <c r="BZ54" s="198">
        <v>0.19900000000000001</v>
      </c>
      <c r="CA54" s="198">
        <v>9.8199999999999996E-2</v>
      </c>
      <c r="CB54" s="198">
        <v>0.16500000000000001</v>
      </c>
      <c r="CC54" s="198">
        <v>2.07E-2</v>
      </c>
      <c r="CD54" s="198"/>
      <c r="CE54" s="198"/>
      <c r="CF54" s="198"/>
      <c r="CG54" s="198"/>
      <c r="CH54" s="198"/>
      <c r="CI54" s="199"/>
      <c r="CJ54" s="65" t="s">
        <v>1265</v>
      </c>
      <c r="CK54" s="65" t="s">
        <v>1266</v>
      </c>
      <c r="CL54" s="65" t="s">
        <v>1267</v>
      </c>
      <c r="CM54" s="65" t="s">
        <v>1268</v>
      </c>
      <c r="CN54" s="65">
        <v>1277029359</v>
      </c>
      <c r="CO54" s="65" t="s">
        <v>1266</v>
      </c>
      <c r="CP54" s="65">
        <v>1215846356</v>
      </c>
      <c r="CQ54" s="65" t="s">
        <v>1269</v>
      </c>
      <c r="CR54" s="65" t="s">
        <v>1216</v>
      </c>
      <c r="CS54" s="197">
        <v>44013</v>
      </c>
      <c r="CT54" s="65">
        <v>1986.2525000000001</v>
      </c>
      <c r="CU54" s="198">
        <v>4.3E-3</v>
      </c>
      <c r="CV54" s="198">
        <v>2.23E-2</v>
      </c>
      <c r="CW54" s="198">
        <v>5.2900000000000003E-2</v>
      </c>
      <c r="CX54" s="198">
        <v>5.8000000000000003E-2</v>
      </c>
      <c r="CY54" s="198">
        <v>0.1386</v>
      </c>
      <c r="CZ54" s="198">
        <v>0.21920000000000001</v>
      </c>
      <c r="DA54" s="198">
        <v>0.25779999999999997</v>
      </c>
      <c r="DB54" s="198">
        <v>0.1124</v>
      </c>
      <c r="DC54" s="198">
        <v>0.13189999999999999</v>
      </c>
      <c r="DD54" s="198">
        <v>2.5999999999999999E-3</v>
      </c>
      <c r="DE54" s="198"/>
      <c r="DF54" s="198"/>
      <c r="DG54" s="198"/>
      <c r="DH54" s="198"/>
      <c r="DI54" s="198"/>
      <c r="DJ54" s="200"/>
    </row>
    <row r="55" spans="1:114" ht="15.75" customHeight="1" x14ac:dyDescent="0.2">
      <c r="A55" s="196"/>
      <c r="B55" s="196"/>
      <c r="C55" s="196"/>
      <c r="D55" s="196"/>
      <c r="E55" s="196"/>
      <c r="F55" s="196"/>
      <c r="G55" s="65" t="s">
        <v>1523</v>
      </c>
      <c r="H55" s="65" t="s">
        <v>1524</v>
      </c>
      <c r="I55" s="65" t="s">
        <v>1219</v>
      </c>
      <c r="J55" s="65" t="s">
        <v>1220</v>
      </c>
      <c r="K55" s="65">
        <v>892521917</v>
      </c>
      <c r="L55" s="65" t="s">
        <v>1525</v>
      </c>
      <c r="M55" s="65">
        <v>342254535</v>
      </c>
      <c r="N55" s="65" t="s">
        <v>1220</v>
      </c>
      <c r="O55" s="65" t="s">
        <v>1216</v>
      </c>
      <c r="P55" s="197">
        <v>44013</v>
      </c>
      <c r="Q55" s="65">
        <v>454.15339999999998</v>
      </c>
      <c r="R55" s="198">
        <v>1.6799999999999999E-2</v>
      </c>
      <c r="S55" s="198">
        <v>5.8400000000000001E-2</v>
      </c>
      <c r="T55" s="198">
        <v>0.115</v>
      </c>
      <c r="U55" s="198">
        <v>0.1071</v>
      </c>
      <c r="V55" s="198">
        <v>0.20660000000000001</v>
      </c>
      <c r="W55" s="198">
        <v>0.24410000000000001</v>
      </c>
      <c r="X55" s="198">
        <v>0.21740000000000001</v>
      </c>
      <c r="Y55" s="198">
        <v>2.7400000000000001E-2</v>
      </c>
      <c r="Z55" s="198">
        <v>7.3000000000000001E-3</v>
      </c>
      <c r="AA55" s="198"/>
      <c r="AB55" s="198"/>
      <c r="AC55" s="198"/>
      <c r="AD55" s="198"/>
      <c r="AE55" s="198"/>
      <c r="AF55" s="198"/>
      <c r="AG55" s="199"/>
      <c r="AH55" s="65" t="s">
        <v>1410</v>
      </c>
      <c r="AI55" s="65" t="s">
        <v>1411</v>
      </c>
      <c r="AJ55" s="65" t="s">
        <v>1244</v>
      </c>
      <c r="AK55" s="65" t="s">
        <v>1245</v>
      </c>
      <c r="AL55" s="65">
        <v>694876905</v>
      </c>
      <c r="AM55" s="65" t="s">
        <v>1411</v>
      </c>
      <c r="AN55" s="65">
        <v>295913422</v>
      </c>
      <c r="AO55" s="65" t="s">
        <v>1393</v>
      </c>
      <c r="AP55" s="65" t="s">
        <v>1216</v>
      </c>
      <c r="AQ55" s="197">
        <v>44013</v>
      </c>
      <c r="AR55" s="65">
        <v>415.1551</v>
      </c>
      <c r="AS55" s="198">
        <v>1.8800000000000001E-2</v>
      </c>
      <c r="AT55" s="198">
        <v>6.4600000000000005E-2</v>
      </c>
      <c r="AU55" s="198">
        <v>0.125</v>
      </c>
      <c r="AV55" s="198">
        <v>0.1137</v>
      </c>
      <c r="AW55" s="198">
        <v>0.21179999999999999</v>
      </c>
      <c r="AX55" s="198">
        <v>0.2374</v>
      </c>
      <c r="AY55" s="198">
        <v>0.19969999999999999</v>
      </c>
      <c r="AZ55" s="198">
        <v>2.3E-2</v>
      </c>
      <c r="BA55" s="198">
        <v>6.0000000000000001E-3</v>
      </c>
      <c r="BB55" s="198"/>
      <c r="BC55" s="198"/>
      <c r="BD55" s="198"/>
      <c r="BE55" s="198"/>
      <c r="BF55" s="198"/>
      <c r="BG55" s="198"/>
      <c r="BH55" s="199"/>
      <c r="BI55" s="65" t="s">
        <v>1374</v>
      </c>
      <c r="BJ55" s="65" t="s">
        <v>1375</v>
      </c>
      <c r="BK55" s="65" t="s">
        <v>1327</v>
      </c>
      <c r="BL55" s="65" t="s">
        <v>1328</v>
      </c>
      <c r="BM55" s="65">
        <v>1084930849</v>
      </c>
      <c r="BN55" s="65" t="s">
        <v>1376</v>
      </c>
      <c r="BO55" s="65">
        <v>495598783</v>
      </c>
      <c r="BP55" s="65" t="s">
        <v>1330</v>
      </c>
      <c r="BQ55" s="65" t="s">
        <v>1216</v>
      </c>
      <c r="BR55" s="197">
        <v>44013</v>
      </c>
      <c r="BS55" s="65">
        <v>5570.5216</v>
      </c>
      <c r="BT55" s="198">
        <v>2.5999999999999999E-3</v>
      </c>
      <c r="BU55" s="198">
        <v>1.3899999999999999E-2</v>
      </c>
      <c r="BV55" s="198">
        <v>3.6999999999999998E-2</v>
      </c>
      <c r="BW55" s="198">
        <v>4.3200000000000002E-2</v>
      </c>
      <c r="BX55" s="198">
        <v>0.1082</v>
      </c>
      <c r="BY55" s="198">
        <v>0.17799999999999999</v>
      </c>
      <c r="BZ55" s="198">
        <v>0.2094</v>
      </c>
      <c r="CA55" s="198">
        <v>0.1231</v>
      </c>
      <c r="CB55" s="198">
        <v>0.25729999999999997</v>
      </c>
      <c r="CC55" s="198">
        <v>2.7199999999999998E-2</v>
      </c>
      <c r="CD55" s="198"/>
      <c r="CE55" s="198"/>
      <c r="CF55" s="198"/>
      <c r="CG55" s="198"/>
      <c r="CH55" s="198"/>
      <c r="CI55" s="199"/>
      <c r="CJ55" s="65" t="s">
        <v>1283</v>
      </c>
      <c r="CK55" s="65" t="s">
        <v>1284</v>
      </c>
      <c r="CL55" s="65" t="s">
        <v>1285</v>
      </c>
      <c r="CM55" s="65" t="s">
        <v>1286</v>
      </c>
      <c r="CN55" s="65">
        <v>1374403536</v>
      </c>
      <c r="CO55" s="65" t="s">
        <v>1284</v>
      </c>
      <c r="CP55" s="65">
        <v>284954685</v>
      </c>
      <c r="CQ55" s="65" t="s">
        <v>1287</v>
      </c>
      <c r="CR55" s="65" t="s">
        <v>1216</v>
      </c>
      <c r="CS55" s="197">
        <v>44013</v>
      </c>
      <c r="CT55" s="65">
        <v>1854.4588000000001</v>
      </c>
      <c r="CU55" s="198">
        <v>7.7000000000000002E-3</v>
      </c>
      <c r="CV55" s="198">
        <v>3.5700000000000003E-2</v>
      </c>
      <c r="CW55" s="198">
        <v>0.08</v>
      </c>
      <c r="CX55" s="198">
        <v>8.0799999999999997E-2</v>
      </c>
      <c r="CY55" s="198">
        <v>0.17019999999999999</v>
      </c>
      <c r="CZ55" s="198">
        <v>0.22090000000000001</v>
      </c>
      <c r="DA55" s="198">
        <v>0.2041</v>
      </c>
      <c r="DB55" s="198">
        <v>8.6099999999999996E-2</v>
      </c>
      <c r="DC55" s="198">
        <v>0.11020000000000001</v>
      </c>
      <c r="DD55" s="198">
        <v>4.1999999999999997E-3</v>
      </c>
      <c r="DE55" s="198"/>
      <c r="DF55" s="198"/>
      <c r="DG55" s="198"/>
      <c r="DH55" s="198"/>
      <c r="DI55" s="198"/>
      <c r="DJ55" s="200"/>
    </row>
    <row r="56" spans="1:114" ht="15.75" customHeight="1" x14ac:dyDescent="0.2">
      <c r="A56" s="196"/>
      <c r="B56" s="196"/>
      <c r="C56" s="196"/>
      <c r="D56" s="196"/>
      <c r="E56" s="196"/>
      <c r="F56" s="196"/>
      <c r="G56" s="65" t="s">
        <v>1528</v>
      </c>
      <c r="H56" s="65" t="s">
        <v>1529</v>
      </c>
      <c r="I56" s="65" t="s">
        <v>1244</v>
      </c>
      <c r="J56" s="65" t="s">
        <v>1245</v>
      </c>
      <c r="K56" s="65">
        <v>1073286211</v>
      </c>
      <c r="L56" s="65" t="s">
        <v>1529</v>
      </c>
      <c r="M56" s="65">
        <v>295913422</v>
      </c>
      <c r="N56" s="65" t="s">
        <v>1393</v>
      </c>
      <c r="O56" s="65" t="s">
        <v>1216</v>
      </c>
      <c r="P56" s="197">
        <v>44013</v>
      </c>
      <c r="Q56" s="65">
        <v>780.61310000000003</v>
      </c>
      <c r="R56" s="198">
        <v>8.3999999999999995E-3</v>
      </c>
      <c r="S56" s="198">
        <v>3.0200000000000001E-2</v>
      </c>
      <c r="T56" s="198">
        <v>6.5699999999999995E-2</v>
      </c>
      <c r="U56" s="198">
        <v>6.9699999999999998E-2</v>
      </c>
      <c r="V56" s="198">
        <v>0.1628</v>
      </c>
      <c r="W56" s="198">
        <v>0.25650000000000001</v>
      </c>
      <c r="X56" s="198">
        <v>0.31119999999999998</v>
      </c>
      <c r="Y56" s="198">
        <v>6.6799999999999998E-2</v>
      </c>
      <c r="Z56" s="198">
        <v>2.86E-2</v>
      </c>
      <c r="AA56" s="198"/>
      <c r="AB56" s="198"/>
      <c r="AC56" s="198"/>
      <c r="AD56" s="198"/>
      <c r="AE56" s="198"/>
      <c r="AF56" s="198"/>
      <c r="AG56" s="199"/>
      <c r="AH56" s="65" t="s">
        <v>1421</v>
      </c>
      <c r="AI56" s="65" t="s">
        <v>1422</v>
      </c>
      <c r="AJ56" s="65" t="s">
        <v>1258</v>
      </c>
      <c r="AK56" s="65" t="s">
        <v>1259</v>
      </c>
      <c r="AL56" s="65">
        <v>785537179</v>
      </c>
      <c r="AM56" s="65" t="s">
        <v>1422</v>
      </c>
      <c r="AN56" s="65">
        <v>525894639</v>
      </c>
      <c r="AO56" s="65" t="s">
        <v>1386</v>
      </c>
      <c r="AP56" s="65" t="s">
        <v>1216</v>
      </c>
      <c r="AQ56" s="197">
        <v>44013</v>
      </c>
      <c r="AR56" s="65">
        <v>305.74950000000001</v>
      </c>
      <c r="AS56" s="198">
        <v>1.9599999999999999E-2</v>
      </c>
      <c r="AT56" s="198">
        <v>8.5300000000000001E-2</v>
      </c>
      <c r="AU56" s="198">
        <v>0.1588</v>
      </c>
      <c r="AV56" s="198">
        <v>0.1341</v>
      </c>
      <c r="AW56" s="198">
        <v>0.22420000000000001</v>
      </c>
      <c r="AX56" s="198">
        <v>0.21329999999999999</v>
      </c>
      <c r="AY56" s="198">
        <v>0.14979999999999999</v>
      </c>
      <c r="AZ56" s="198">
        <v>1.2699999999999999E-2</v>
      </c>
      <c r="BA56" s="198">
        <v>2.0999999999999999E-3</v>
      </c>
      <c r="BB56" s="198"/>
      <c r="BC56" s="198"/>
      <c r="BD56" s="198"/>
      <c r="BE56" s="198"/>
      <c r="BF56" s="198"/>
      <c r="BG56" s="198"/>
      <c r="BH56" s="199"/>
      <c r="BI56" s="65" t="s">
        <v>1387</v>
      </c>
      <c r="BJ56" s="65" t="s">
        <v>1388</v>
      </c>
      <c r="BK56" s="65" t="s">
        <v>1389</v>
      </c>
      <c r="BL56" s="65" t="s">
        <v>1390</v>
      </c>
      <c r="BM56" s="65">
        <v>1292952049</v>
      </c>
      <c r="BN56" s="65" t="s">
        <v>1388</v>
      </c>
      <c r="BO56" s="65">
        <v>305003647</v>
      </c>
      <c r="BP56" s="65" t="s">
        <v>1390</v>
      </c>
      <c r="BQ56" s="65" t="s">
        <v>1216</v>
      </c>
      <c r="BR56" s="197">
        <v>44013</v>
      </c>
      <c r="BS56" s="65">
        <v>3628.6100999999999</v>
      </c>
      <c r="BT56" s="198">
        <v>3.5000000000000001E-3</v>
      </c>
      <c r="BU56" s="198">
        <v>1.7299999999999999E-2</v>
      </c>
      <c r="BV56" s="198">
        <v>4.2900000000000001E-2</v>
      </c>
      <c r="BW56" s="198">
        <v>4.8399999999999999E-2</v>
      </c>
      <c r="BX56" s="198">
        <v>0.11899999999999999</v>
      </c>
      <c r="BY56" s="198">
        <v>0.19500000000000001</v>
      </c>
      <c r="BZ56" s="198">
        <v>0.2346</v>
      </c>
      <c r="CA56" s="198">
        <v>0.1226</v>
      </c>
      <c r="CB56" s="198">
        <v>0.20369999999999999</v>
      </c>
      <c r="CC56" s="198">
        <v>1.2999999999999999E-2</v>
      </c>
      <c r="CD56" s="198"/>
      <c r="CE56" s="198"/>
      <c r="CF56" s="198"/>
      <c r="CG56" s="198"/>
      <c r="CH56" s="198"/>
      <c r="CI56" s="199"/>
      <c r="CJ56" s="65" t="s">
        <v>1297</v>
      </c>
      <c r="CK56" s="65" t="s">
        <v>1298</v>
      </c>
      <c r="CL56" s="65" t="s">
        <v>1299</v>
      </c>
      <c r="CM56" s="65" t="s">
        <v>1300</v>
      </c>
      <c r="CN56" s="65">
        <v>620112416</v>
      </c>
      <c r="CO56" s="65" t="s">
        <v>1298</v>
      </c>
      <c r="CP56" s="65">
        <v>321598392</v>
      </c>
      <c r="CQ56" s="65" t="s">
        <v>1301</v>
      </c>
      <c r="CR56" s="65" t="s">
        <v>1216</v>
      </c>
      <c r="CS56" s="197">
        <v>44013</v>
      </c>
      <c r="CT56" s="65">
        <v>1405.2182</v>
      </c>
      <c r="CU56" s="198">
        <v>8.5000000000000006E-3</v>
      </c>
      <c r="CV56" s="198">
        <v>3.8199999999999998E-2</v>
      </c>
      <c r="CW56" s="198">
        <v>8.4099999999999994E-2</v>
      </c>
      <c r="CX56" s="198">
        <v>8.4199999999999997E-2</v>
      </c>
      <c r="CY56" s="198">
        <v>0.1759</v>
      </c>
      <c r="CZ56" s="198">
        <v>0.22639999999999999</v>
      </c>
      <c r="DA56" s="198">
        <v>0.20910000000000001</v>
      </c>
      <c r="DB56" s="198">
        <v>8.1600000000000006E-2</v>
      </c>
      <c r="DC56" s="198">
        <v>9.0399999999999994E-2</v>
      </c>
      <c r="DD56" s="198">
        <v>1.4E-3</v>
      </c>
      <c r="DE56" s="198"/>
      <c r="DF56" s="198"/>
      <c r="DG56" s="198"/>
      <c r="DH56" s="198"/>
      <c r="DI56" s="198"/>
      <c r="DJ56" s="200"/>
    </row>
    <row r="57" spans="1:114" ht="15.75" customHeight="1" x14ac:dyDescent="0.2">
      <c r="A57" s="196"/>
      <c r="B57" s="196"/>
      <c r="C57" s="196"/>
      <c r="D57" s="196"/>
      <c r="E57" s="196"/>
      <c r="F57" s="196"/>
      <c r="G57" s="65" t="s">
        <v>1533</v>
      </c>
      <c r="H57" s="65" t="s">
        <v>1534</v>
      </c>
      <c r="I57" s="65" t="s">
        <v>1244</v>
      </c>
      <c r="J57" s="65" t="s">
        <v>1245</v>
      </c>
      <c r="K57" s="65">
        <v>1176027022</v>
      </c>
      <c r="L57" s="65" t="s">
        <v>1534</v>
      </c>
      <c r="M57" s="65">
        <v>476160947</v>
      </c>
      <c r="N57" s="65" t="s">
        <v>1518</v>
      </c>
      <c r="O57" s="65" t="s">
        <v>1216</v>
      </c>
      <c r="P57" s="197">
        <v>44013</v>
      </c>
      <c r="Q57" s="65">
        <v>407.34480000000002</v>
      </c>
      <c r="R57" s="198">
        <v>1.72E-2</v>
      </c>
      <c r="S57" s="198">
        <v>5.9499999999999997E-2</v>
      </c>
      <c r="T57" s="198">
        <v>0.1171</v>
      </c>
      <c r="U57" s="198">
        <v>0.1089</v>
      </c>
      <c r="V57" s="198">
        <v>0.20960000000000001</v>
      </c>
      <c r="W57" s="198">
        <v>0.24640000000000001</v>
      </c>
      <c r="X57" s="198">
        <v>0.21709999999999999</v>
      </c>
      <c r="Y57" s="198">
        <v>2.3699999999999999E-2</v>
      </c>
      <c r="Z57" s="198">
        <v>6.9999999999999999E-4</v>
      </c>
      <c r="AA57" s="198"/>
      <c r="AB57" s="198"/>
      <c r="AC57" s="198"/>
      <c r="AD57" s="198"/>
      <c r="AE57" s="198"/>
      <c r="AF57" s="198"/>
      <c r="AG57" s="199"/>
      <c r="AH57" s="65" t="s">
        <v>1431</v>
      </c>
      <c r="AI57" s="65" t="s">
        <v>1432</v>
      </c>
      <c r="AJ57" s="65" t="s">
        <v>1321</v>
      </c>
      <c r="AK57" s="65" t="s">
        <v>1322</v>
      </c>
      <c r="AL57" s="65">
        <v>806393795</v>
      </c>
      <c r="AM57" s="65" t="s">
        <v>1432</v>
      </c>
      <c r="AN57" s="65">
        <v>310624343</v>
      </c>
      <c r="AO57" s="65" t="s">
        <v>1433</v>
      </c>
      <c r="AP57" s="65" t="s">
        <v>1216</v>
      </c>
      <c r="AQ57" s="197">
        <v>44013</v>
      </c>
      <c r="AR57" s="65">
        <v>534.55790000000002</v>
      </c>
      <c r="AS57" s="198">
        <v>1.4999999999999999E-2</v>
      </c>
      <c r="AT57" s="198">
        <v>5.2400000000000002E-2</v>
      </c>
      <c r="AU57" s="198">
        <v>0.1051</v>
      </c>
      <c r="AV57" s="198">
        <v>0.10009999999999999</v>
      </c>
      <c r="AW57" s="198">
        <v>0.19950000000000001</v>
      </c>
      <c r="AX57" s="198">
        <v>0.248</v>
      </c>
      <c r="AY57" s="198">
        <v>0.2336</v>
      </c>
      <c r="AZ57" s="198">
        <v>3.3000000000000002E-2</v>
      </c>
      <c r="BA57" s="198">
        <v>1.35E-2</v>
      </c>
      <c r="BB57" s="198"/>
      <c r="BC57" s="198"/>
      <c r="BD57" s="198"/>
      <c r="BE57" s="198"/>
      <c r="BF57" s="198"/>
      <c r="BG57" s="198"/>
      <c r="BH57" s="199"/>
      <c r="BI57" s="43" t="s">
        <v>1397</v>
      </c>
      <c r="BJ57" s="43" t="s">
        <v>1398</v>
      </c>
      <c r="BK57" s="43" t="s">
        <v>1399</v>
      </c>
      <c r="BL57" s="43" t="s">
        <v>1400</v>
      </c>
      <c r="BM57" s="43">
        <v>1342290011</v>
      </c>
      <c r="BN57" s="43" t="s">
        <v>1398</v>
      </c>
      <c r="BO57" s="43">
        <v>1040083066</v>
      </c>
      <c r="BP57" s="43" t="s">
        <v>1401</v>
      </c>
      <c r="BQ57" s="43" t="s">
        <v>1216</v>
      </c>
      <c r="BR57" s="43">
        <v>44013</v>
      </c>
      <c r="BS57" s="203">
        <v>4122.4804999999997</v>
      </c>
      <c r="BT57" s="43">
        <v>4.4000000000000003E-3</v>
      </c>
      <c r="BU57" s="43">
        <v>2.24E-2</v>
      </c>
      <c r="BV57" s="43">
        <v>5.5599999999999997E-2</v>
      </c>
      <c r="BW57" s="43">
        <v>6.0699999999999997E-2</v>
      </c>
      <c r="BX57" s="43">
        <v>0.13880000000000001</v>
      </c>
      <c r="BY57" s="43">
        <v>0.20030000000000001</v>
      </c>
      <c r="BZ57" s="43">
        <v>0.2021</v>
      </c>
      <c r="CA57" s="43">
        <v>0.106</v>
      </c>
      <c r="CB57" s="43">
        <v>0.19</v>
      </c>
      <c r="CC57" s="43">
        <v>1.9599999999999999E-2</v>
      </c>
      <c r="CD57" s="51"/>
      <c r="CE57" s="51"/>
      <c r="CF57" s="51"/>
      <c r="CG57" s="51"/>
      <c r="CH57" s="51"/>
      <c r="CI57" s="199"/>
      <c r="CJ57" s="65" t="s">
        <v>1312</v>
      </c>
      <c r="CK57" s="65" t="s">
        <v>1313</v>
      </c>
      <c r="CL57" s="65" t="s">
        <v>1314</v>
      </c>
      <c r="CM57" s="65" t="s">
        <v>1315</v>
      </c>
      <c r="CN57" s="65">
        <v>714796093</v>
      </c>
      <c r="CO57" s="65" t="s">
        <v>1313</v>
      </c>
      <c r="CP57" s="65">
        <v>348389028</v>
      </c>
      <c r="CQ57" s="65" t="s">
        <v>1316</v>
      </c>
      <c r="CR57" s="65" t="s">
        <v>1216</v>
      </c>
      <c r="CS57" s="197">
        <v>44013</v>
      </c>
      <c r="CT57" s="65">
        <v>889.71450000000004</v>
      </c>
      <c r="CU57" s="198">
        <v>7.6E-3</v>
      </c>
      <c r="CV57" s="198">
        <v>4.3099999999999999E-2</v>
      </c>
      <c r="CW57" s="198">
        <v>0.1007</v>
      </c>
      <c r="CX57" s="198">
        <v>9.7900000000000001E-2</v>
      </c>
      <c r="CY57" s="198">
        <v>0.19539999999999999</v>
      </c>
      <c r="CZ57" s="198">
        <v>0.23619999999999999</v>
      </c>
      <c r="DA57" s="198">
        <v>0.2082</v>
      </c>
      <c r="DB57" s="198">
        <v>6.25E-2</v>
      </c>
      <c r="DC57" s="198">
        <v>4.8000000000000001E-2</v>
      </c>
      <c r="DD57" s="198">
        <v>4.0000000000000002E-4</v>
      </c>
      <c r="DE57" s="198"/>
      <c r="DF57" s="198"/>
      <c r="DG57" s="198"/>
      <c r="DH57" s="198"/>
      <c r="DI57" s="198"/>
      <c r="DJ57" s="200"/>
    </row>
    <row r="58" spans="1:114" ht="15.75" customHeight="1" x14ac:dyDescent="0.2">
      <c r="A58" s="12"/>
      <c r="B58" s="12"/>
      <c r="C58" s="12"/>
      <c r="D58" s="12"/>
      <c r="E58" s="12"/>
      <c r="F58" s="12"/>
      <c r="G58" s="51"/>
      <c r="H58" s="51"/>
      <c r="I58" s="51"/>
      <c r="J58" s="51"/>
      <c r="K58" s="51"/>
      <c r="L58" s="51"/>
      <c r="M58" s="51"/>
      <c r="N58" s="51"/>
      <c r="O58" s="51"/>
      <c r="P58" s="188" t="s">
        <v>1586</v>
      </c>
      <c r="Q58" s="204">
        <f>AVERAGE(Q33:Q57)</f>
        <v>613.22072800000001</v>
      </c>
      <c r="R58" s="51"/>
      <c r="S58" s="51"/>
      <c r="T58" s="51"/>
      <c r="U58" s="51"/>
      <c r="V58" s="51"/>
      <c r="W58" s="51"/>
      <c r="X58" s="51"/>
      <c r="Y58" s="51"/>
      <c r="Z58" s="51"/>
      <c r="AA58" s="51"/>
      <c r="AB58" s="51"/>
      <c r="AC58" s="51"/>
      <c r="AD58" s="51"/>
      <c r="AE58" s="51"/>
      <c r="AF58" s="51"/>
      <c r="AG58" s="12"/>
      <c r="AH58" s="51" t="s">
        <v>1444</v>
      </c>
      <c r="AI58" s="51" t="s">
        <v>1445</v>
      </c>
      <c r="AJ58" s="51" t="s">
        <v>1446</v>
      </c>
      <c r="AK58" s="51" t="s">
        <v>1447</v>
      </c>
      <c r="AL58" s="51">
        <v>877638937</v>
      </c>
      <c r="AM58" s="51" t="s">
        <v>1448</v>
      </c>
      <c r="AN58" s="51">
        <v>342462146</v>
      </c>
      <c r="AO58" s="51" t="s">
        <v>1447</v>
      </c>
      <c r="AP58" s="51" t="s">
        <v>1216</v>
      </c>
      <c r="AQ58" s="188">
        <v>44013</v>
      </c>
      <c r="AR58" s="204">
        <v>635.70619999999997</v>
      </c>
      <c r="AS58" s="51">
        <v>1.14E-2</v>
      </c>
      <c r="AT58" s="51">
        <v>4.0300000000000002E-2</v>
      </c>
      <c r="AU58" s="51">
        <v>8.4199999999999997E-2</v>
      </c>
      <c r="AV58" s="51">
        <v>8.4699999999999998E-2</v>
      </c>
      <c r="AW58" s="51">
        <v>0.18290000000000001</v>
      </c>
      <c r="AX58" s="51">
        <v>0.25619999999999998</v>
      </c>
      <c r="AY58" s="51">
        <v>0.27450000000000002</v>
      </c>
      <c r="AZ58" s="51">
        <v>4.7699999999999999E-2</v>
      </c>
      <c r="BA58" s="51">
        <v>1.8200000000000001E-2</v>
      </c>
      <c r="BB58" s="51"/>
      <c r="BC58" s="51"/>
      <c r="BD58" s="51"/>
      <c r="BE58" s="51"/>
      <c r="BF58" s="51"/>
      <c r="BG58" s="51"/>
      <c r="BH58" s="12"/>
      <c r="BI58" s="43" t="s">
        <v>1412</v>
      </c>
      <c r="BJ58" s="43" t="s">
        <v>1413</v>
      </c>
      <c r="BK58" s="43" t="s">
        <v>1414</v>
      </c>
      <c r="BL58" s="43" t="s">
        <v>1415</v>
      </c>
      <c r="BM58" s="43">
        <v>921022358</v>
      </c>
      <c r="BN58" s="43" t="s">
        <v>1413</v>
      </c>
      <c r="BO58" s="43">
        <v>284800461</v>
      </c>
      <c r="BP58" s="43" t="s">
        <v>1415</v>
      </c>
      <c r="BQ58" s="43" t="s">
        <v>1216</v>
      </c>
      <c r="BR58" s="43">
        <v>44013</v>
      </c>
      <c r="BS58" s="203">
        <v>2995.3923</v>
      </c>
      <c r="BT58" s="43">
        <v>5.3E-3</v>
      </c>
      <c r="BU58" s="43">
        <v>2.5999999999999999E-2</v>
      </c>
      <c r="BV58" s="43">
        <v>6.2199999999999998E-2</v>
      </c>
      <c r="BW58" s="43">
        <v>6.6199999999999995E-2</v>
      </c>
      <c r="BX58" s="43">
        <v>0.1482</v>
      </c>
      <c r="BY58" s="43">
        <v>0.2089</v>
      </c>
      <c r="BZ58" s="43">
        <v>0.2089</v>
      </c>
      <c r="CA58" s="43">
        <v>0.1019</v>
      </c>
      <c r="CB58" s="43">
        <v>0.1615</v>
      </c>
      <c r="CC58" s="43">
        <v>1.09E-2</v>
      </c>
      <c r="CD58" s="51"/>
      <c r="CE58" s="51"/>
      <c r="CF58" s="51"/>
      <c r="CG58" s="51"/>
      <c r="CH58" s="51"/>
      <c r="CI58" s="12"/>
      <c r="CJ58" s="43" t="s">
        <v>1331</v>
      </c>
      <c r="CK58" s="43" t="s">
        <v>1332</v>
      </c>
      <c r="CL58" s="43" t="s">
        <v>1333</v>
      </c>
      <c r="CM58" s="43" t="s">
        <v>1334</v>
      </c>
      <c r="CN58" s="43">
        <v>1323901884</v>
      </c>
      <c r="CO58" s="43" t="s">
        <v>1335</v>
      </c>
      <c r="CP58" s="43">
        <v>1521489023</v>
      </c>
      <c r="CQ58" s="43" t="s">
        <v>1336</v>
      </c>
      <c r="CR58" s="43" t="s">
        <v>1216</v>
      </c>
      <c r="CS58" s="43">
        <v>44013</v>
      </c>
      <c r="CT58" s="203">
        <v>2075.0473000000002</v>
      </c>
      <c r="CU58" s="43">
        <v>5.1999999999999998E-3</v>
      </c>
      <c r="CV58" s="43">
        <v>2.3699999999999999E-2</v>
      </c>
      <c r="CW58" s="43">
        <v>5.5399999999999998E-2</v>
      </c>
      <c r="CX58" s="43">
        <v>0.06</v>
      </c>
      <c r="CY58" s="43">
        <v>0.14080000000000001</v>
      </c>
      <c r="CZ58" s="43">
        <v>0.217</v>
      </c>
      <c r="DA58" s="43">
        <v>0.2477</v>
      </c>
      <c r="DB58" s="43">
        <v>0.10979999999999999</v>
      </c>
      <c r="DC58" s="43">
        <v>0.13730000000000001</v>
      </c>
      <c r="DD58" s="43">
        <v>3.2000000000000002E-3</v>
      </c>
      <c r="DE58" s="43"/>
      <c r="DF58" s="51"/>
      <c r="DG58" s="51"/>
      <c r="DH58" s="51"/>
      <c r="DI58" s="51"/>
      <c r="DJ58" s="200"/>
    </row>
    <row r="59" spans="1:114" ht="15.75" customHeight="1" x14ac:dyDescent="0.15">
      <c r="A59" s="12"/>
      <c r="B59" s="12"/>
      <c r="C59" s="12"/>
      <c r="D59" s="12"/>
      <c r="E59" s="12"/>
      <c r="F59" s="12"/>
      <c r="G59" s="51"/>
      <c r="H59" s="51"/>
      <c r="I59" s="51"/>
      <c r="J59" s="51"/>
      <c r="K59" s="51"/>
      <c r="L59" s="51"/>
      <c r="M59" s="51"/>
      <c r="N59" s="51"/>
      <c r="O59" s="51"/>
      <c r="P59" s="188" t="s">
        <v>1587</v>
      </c>
      <c r="Q59" s="204">
        <f>Q58/60</f>
        <v>10.220345466666666</v>
      </c>
      <c r="R59" s="51"/>
      <c r="S59" s="51"/>
      <c r="T59" s="51"/>
      <c r="U59" s="51"/>
      <c r="V59" s="51"/>
      <c r="W59" s="51"/>
      <c r="X59" s="51"/>
      <c r="Y59" s="51"/>
      <c r="Z59" s="51"/>
      <c r="AA59" s="51"/>
      <c r="AB59" s="51"/>
      <c r="AC59" s="51"/>
      <c r="AD59" s="51"/>
      <c r="AE59" s="51"/>
      <c r="AF59" s="51"/>
      <c r="AG59" s="12"/>
      <c r="AH59" s="51" t="s">
        <v>1460</v>
      </c>
      <c r="AI59" s="51" t="s">
        <v>1461</v>
      </c>
      <c r="AJ59" s="51" t="s">
        <v>1321</v>
      </c>
      <c r="AK59" s="51" t="s">
        <v>1322</v>
      </c>
      <c r="AL59" s="51">
        <v>575980917</v>
      </c>
      <c r="AM59" s="51" t="s">
        <v>1461</v>
      </c>
      <c r="AN59" s="51">
        <v>310624343</v>
      </c>
      <c r="AO59" s="51" t="s">
        <v>1433</v>
      </c>
      <c r="AP59" s="51" t="s">
        <v>1216</v>
      </c>
      <c r="AQ59" s="51">
        <v>44013</v>
      </c>
      <c r="AR59" s="203">
        <v>487.94009999999997</v>
      </c>
      <c r="AS59" s="51">
        <v>1.5900000000000001E-2</v>
      </c>
      <c r="AT59" s="51">
        <v>5.5399999999999998E-2</v>
      </c>
      <c r="AU59" s="51">
        <v>0.11020000000000001</v>
      </c>
      <c r="AV59" s="51">
        <v>0.1037</v>
      </c>
      <c r="AW59" s="51">
        <v>0.2034</v>
      </c>
      <c r="AX59" s="51">
        <v>0.2462</v>
      </c>
      <c r="AY59" s="51">
        <v>0.2253</v>
      </c>
      <c r="AZ59" s="51">
        <v>0.03</v>
      </c>
      <c r="BA59" s="51">
        <v>9.7999999999999997E-3</v>
      </c>
      <c r="BB59" s="51"/>
      <c r="BC59" s="51"/>
      <c r="BD59" s="51"/>
      <c r="BE59" s="51"/>
      <c r="BF59" s="51"/>
      <c r="BG59" s="51"/>
      <c r="BH59" s="12"/>
      <c r="BI59" s="43" t="s">
        <v>1423</v>
      </c>
      <c r="BJ59" s="43" t="s">
        <v>1424</v>
      </c>
      <c r="BK59" s="43" t="s">
        <v>1279</v>
      </c>
      <c r="BL59" s="43" t="s">
        <v>1280</v>
      </c>
      <c r="BM59" s="43">
        <v>1354260888</v>
      </c>
      <c r="BN59" s="43" t="s">
        <v>1425</v>
      </c>
      <c r="BO59" s="43">
        <v>982119759</v>
      </c>
      <c r="BP59" s="43" t="s">
        <v>1282</v>
      </c>
      <c r="BQ59" s="43" t="s">
        <v>1216</v>
      </c>
      <c r="BR59" s="43">
        <v>44013</v>
      </c>
      <c r="BS59" s="43">
        <v>5408.7191000000003</v>
      </c>
      <c r="BT59" s="43">
        <v>2.8999999999999998E-3</v>
      </c>
      <c r="BU59" s="43">
        <v>1.5299999999999999E-2</v>
      </c>
      <c r="BV59" s="43">
        <v>3.95E-2</v>
      </c>
      <c r="BW59" s="43">
        <v>4.53E-2</v>
      </c>
      <c r="BX59" s="43">
        <v>0.1119</v>
      </c>
      <c r="BY59" s="43">
        <v>0.18190000000000001</v>
      </c>
      <c r="BZ59" s="43">
        <v>0.21290000000000001</v>
      </c>
      <c r="CA59" s="43">
        <v>0.12130000000000001</v>
      </c>
      <c r="CB59" s="43">
        <v>0.24210000000000001</v>
      </c>
      <c r="CC59" s="43">
        <v>2.7E-2</v>
      </c>
      <c r="CD59" s="51"/>
      <c r="CE59" s="51"/>
      <c r="CF59" s="51"/>
      <c r="CG59" s="51"/>
      <c r="CH59" s="51"/>
      <c r="CI59" s="12"/>
      <c r="CJ59" s="43" t="s">
        <v>1349</v>
      </c>
      <c r="CK59" s="43" t="s">
        <v>1350</v>
      </c>
      <c r="CL59" s="43" t="s">
        <v>1299</v>
      </c>
      <c r="CM59" s="43" t="s">
        <v>1300</v>
      </c>
      <c r="CN59" s="43">
        <v>1380831764</v>
      </c>
      <c r="CO59" s="43" t="s">
        <v>1350</v>
      </c>
      <c r="CP59" s="43">
        <v>284419051</v>
      </c>
      <c r="CQ59" s="43" t="s">
        <v>1300</v>
      </c>
      <c r="CR59" s="43" t="s">
        <v>1216</v>
      </c>
      <c r="CS59" s="43">
        <v>44013</v>
      </c>
      <c r="CT59" s="203">
        <v>1851.5301999999999</v>
      </c>
      <c r="CU59" s="43">
        <v>5.3E-3</v>
      </c>
      <c r="CV59" s="43">
        <v>2.4299999999999999E-2</v>
      </c>
      <c r="CW59" s="43">
        <v>5.6599999999999998E-2</v>
      </c>
      <c r="CX59" s="43">
        <v>6.1100000000000002E-2</v>
      </c>
      <c r="CY59" s="43">
        <v>0.14349999999999999</v>
      </c>
      <c r="CZ59" s="43">
        <v>0.2215</v>
      </c>
      <c r="DA59" s="43">
        <v>0.25290000000000001</v>
      </c>
      <c r="DB59" s="43">
        <v>0.10829999999999999</v>
      </c>
      <c r="DC59" s="43">
        <v>0.1245</v>
      </c>
      <c r="DD59" s="43">
        <v>1.9E-3</v>
      </c>
      <c r="DE59" s="43"/>
      <c r="DF59" s="51"/>
      <c r="DG59" s="51"/>
      <c r="DH59" s="51"/>
      <c r="DI59" s="51"/>
      <c r="DJ59" s="12"/>
    </row>
    <row r="60" spans="1:114" ht="15.75" customHeight="1" x14ac:dyDescent="0.2">
      <c r="A60" s="187"/>
      <c r="B60" s="187"/>
      <c r="C60" s="187"/>
      <c r="D60" s="187"/>
      <c r="E60" s="187"/>
      <c r="F60" s="187"/>
      <c r="G60" s="188" t="s">
        <v>1573</v>
      </c>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12"/>
      <c r="AH60" s="51" t="s">
        <v>1471</v>
      </c>
      <c r="AI60" s="51" t="s">
        <v>1472</v>
      </c>
      <c r="AJ60" s="51" t="s">
        <v>1235</v>
      </c>
      <c r="AK60" s="51" t="s">
        <v>1236</v>
      </c>
      <c r="AL60" s="51">
        <v>586634331</v>
      </c>
      <c r="AM60" s="51" t="s">
        <v>1472</v>
      </c>
      <c r="AN60" s="51">
        <v>580824260</v>
      </c>
      <c r="AO60" s="51" t="s">
        <v>1473</v>
      </c>
      <c r="AP60" s="51" t="s">
        <v>1216</v>
      </c>
      <c r="AQ60" s="51">
        <v>44013</v>
      </c>
      <c r="AR60" s="51">
        <v>459.363</v>
      </c>
      <c r="AS60" s="51">
        <v>1.66E-2</v>
      </c>
      <c r="AT60" s="51">
        <v>5.7700000000000001E-2</v>
      </c>
      <c r="AU60" s="51">
        <v>0.114</v>
      </c>
      <c r="AV60" s="51">
        <v>0.10639999999999999</v>
      </c>
      <c r="AW60" s="51">
        <v>0.20599999999999999</v>
      </c>
      <c r="AX60" s="51">
        <v>0.24460000000000001</v>
      </c>
      <c r="AY60" s="51">
        <v>0.21920000000000001</v>
      </c>
      <c r="AZ60" s="51">
        <v>2.7900000000000001E-2</v>
      </c>
      <c r="BA60" s="51">
        <v>7.6E-3</v>
      </c>
      <c r="BB60" s="51"/>
      <c r="BC60" s="51"/>
      <c r="BD60" s="51"/>
      <c r="BE60" s="51"/>
      <c r="BF60" s="51"/>
      <c r="BG60" s="51"/>
      <c r="BH60" s="12"/>
      <c r="BI60" s="65" t="s">
        <v>1434</v>
      </c>
      <c r="BJ60" s="65" t="s">
        <v>1435</v>
      </c>
      <c r="BK60" s="65" t="s">
        <v>1258</v>
      </c>
      <c r="BL60" s="65" t="s">
        <v>1259</v>
      </c>
      <c r="BM60" s="65">
        <v>1371565796</v>
      </c>
      <c r="BN60" s="65" t="s">
        <v>1435</v>
      </c>
      <c r="BO60" s="65">
        <v>489487383</v>
      </c>
      <c r="BP60" s="65" t="s">
        <v>1436</v>
      </c>
      <c r="BQ60" s="65" t="s">
        <v>1216</v>
      </c>
      <c r="BR60" s="65">
        <v>44013</v>
      </c>
      <c r="BS60" s="65">
        <v>4733.0308999999997</v>
      </c>
      <c r="BT60" s="65">
        <v>3.0999999999999999E-3</v>
      </c>
      <c r="BU60" s="65">
        <v>1.4800000000000001E-2</v>
      </c>
      <c r="BV60" s="65">
        <v>3.6700000000000003E-2</v>
      </c>
      <c r="BW60" s="65">
        <v>4.2000000000000003E-2</v>
      </c>
      <c r="BX60" s="65">
        <v>0.107</v>
      </c>
      <c r="BY60" s="65">
        <v>0.18659999999999999</v>
      </c>
      <c r="BZ60" s="65">
        <v>0.24410000000000001</v>
      </c>
      <c r="CA60" s="65">
        <v>0.12720000000000001</v>
      </c>
      <c r="CB60" s="65">
        <v>0.21729999999999999</v>
      </c>
      <c r="CC60" s="65">
        <v>2.12E-2</v>
      </c>
      <c r="CD60" s="192"/>
      <c r="CE60" s="192"/>
      <c r="CF60" s="192"/>
      <c r="CG60" s="192"/>
      <c r="CH60" s="192"/>
      <c r="CI60" s="12"/>
      <c r="CJ60" s="43" t="s">
        <v>1363</v>
      </c>
      <c r="CK60" s="43" t="s">
        <v>1364</v>
      </c>
      <c r="CL60" s="43" t="s">
        <v>1365</v>
      </c>
      <c r="CM60" s="43" t="s">
        <v>1366</v>
      </c>
      <c r="CN60" s="43">
        <v>656971078</v>
      </c>
      <c r="CO60" s="43" t="s">
        <v>1364</v>
      </c>
      <c r="CP60" s="43">
        <v>761807761</v>
      </c>
      <c r="CQ60" s="43" t="s">
        <v>1367</v>
      </c>
      <c r="CR60" s="43" t="s">
        <v>1216</v>
      </c>
      <c r="CS60" s="43">
        <v>44013</v>
      </c>
      <c r="CT60" s="43">
        <v>3596.6419999999998</v>
      </c>
      <c r="CU60" s="43">
        <v>3.3999999999999998E-3</v>
      </c>
      <c r="CV60" s="43">
        <v>1.67E-2</v>
      </c>
      <c r="CW60" s="43">
        <v>4.1500000000000002E-2</v>
      </c>
      <c r="CX60" s="43">
        <v>4.7100000000000003E-2</v>
      </c>
      <c r="CY60" s="43">
        <v>0.1166</v>
      </c>
      <c r="CZ60" s="43">
        <v>0.19350000000000001</v>
      </c>
      <c r="DA60" s="43">
        <v>0.23699999999999999</v>
      </c>
      <c r="DB60" s="43">
        <v>0.1244</v>
      </c>
      <c r="DC60" s="43">
        <v>0.20730000000000001</v>
      </c>
      <c r="DD60" s="43">
        <v>1.2500000000000001E-2</v>
      </c>
      <c r="DE60" s="43"/>
      <c r="DF60" s="51"/>
      <c r="DG60" s="51"/>
      <c r="DH60" s="51"/>
      <c r="DI60" s="51"/>
      <c r="DJ60" s="200"/>
    </row>
    <row r="61" spans="1:114" ht="15.75" customHeight="1" x14ac:dyDescent="0.2">
      <c r="A61" s="191"/>
      <c r="B61" s="191"/>
      <c r="C61" s="191"/>
      <c r="D61" s="191"/>
      <c r="E61" s="191"/>
      <c r="F61" s="191"/>
      <c r="G61" s="192" t="s">
        <v>1185</v>
      </c>
      <c r="H61" s="192" t="s">
        <v>1186</v>
      </c>
      <c r="I61" s="192" t="s">
        <v>1187</v>
      </c>
      <c r="J61" s="192" t="s">
        <v>1188</v>
      </c>
      <c r="K61" s="192" t="s">
        <v>1189</v>
      </c>
      <c r="L61" s="192" t="s">
        <v>1190</v>
      </c>
      <c r="M61" s="192" t="s">
        <v>1191</v>
      </c>
      <c r="N61" s="192" t="s">
        <v>1192</v>
      </c>
      <c r="O61" s="192" t="s">
        <v>1193</v>
      </c>
      <c r="P61" s="192" t="s">
        <v>1194</v>
      </c>
      <c r="Q61" s="192" t="s">
        <v>1505</v>
      </c>
      <c r="R61" s="192" t="s">
        <v>1574</v>
      </c>
      <c r="S61" s="192" t="s">
        <v>1575</v>
      </c>
      <c r="T61" s="192" t="s">
        <v>1576</v>
      </c>
      <c r="U61" s="192" t="s">
        <v>1577</v>
      </c>
      <c r="V61" s="192" t="s">
        <v>1578</v>
      </c>
      <c r="W61" s="192" t="s">
        <v>1579</v>
      </c>
      <c r="X61" s="192" t="s">
        <v>1580</v>
      </c>
      <c r="Y61" s="192" t="s">
        <v>1581</v>
      </c>
      <c r="Z61" s="192" t="s">
        <v>1582</v>
      </c>
      <c r="AA61" s="192" t="s">
        <v>1583</v>
      </c>
      <c r="AB61" s="192"/>
      <c r="AC61" s="192"/>
      <c r="AD61" s="192"/>
      <c r="AE61" s="192"/>
      <c r="AF61" s="192"/>
      <c r="AG61" s="193"/>
      <c r="AH61" s="65" t="s">
        <v>1479</v>
      </c>
      <c r="AI61" s="65" t="s">
        <v>1480</v>
      </c>
      <c r="AJ61" s="65" t="s">
        <v>1481</v>
      </c>
      <c r="AK61" s="65" t="s">
        <v>1482</v>
      </c>
      <c r="AL61" s="65">
        <v>1028362533</v>
      </c>
      <c r="AM61" s="65" t="s">
        <v>1483</v>
      </c>
      <c r="AN61" s="65">
        <v>1222929957</v>
      </c>
      <c r="AO61" s="65" t="s">
        <v>1484</v>
      </c>
      <c r="AP61" s="65" t="s">
        <v>1216</v>
      </c>
      <c r="AQ61" s="65">
        <v>44013</v>
      </c>
      <c r="AR61" s="65">
        <v>731.86369999999999</v>
      </c>
      <c r="AS61" s="65">
        <v>7.6E-3</v>
      </c>
      <c r="AT61" s="65">
        <v>3.7600000000000001E-2</v>
      </c>
      <c r="AU61" s="65">
        <v>8.5500000000000007E-2</v>
      </c>
      <c r="AV61" s="65">
        <v>8.5599999999999996E-2</v>
      </c>
      <c r="AW61" s="65">
        <v>0.18360000000000001</v>
      </c>
      <c r="AX61" s="65">
        <v>0.2545</v>
      </c>
      <c r="AY61" s="65">
        <v>0.27010000000000001</v>
      </c>
      <c r="AZ61" s="65">
        <v>4.7399999999999998E-2</v>
      </c>
      <c r="BA61" s="65">
        <v>2.81E-2</v>
      </c>
      <c r="BB61" s="192"/>
      <c r="BC61" s="192"/>
      <c r="BD61" s="192"/>
      <c r="BE61" s="192"/>
      <c r="BF61" s="192"/>
      <c r="BG61" s="192"/>
      <c r="BH61" s="193"/>
      <c r="BI61" s="65" t="s">
        <v>1449</v>
      </c>
      <c r="BJ61" s="65" t="s">
        <v>1450</v>
      </c>
      <c r="BK61" s="65" t="s">
        <v>1389</v>
      </c>
      <c r="BL61" s="65" t="s">
        <v>1390</v>
      </c>
      <c r="BM61" s="65">
        <v>1427744264</v>
      </c>
      <c r="BN61" s="65" t="s">
        <v>1451</v>
      </c>
      <c r="BO61" s="65">
        <v>305003647</v>
      </c>
      <c r="BP61" s="65" t="s">
        <v>1390</v>
      </c>
      <c r="BQ61" s="65" t="s">
        <v>1216</v>
      </c>
      <c r="BR61" s="197">
        <v>44013</v>
      </c>
      <c r="BS61" s="65">
        <v>5297.8769000000002</v>
      </c>
      <c r="BT61" s="198">
        <v>3.3999999999999998E-3</v>
      </c>
      <c r="BU61" s="198">
        <v>1.7999999999999999E-2</v>
      </c>
      <c r="BV61" s="198">
        <v>4.65E-2</v>
      </c>
      <c r="BW61" s="198">
        <v>5.2400000000000002E-2</v>
      </c>
      <c r="BX61" s="198">
        <v>0.1245</v>
      </c>
      <c r="BY61" s="198">
        <v>0.1895</v>
      </c>
      <c r="BZ61" s="198">
        <v>0.20219999999999999</v>
      </c>
      <c r="CA61" s="198">
        <v>0.1128</v>
      </c>
      <c r="CB61" s="198">
        <v>0.22259999999999999</v>
      </c>
      <c r="CC61" s="198">
        <v>2.8199999999999999E-2</v>
      </c>
      <c r="CD61" s="198"/>
      <c r="CE61" s="198"/>
      <c r="CF61" s="198"/>
      <c r="CG61" s="198"/>
      <c r="CH61" s="198"/>
      <c r="CI61" s="193"/>
      <c r="CJ61" s="65" t="s">
        <v>1377</v>
      </c>
      <c r="CK61" s="65" t="s">
        <v>1378</v>
      </c>
      <c r="CL61" s="65" t="s">
        <v>1379</v>
      </c>
      <c r="CM61" s="65" t="s">
        <v>1380</v>
      </c>
      <c r="CN61" s="65">
        <v>731592936</v>
      </c>
      <c r="CO61" s="65" t="s">
        <v>1381</v>
      </c>
      <c r="CP61" s="65">
        <v>282764297</v>
      </c>
      <c r="CQ61" s="65" t="s">
        <v>1380</v>
      </c>
      <c r="CR61" s="65" t="s">
        <v>1216</v>
      </c>
      <c r="CS61" s="65">
        <v>44013</v>
      </c>
      <c r="CT61" s="65">
        <v>1283.9543000000001</v>
      </c>
      <c r="CU61" s="65">
        <v>1.17E-2</v>
      </c>
      <c r="CV61" s="65">
        <v>5.2499999999999998E-2</v>
      </c>
      <c r="CW61" s="65">
        <v>0.11070000000000001</v>
      </c>
      <c r="CX61" s="65">
        <v>0.104</v>
      </c>
      <c r="CY61" s="65">
        <v>0.19750000000000001</v>
      </c>
      <c r="CZ61" s="65">
        <v>0.21879999999999999</v>
      </c>
      <c r="DA61" s="65">
        <v>0.1676</v>
      </c>
      <c r="DB61" s="65">
        <v>6.3299999999999995E-2</v>
      </c>
      <c r="DC61" s="65">
        <v>7.1300000000000002E-2</v>
      </c>
      <c r="DD61" s="65">
        <v>2.5999999999999999E-3</v>
      </c>
      <c r="DE61" s="65"/>
      <c r="DF61" s="192"/>
      <c r="DG61" s="192"/>
      <c r="DH61" s="192"/>
      <c r="DI61" s="192"/>
      <c r="DJ61" s="200"/>
    </row>
    <row r="62" spans="1:114" ht="15.75" customHeight="1" x14ac:dyDescent="0.2">
      <c r="A62" s="196"/>
      <c r="B62" s="196"/>
      <c r="C62" s="196"/>
      <c r="D62" s="196"/>
      <c r="E62" s="196"/>
      <c r="F62" s="196"/>
      <c r="G62" s="65" t="s">
        <v>1288</v>
      </c>
      <c r="H62" s="65" t="s">
        <v>63</v>
      </c>
      <c r="I62" s="65" t="s">
        <v>1254</v>
      </c>
      <c r="J62" s="65" t="s">
        <v>1255</v>
      </c>
      <c r="K62" s="65">
        <v>850417475</v>
      </c>
      <c r="L62" s="65" t="s">
        <v>63</v>
      </c>
      <c r="M62" s="65">
        <v>526656015</v>
      </c>
      <c r="N62" s="65" t="s">
        <v>1255</v>
      </c>
      <c r="O62" s="65" t="s">
        <v>1216</v>
      </c>
      <c r="P62" s="197">
        <v>44013</v>
      </c>
      <c r="Q62" s="65">
        <v>1975.8203000000001</v>
      </c>
      <c r="R62" s="198">
        <v>4.3E-3</v>
      </c>
      <c r="S62" s="198">
        <v>2.3699999999999999E-2</v>
      </c>
      <c r="T62" s="198">
        <v>5.67E-2</v>
      </c>
      <c r="U62" s="198">
        <v>6.1400000000000003E-2</v>
      </c>
      <c r="V62" s="198">
        <v>0.14399999999999999</v>
      </c>
      <c r="W62" s="198">
        <v>0.2213</v>
      </c>
      <c r="X62" s="198">
        <v>0.25269999999999998</v>
      </c>
      <c r="Y62" s="198">
        <v>0.1072</v>
      </c>
      <c r="Z62" s="198">
        <v>0.12529999999999999</v>
      </c>
      <c r="AA62" s="198">
        <v>3.3999999999999998E-3</v>
      </c>
      <c r="AB62" s="198"/>
      <c r="AC62" s="198"/>
      <c r="AD62" s="198"/>
      <c r="AE62" s="198"/>
      <c r="AF62" s="198"/>
      <c r="AG62" s="199"/>
      <c r="AH62" s="65" t="s">
        <v>1492</v>
      </c>
      <c r="AI62" s="65" t="s">
        <v>1493</v>
      </c>
      <c r="AJ62" s="65" t="s">
        <v>1258</v>
      </c>
      <c r="AK62" s="65" t="s">
        <v>1259</v>
      </c>
      <c r="AL62" s="65">
        <v>1090242126</v>
      </c>
      <c r="AM62" s="65" t="s">
        <v>1493</v>
      </c>
      <c r="AN62" s="65">
        <v>292594310</v>
      </c>
      <c r="AO62" s="65" t="s">
        <v>1260</v>
      </c>
      <c r="AP62" s="65" t="s">
        <v>1216</v>
      </c>
      <c r="AQ62" s="197">
        <v>44013</v>
      </c>
      <c r="AR62" s="65">
        <v>627.93579999999997</v>
      </c>
      <c r="AS62" s="198">
        <v>1.3299999999999999E-2</v>
      </c>
      <c r="AT62" s="198">
        <v>4.6699999999999998E-2</v>
      </c>
      <c r="AU62" s="198">
        <v>9.5299999999999996E-2</v>
      </c>
      <c r="AV62" s="198">
        <v>9.2899999999999996E-2</v>
      </c>
      <c r="AW62" s="198">
        <v>0.19170000000000001</v>
      </c>
      <c r="AX62" s="198">
        <v>0.25069999999999998</v>
      </c>
      <c r="AY62" s="198">
        <v>0.24979999999999999</v>
      </c>
      <c r="AZ62" s="198">
        <v>3.9100000000000003E-2</v>
      </c>
      <c r="BA62" s="198">
        <v>2.0400000000000001E-2</v>
      </c>
      <c r="BB62" s="198"/>
      <c r="BC62" s="198"/>
      <c r="BD62" s="198"/>
      <c r="BE62" s="198"/>
      <c r="BF62" s="198"/>
      <c r="BG62" s="198"/>
      <c r="BH62" s="199"/>
      <c r="BI62" s="65" t="s">
        <v>1462</v>
      </c>
      <c r="BJ62" s="65" t="s">
        <v>1463</v>
      </c>
      <c r="BK62" s="65" t="s">
        <v>1464</v>
      </c>
      <c r="BL62" s="65" t="s">
        <v>1465</v>
      </c>
      <c r="BM62" s="65">
        <v>852912420</v>
      </c>
      <c r="BN62" s="65" t="s">
        <v>1463</v>
      </c>
      <c r="BO62" s="65">
        <v>299175870</v>
      </c>
      <c r="BP62" s="65" t="s">
        <v>1466</v>
      </c>
      <c r="BQ62" s="65" t="s">
        <v>1216</v>
      </c>
      <c r="BR62" s="197">
        <v>44013</v>
      </c>
      <c r="BS62" s="65">
        <v>7969.0016999999998</v>
      </c>
      <c r="BT62" s="198">
        <v>1.9E-3</v>
      </c>
      <c r="BU62" s="198">
        <v>9.5999999999999992E-3</v>
      </c>
      <c r="BV62" s="198">
        <v>2.4899999999999999E-2</v>
      </c>
      <c r="BW62" s="198">
        <v>2.9899999999999999E-2</v>
      </c>
      <c r="BX62" s="198">
        <v>8.1500000000000003E-2</v>
      </c>
      <c r="BY62" s="198">
        <v>0.15690000000000001</v>
      </c>
      <c r="BZ62" s="198">
        <v>0.22869999999999999</v>
      </c>
      <c r="CA62" s="198">
        <v>0.13619999999999999</v>
      </c>
      <c r="CB62" s="198">
        <v>0.2868</v>
      </c>
      <c r="CC62" s="198">
        <v>4.3700000000000003E-2</v>
      </c>
      <c r="CD62" s="198"/>
      <c r="CE62" s="198"/>
      <c r="CF62" s="198"/>
      <c r="CG62" s="198"/>
      <c r="CH62" s="198"/>
      <c r="CI62" s="199"/>
      <c r="CJ62" s="65" t="s">
        <v>1391</v>
      </c>
      <c r="CK62" s="65" t="s">
        <v>1392</v>
      </c>
      <c r="CL62" s="65" t="s">
        <v>1244</v>
      </c>
      <c r="CM62" s="65" t="s">
        <v>1245</v>
      </c>
      <c r="CN62" s="65">
        <v>824318267</v>
      </c>
      <c r="CO62" s="65" t="s">
        <v>1392</v>
      </c>
      <c r="CP62" s="65">
        <v>295913422</v>
      </c>
      <c r="CQ62" s="65" t="s">
        <v>1393</v>
      </c>
      <c r="CR62" s="65" t="s">
        <v>1216</v>
      </c>
      <c r="CS62" s="197">
        <v>44013</v>
      </c>
      <c r="CT62" s="65">
        <v>4230.7974000000004</v>
      </c>
      <c r="CU62" s="198">
        <v>4.7000000000000002E-3</v>
      </c>
      <c r="CV62" s="198">
        <v>2.3E-2</v>
      </c>
      <c r="CW62" s="198">
        <v>5.5199999999999999E-2</v>
      </c>
      <c r="CX62" s="198">
        <v>5.9700000000000003E-2</v>
      </c>
      <c r="CY62" s="198">
        <v>0.13719999999999999</v>
      </c>
      <c r="CZ62" s="198">
        <v>0.2024</v>
      </c>
      <c r="DA62" s="198">
        <v>0.21510000000000001</v>
      </c>
      <c r="DB62" s="198">
        <v>0.1071</v>
      </c>
      <c r="DC62" s="198">
        <v>0.1769</v>
      </c>
      <c r="DD62" s="198">
        <v>1.8800000000000001E-2</v>
      </c>
      <c r="DE62" s="198"/>
      <c r="DF62" s="198"/>
      <c r="DG62" s="198"/>
      <c r="DH62" s="198"/>
      <c r="DI62" s="198"/>
      <c r="DJ62" s="200"/>
    </row>
    <row r="63" spans="1:114" ht="15.75" customHeight="1" x14ac:dyDescent="0.2">
      <c r="A63" s="196"/>
      <c r="B63" s="196"/>
      <c r="C63" s="196"/>
      <c r="D63" s="196"/>
      <c r="E63" s="196"/>
      <c r="F63" s="196"/>
      <c r="G63" s="65" t="s">
        <v>1233</v>
      </c>
      <c r="H63" s="65" t="s">
        <v>1234</v>
      </c>
      <c r="I63" s="65" t="s">
        <v>1235</v>
      </c>
      <c r="J63" s="65" t="s">
        <v>1236</v>
      </c>
      <c r="K63" s="65">
        <v>868013618</v>
      </c>
      <c r="L63" s="65" t="s">
        <v>1237</v>
      </c>
      <c r="M63" s="65">
        <v>868013621</v>
      </c>
      <c r="N63" s="65" t="s">
        <v>1238</v>
      </c>
      <c r="O63" s="65" t="s">
        <v>1216</v>
      </c>
      <c r="P63" s="197">
        <v>44013</v>
      </c>
      <c r="Q63" s="65">
        <v>2666.1255000000001</v>
      </c>
      <c r="R63" s="198">
        <v>4.4999999999999997E-3</v>
      </c>
      <c r="S63" s="198">
        <v>2.1100000000000001E-2</v>
      </c>
      <c r="T63" s="198">
        <v>5.0299999999999997E-2</v>
      </c>
      <c r="U63" s="198">
        <v>5.5199999999999999E-2</v>
      </c>
      <c r="V63" s="198">
        <v>0.13220000000000001</v>
      </c>
      <c r="W63" s="198">
        <v>0.20949999999999999</v>
      </c>
      <c r="X63" s="198">
        <v>0.24590000000000001</v>
      </c>
      <c r="Y63" s="198">
        <v>0.11509999999999999</v>
      </c>
      <c r="Z63" s="198">
        <v>0.15909999999999999</v>
      </c>
      <c r="AA63" s="198">
        <v>7.1999999999999998E-3</v>
      </c>
      <c r="AB63" s="198"/>
      <c r="AC63" s="198"/>
      <c r="AD63" s="198"/>
      <c r="AE63" s="198"/>
      <c r="AF63" s="198"/>
      <c r="AG63" s="199"/>
      <c r="AH63" s="65" t="s">
        <v>1501</v>
      </c>
      <c r="AI63" s="65" t="s">
        <v>1502</v>
      </c>
      <c r="AJ63" s="65" t="s">
        <v>1503</v>
      </c>
      <c r="AK63" s="65" t="s">
        <v>1504</v>
      </c>
      <c r="AL63" s="65">
        <v>1040172229</v>
      </c>
      <c r="AM63" s="65" t="s">
        <v>1502</v>
      </c>
      <c r="AN63" s="65">
        <v>624795774</v>
      </c>
      <c r="AO63" s="65" t="s">
        <v>1504</v>
      </c>
      <c r="AP63" s="65" t="s">
        <v>1216</v>
      </c>
      <c r="AQ63" s="197">
        <v>44013</v>
      </c>
      <c r="AR63" s="65">
        <v>216.67349999999999</v>
      </c>
      <c r="AS63" s="198">
        <v>3.44E-2</v>
      </c>
      <c r="AT63" s="198">
        <v>0.113</v>
      </c>
      <c r="AU63" s="198">
        <v>0.19409999999999999</v>
      </c>
      <c r="AV63" s="198">
        <v>0.1507</v>
      </c>
      <c r="AW63" s="198">
        <v>0.22339999999999999</v>
      </c>
      <c r="AX63" s="198">
        <v>0.17660000000000001</v>
      </c>
      <c r="AY63" s="198">
        <v>0.10100000000000001</v>
      </c>
      <c r="AZ63" s="198">
        <v>6.1999999999999998E-3</v>
      </c>
      <c r="BA63" s="198">
        <v>6.9999999999999999E-4</v>
      </c>
      <c r="BB63" s="198"/>
      <c r="BC63" s="198"/>
      <c r="BD63" s="198"/>
      <c r="BE63" s="198"/>
      <c r="BF63" s="198"/>
      <c r="BG63" s="198"/>
      <c r="BH63" s="199"/>
      <c r="BI63" s="65"/>
      <c r="BJ63" s="65"/>
      <c r="BK63" s="65"/>
      <c r="BL63" s="65"/>
      <c r="BM63" s="65"/>
      <c r="BN63" s="65"/>
      <c r="BO63" s="65"/>
      <c r="BP63" s="65"/>
      <c r="BQ63" s="65"/>
      <c r="BR63" s="202" t="s">
        <v>1588</v>
      </c>
      <c r="BS63" s="202">
        <f>AVERAGE(BS46:BS62)</f>
        <v>4231.9370823529407</v>
      </c>
      <c r="BT63" s="198"/>
      <c r="BU63" s="198"/>
      <c r="BV63" s="198"/>
      <c r="BW63" s="198"/>
      <c r="BX63" s="198"/>
      <c r="BY63" s="198"/>
      <c r="BZ63" s="198"/>
      <c r="CA63" s="198"/>
      <c r="CB63" s="198"/>
      <c r="CC63" s="198"/>
      <c r="CD63" s="198"/>
      <c r="CE63" s="198"/>
      <c r="CF63" s="198"/>
      <c r="CG63" s="198"/>
      <c r="CH63" s="198"/>
      <c r="CI63" s="199"/>
      <c r="CJ63" s="65" t="s">
        <v>1402</v>
      </c>
      <c r="CK63" s="65" t="s">
        <v>1403</v>
      </c>
      <c r="CL63" s="65" t="s">
        <v>1404</v>
      </c>
      <c r="CM63" s="65" t="s">
        <v>1405</v>
      </c>
      <c r="CN63" s="65">
        <v>1372638631</v>
      </c>
      <c r="CO63" s="65" t="s">
        <v>1403</v>
      </c>
      <c r="CP63" s="65">
        <v>1004862412</v>
      </c>
      <c r="CQ63" s="65" t="s">
        <v>1406</v>
      </c>
      <c r="CR63" s="65" t="s">
        <v>1216</v>
      </c>
      <c r="CS63" s="197">
        <v>44013</v>
      </c>
      <c r="CT63" s="65">
        <v>3445.8472999999999</v>
      </c>
      <c r="CU63" s="198">
        <v>3.5000000000000001E-3</v>
      </c>
      <c r="CV63" s="198">
        <v>1.7600000000000001E-2</v>
      </c>
      <c r="CW63" s="198">
        <v>4.41E-2</v>
      </c>
      <c r="CX63" s="198">
        <v>4.9700000000000001E-2</v>
      </c>
      <c r="CY63" s="198">
        <v>0.1212</v>
      </c>
      <c r="CZ63" s="198">
        <v>0.19500000000000001</v>
      </c>
      <c r="DA63" s="198">
        <v>0.22869999999999999</v>
      </c>
      <c r="DB63" s="198">
        <v>0.12139999999999999</v>
      </c>
      <c r="DC63" s="198">
        <v>0.2077</v>
      </c>
      <c r="DD63" s="198">
        <v>1.09E-2</v>
      </c>
      <c r="DE63" s="198"/>
      <c r="DF63" s="198"/>
      <c r="DG63" s="198"/>
      <c r="DH63" s="198"/>
      <c r="DI63" s="198"/>
      <c r="DJ63" s="200"/>
    </row>
    <row r="64" spans="1:114" ht="15.75" customHeight="1" x14ac:dyDescent="0.2">
      <c r="A64" s="196"/>
      <c r="B64" s="196"/>
      <c r="C64" s="196"/>
      <c r="D64" s="196"/>
      <c r="E64" s="196"/>
      <c r="F64" s="196"/>
      <c r="G64" s="65" t="s">
        <v>1211</v>
      </c>
      <c r="H64" s="65" t="s">
        <v>1212</v>
      </c>
      <c r="I64" s="65" t="s">
        <v>1213</v>
      </c>
      <c r="J64" s="65" t="s">
        <v>1214</v>
      </c>
      <c r="K64" s="65">
        <v>880047117</v>
      </c>
      <c r="L64" s="65" t="s">
        <v>1212</v>
      </c>
      <c r="M64" s="65">
        <v>298910979</v>
      </c>
      <c r="N64" s="65" t="s">
        <v>1215</v>
      </c>
      <c r="O64" s="65" t="s">
        <v>1216</v>
      </c>
      <c r="P64" s="197">
        <v>44013</v>
      </c>
      <c r="Q64" s="65">
        <v>1985.2106000000001</v>
      </c>
      <c r="R64" s="198">
        <v>5.7000000000000002E-3</v>
      </c>
      <c r="S64" s="198">
        <v>2.58E-2</v>
      </c>
      <c r="T64" s="198">
        <v>5.9200000000000003E-2</v>
      </c>
      <c r="U64" s="198">
        <v>6.3299999999999995E-2</v>
      </c>
      <c r="V64" s="198">
        <v>0.14630000000000001</v>
      </c>
      <c r="W64" s="198">
        <v>0.221</v>
      </c>
      <c r="X64" s="198">
        <v>0.24759999999999999</v>
      </c>
      <c r="Y64" s="198">
        <v>0.1041</v>
      </c>
      <c r="Z64" s="198">
        <v>0.1231</v>
      </c>
      <c r="AA64" s="198">
        <v>3.8E-3</v>
      </c>
      <c r="AB64" s="198"/>
      <c r="AC64" s="198"/>
      <c r="AD64" s="198"/>
      <c r="AE64" s="198"/>
      <c r="AF64" s="198"/>
      <c r="AG64" s="199"/>
      <c r="AH64" s="65" t="s">
        <v>1519</v>
      </c>
      <c r="AI64" s="65" t="s">
        <v>1520</v>
      </c>
      <c r="AJ64" s="65" t="s">
        <v>1521</v>
      </c>
      <c r="AK64" s="65" t="s">
        <v>1522</v>
      </c>
      <c r="AL64" s="65">
        <v>1150250440</v>
      </c>
      <c r="AM64" s="65" t="s">
        <v>1520</v>
      </c>
      <c r="AN64" s="65">
        <v>463146137</v>
      </c>
      <c r="AO64" s="65" t="s">
        <v>1522</v>
      </c>
      <c r="AP64" s="65" t="s">
        <v>1216</v>
      </c>
      <c r="AQ64" s="197">
        <v>44013</v>
      </c>
      <c r="AR64" s="65">
        <v>704.23940000000005</v>
      </c>
      <c r="AS64" s="198">
        <v>9.9000000000000008E-3</v>
      </c>
      <c r="AT64" s="198">
        <v>3.5200000000000002E-2</v>
      </c>
      <c r="AU64" s="198">
        <v>7.51E-2</v>
      </c>
      <c r="AV64" s="198">
        <v>7.7399999999999997E-2</v>
      </c>
      <c r="AW64" s="198">
        <v>0.1736</v>
      </c>
      <c r="AX64" s="198">
        <v>0.25719999999999998</v>
      </c>
      <c r="AY64" s="198">
        <v>0.29239999999999999</v>
      </c>
      <c r="AZ64" s="198">
        <v>5.6300000000000003E-2</v>
      </c>
      <c r="BA64" s="198">
        <v>2.3E-2</v>
      </c>
      <c r="BB64" s="198"/>
      <c r="BC64" s="198"/>
      <c r="BD64" s="198"/>
      <c r="BE64" s="198"/>
      <c r="BF64" s="198"/>
      <c r="BG64" s="198"/>
      <c r="BH64" s="199"/>
      <c r="BI64" s="65"/>
      <c r="BJ64" s="65"/>
      <c r="BK64" s="65"/>
      <c r="BL64" s="65"/>
      <c r="BM64" s="65"/>
      <c r="BN64" s="65"/>
      <c r="BO64" s="65"/>
      <c r="BP64" s="65"/>
      <c r="BQ64" s="65"/>
      <c r="BR64" s="202" t="s">
        <v>1589</v>
      </c>
      <c r="BS64" s="202">
        <f>BS63/60</f>
        <v>70.532284705882347</v>
      </c>
      <c r="BT64" s="198"/>
      <c r="BU64" s="198"/>
      <c r="BV64" s="198"/>
      <c r="BW64" s="198"/>
      <c r="BX64" s="198"/>
      <c r="BY64" s="198"/>
      <c r="BZ64" s="198"/>
      <c r="CA64" s="198"/>
      <c r="CB64" s="198"/>
      <c r="CC64" s="198"/>
      <c r="CD64" s="198"/>
      <c r="CE64" s="198"/>
      <c r="CF64" s="198"/>
      <c r="CG64" s="198"/>
      <c r="CH64" s="198"/>
      <c r="CI64" s="199"/>
      <c r="CJ64" s="65" t="s">
        <v>1416</v>
      </c>
      <c r="CK64" s="65" t="s">
        <v>1417</v>
      </c>
      <c r="CL64" s="65" t="s">
        <v>1418</v>
      </c>
      <c r="CM64" s="65" t="s">
        <v>1419</v>
      </c>
      <c r="CN64" s="65">
        <v>506627515</v>
      </c>
      <c r="CO64" s="65" t="s">
        <v>1417</v>
      </c>
      <c r="CP64" s="65">
        <v>488106216</v>
      </c>
      <c r="CQ64" s="65" t="s">
        <v>1419</v>
      </c>
      <c r="CR64" s="65" t="s">
        <v>1216</v>
      </c>
      <c r="CS64" s="197">
        <v>44013</v>
      </c>
      <c r="CT64" s="65">
        <v>2797.1324</v>
      </c>
      <c r="CU64" s="198">
        <v>6.6E-3</v>
      </c>
      <c r="CV64" s="198">
        <v>3.1300000000000001E-2</v>
      </c>
      <c r="CW64" s="198">
        <v>7.1999999999999995E-2</v>
      </c>
      <c r="CX64" s="198">
        <v>7.4300000000000005E-2</v>
      </c>
      <c r="CY64" s="198">
        <v>0.16009999999999999</v>
      </c>
      <c r="CZ64" s="198">
        <v>0.21429999999999999</v>
      </c>
      <c r="DA64" s="198">
        <v>0.2036</v>
      </c>
      <c r="DB64" s="198">
        <v>9.2700000000000005E-2</v>
      </c>
      <c r="DC64" s="198">
        <v>0.13489999999999999</v>
      </c>
      <c r="DD64" s="198">
        <v>1.04E-2</v>
      </c>
      <c r="DE64" s="198"/>
      <c r="DF64" s="198"/>
      <c r="DG64" s="198"/>
      <c r="DH64" s="198"/>
      <c r="DI64" s="198"/>
      <c r="DJ64" s="200"/>
    </row>
    <row r="65" spans="1:114" ht="15.75" customHeight="1" x14ac:dyDescent="0.2">
      <c r="A65" s="196"/>
      <c r="B65" s="196"/>
      <c r="C65" s="196"/>
      <c r="D65" s="196"/>
      <c r="E65" s="196"/>
      <c r="F65" s="196"/>
      <c r="G65" s="65" t="s">
        <v>1270</v>
      </c>
      <c r="H65" s="65" t="s">
        <v>1271</v>
      </c>
      <c r="I65" s="65" t="s">
        <v>1254</v>
      </c>
      <c r="J65" s="65" t="s">
        <v>1255</v>
      </c>
      <c r="K65" s="65">
        <v>1047246341</v>
      </c>
      <c r="L65" s="65" t="s">
        <v>1271</v>
      </c>
      <c r="M65" s="65">
        <v>526656015</v>
      </c>
      <c r="N65" s="65" t="s">
        <v>1255</v>
      </c>
      <c r="O65" s="65" t="s">
        <v>1216</v>
      </c>
      <c r="P65" s="197">
        <v>44013</v>
      </c>
      <c r="Q65" s="65">
        <v>1808.9770000000001</v>
      </c>
      <c r="R65" s="198">
        <v>5.8999999999999999E-3</v>
      </c>
      <c r="S65" s="198">
        <v>2.64E-2</v>
      </c>
      <c r="T65" s="198">
        <v>6.0499999999999998E-2</v>
      </c>
      <c r="U65" s="198">
        <v>6.4500000000000002E-2</v>
      </c>
      <c r="V65" s="198">
        <v>0.1487</v>
      </c>
      <c r="W65" s="198">
        <v>0.22320000000000001</v>
      </c>
      <c r="X65" s="198">
        <v>0.248</v>
      </c>
      <c r="Y65" s="198">
        <v>0.1032</v>
      </c>
      <c r="Z65" s="198">
        <v>0.1172</v>
      </c>
      <c r="AA65" s="198">
        <v>2.5000000000000001E-3</v>
      </c>
      <c r="AB65" s="198"/>
      <c r="AC65" s="198"/>
      <c r="AD65" s="198"/>
      <c r="AE65" s="198"/>
      <c r="AF65" s="198"/>
      <c r="AG65" s="199"/>
      <c r="AH65" s="65" t="s">
        <v>1526</v>
      </c>
      <c r="AI65" s="65" t="s">
        <v>1527</v>
      </c>
      <c r="AJ65" s="65" t="s">
        <v>1258</v>
      </c>
      <c r="AK65" s="65" t="s">
        <v>1259</v>
      </c>
      <c r="AL65" s="65">
        <v>1243005112</v>
      </c>
      <c r="AM65" s="65" t="s">
        <v>1527</v>
      </c>
      <c r="AN65" s="65">
        <v>525894639</v>
      </c>
      <c r="AO65" s="65" t="s">
        <v>1386</v>
      </c>
      <c r="AP65" s="65" t="s">
        <v>1216</v>
      </c>
      <c r="AQ65" s="197">
        <v>44013</v>
      </c>
      <c r="AR65" s="65">
        <v>402.75880000000001</v>
      </c>
      <c r="AS65" s="198">
        <v>1.9300000000000001E-2</v>
      </c>
      <c r="AT65" s="198">
        <v>6.6400000000000001E-2</v>
      </c>
      <c r="AU65" s="198">
        <v>0.12790000000000001</v>
      </c>
      <c r="AV65" s="198">
        <v>0.11550000000000001</v>
      </c>
      <c r="AW65" s="198">
        <v>0.2132</v>
      </c>
      <c r="AX65" s="198">
        <v>0.2356</v>
      </c>
      <c r="AY65" s="198">
        <v>0.1951</v>
      </c>
      <c r="AZ65" s="198">
        <v>2.18E-2</v>
      </c>
      <c r="BA65" s="198">
        <v>5.3E-3</v>
      </c>
      <c r="BB65" s="198"/>
      <c r="BC65" s="198"/>
      <c r="BD65" s="198"/>
      <c r="BE65" s="198"/>
      <c r="BF65" s="198"/>
      <c r="BG65" s="198"/>
      <c r="BH65" s="199"/>
      <c r="BI65" s="65"/>
      <c r="BJ65" s="65"/>
      <c r="BK65" s="65"/>
      <c r="BL65" s="65"/>
      <c r="BM65" s="65"/>
      <c r="BN65" s="65"/>
      <c r="BO65" s="65"/>
      <c r="BP65" s="65"/>
      <c r="BQ65" s="65"/>
      <c r="BR65" s="197"/>
      <c r="BS65" s="65"/>
      <c r="BT65" s="198"/>
      <c r="BU65" s="198"/>
      <c r="BV65" s="198"/>
      <c r="BW65" s="198"/>
      <c r="BX65" s="198"/>
      <c r="BY65" s="198"/>
      <c r="BZ65" s="198"/>
      <c r="CA65" s="198"/>
      <c r="CB65" s="198"/>
      <c r="CC65" s="198"/>
      <c r="CD65" s="198"/>
      <c r="CE65" s="198"/>
      <c r="CF65" s="198"/>
      <c r="CG65" s="198"/>
      <c r="CH65" s="198"/>
      <c r="CI65" s="199"/>
      <c r="CJ65" s="65" t="s">
        <v>1426</v>
      </c>
      <c r="CK65" s="65" t="s">
        <v>1427</v>
      </c>
      <c r="CL65" s="65" t="s">
        <v>1299</v>
      </c>
      <c r="CM65" s="65" t="s">
        <v>1300</v>
      </c>
      <c r="CN65" s="65">
        <v>860822992</v>
      </c>
      <c r="CO65" s="65" t="s">
        <v>1427</v>
      </c>
      <c r="CP65" s="65">
        <v>284419051</v>
      </c>
      <c r="CQ65" s="65" t="s">
        <v>1300</v>
      </c>
      <c r="CR65" s="65" t="s">
        <v>1216</v>
      </c>
      <c r="CS65" s="197">
        <v>44013</v>
      </c>
      <c r="CT65" s="65">
        <v>1811.4087</v>
      </c>
      <c r="CU65" s="198">
        <v>1.01E-2</v>
      </c>
      <c r="CV65" s="198">
        <v>4.6699999999999998E-2</v>
      </c>
      <c r="CW65" s="198">
        <v>0.1017</v>
      </c>
      <c r="CX65" s="198">
        <v>9.7699999999999995E-2</v>
      </c>
      <c r="CY65" s="198">
        <v>0.18990000000000001</v>
      </c>
      <c r="CZ65" s="198">
        <v>0.21709999999999999</v>
      </c>
      <c r="DA65" s="198">
        <v>0.17030000000000001</v>
      </c>
      <c r="DB65" s="198">
        <v>7.0099999999999996E-2</v>
      </c>
      <c r="DC65" s="198">
        <v>9.0499999999999997E-2</v>
      </c>
      <c r="DD65" s="198">
        <v>5.8999999999999999E-3</v>
      </c>
      <c r="DE65" s="198"/>
      <c r="DF65" s="198"/>
      <c r="DG65" s="198"/>
      <c r="DH65" s="198"/>
      <c r="DI65" s="198"/>
      <c r="DJ65" s="200"/>
    </row>
    <row r="66" spans="1:114" ht="15.75" customHeight="1" x14ac:dyDescent="0.2">
      <c r="A66" s="196"/>
      <c r="B66" s="196"/>
      <c r="C66" s="196"/>
      <c r="D66" s="196"/>
      <c r="E66" s="196"/>
      <c r="F66" s="196"/>
      <c r="G66" s="65" t="s">
        <v>1252</v>
      </c>
      <c r="H66" s="65" t="s">
        <v>1253</v>
      </c>
      <c r="I66" s="65" t="s">
        <v>1254</v>
      </c>
      <c r="J66" s="65" t="s">
        <v>1255</v>
      </c>
      <c r="K66" s="65">
        <v>1095254858</v>
      </c>
      <c r="L66" s="65" t="s">
        <v>1253</v>
      </c>
      <c r="M66" s="65">
        <v>526656015</v>
      </c>
      <c r="N66" s="65" t="s">
        <v>1255</v>
      </c>
      <c r="O66" s="65" t="s">
        <v>1216</v>
      </c>
      <c r="P66" s="197">
        <v>44013</v>
      </c>
      <c r="Q66" s="65">
        <v>2071.1138999999998</v>
      </c>
      <c r="R66" s="198">
        <v>4.4999999999999997E-3</v>
      </c>
      <c r="S66" s="198">
        <v>2.0500000000000001E-2</v>
      </c>
      <c r="T66" s="198">
        <v>4.8599999999999997E-2</v>
      </c>
      <c r="U66" s="198">
        <v>5.3800000000000001E-2</v>
      </c>
      <c r="V66" s="198">
        <v>0.13159999999999999</v>
      </c>
      <c r="W66" s="198">
        <v>0.21629999999999999</v>
      </c>
      <c r="X66" s="198">
        <v>0.26600000000000001</v>
      </c>
      <c r="Y66" s="198">
        <v>0.11799999999999999</v>
      </c>
      <c r="Z66" s="198">
        <v>0.13800000000000001</v>
      </c>
      <c r="AA66" s="198">
        <v>2.8E-3</v>
      </c>
      <c r="AB66" s="198"/>
      <c r="AC66" s="198"/>
      <c r="AD66" s="198"/>
      <c r="AE66" s="198"/>
      <c r="AF66" s="198"/>
      <c r="AG66" s="199"/>
      <c r="AH66" s="65" t="s">
        <v>1530</v>
      </c>
      <c r="AI66" s="65" t="s">
        <v>1531</v>
      </c>
      <c r="AJ66" s="65" t="s">
        <v>1341</v>
      </c>
      <c r="AK66" s="65" t="s">
        <v>1342</v>
      </c>
      <c r="AL66" s="65">
        <v>1356045010</v>
      </c>
      <c r="AM66" s="65" t="s">
        <v>1532</v>
      </c>
      <c r="AN66" s="65">
        <v>1241617493</v>
      </c>
      <c r="AO66" s="65" t="s">
        <v>1342</v>
      </c>
      <c r="AP66" s="65" t="s">
        <v>1216</v>
      </c>
      <c r="AQ66" s="197">
        <v>44013</v>
      </c>
      <c r="AR66" s="65">
        <v>512.19539999999995</v>
      </c>
      <c r="AS66" s="198">
        <v>1.3899999999999999E-2</v>
      </c>
      <c r="AT66" s="198">
        <v>5.6399999999999999E-2</v>
      </c>
      <c r="AU66" s="198">
        <v>0.11169999999999999</v>
      </c>
      <c r="AV66" s="198">
        <v>0.1048</v>
      </c>
      <c r="AW66" s="198">
        <v>0.2041</v>
      </c>
      <c r="AX66" s="198">
        <v>0.24490000000000001</v>
      </c>
      <c r="AY66" s="198">
        <v>0.22209999999999999</v>
      </c>
      <c r="AZ66" s="198">
        <v>2.9499999999999998E-2</v>
      </c>
      <c r="BA66" s="198">
        <v>1.26E-2</v>
      </c>
      <c r="BB66" s="198"/>
      <c r="BC66" s="198"/>
      <c r="BD66" s="198"/>
      <c r="BE66" s="198"/>
      <c r="BF66" s="198"/>
      <c r="BG66" s="198"/>
      <c r="BH66" s="199"/>
      <c r="BI66" s="65"/>
      <c r="BJ66" s="65"/>
      <c r="BK66" s="65"/>
      <c r="BL66" s="65"/>
      <c r="BM66" s="65"/>
      <c r="BN66" s="65"/>
      <c r="BO66" s="65"/>
      <c r="BP66" s="65"/>
      <c r="BQ66" s="65"/>
      <c r="BR66" s="197"/>
      <c r="BS66" s="65"/>
      <c r="BT66" s="198"/>
      <c r="BU66" s="198"/>
      <c r="BV66" s="198"/>
      <c r="BW66" s="198"/>
      <c r="BX66" s="198"/>
      <c r="BY66" s="198"/>
      <c r="BZ66" s="198"/>
      <c r="CA66" s="198"/>
      <c r="CB66" s="198"/>
      <c r="CC66" s="198"/>
      <c r="CD66" s="198"/>
      <c r="CE66" s="198"/>
      <c r="CF66" s="198"/>
      <c r="CG66" s="198"/>
      <c r="CH66" s="198"/>
      <c r="CI66" s="199"/>
      <c r="CJ66" s="65" t="s">
        <v>1437</v>
      </c>
      <c r="CK66" s="65" t="s">
        <v>1438</v>
      </c>
      <c r="CL66" s="65" t="s">
        <v>1439</v>
      </c>
      <c r="CM66" s="65" t="s">
        <v>1440</v>
      </c>
      <c r="CN66" s="65">
        <v>1127240206</v>
      </c>
      <c r="CO66" s="65" t="s">
        <v>1438</v>
      </c>
      <c r="CP66" s="65">
        <v>1098184645</v>
      </c>
      <c r="CQ66" s="65" t="s">
        <v>1440</v>
      </c>
      <c r="CR66" s="65" t="s">
        <v>1216</v>
      </c>
      <c r="CS66" s="197">
        <v>44013</v>
      </c>
      <c r="CT66" s="65">
        <v>3309.8238999999999</v>
      </c>
      <c r="CU66" s="198">
        <v>5.4999999999999997E-3</v>
      </c>
      <c r="CV66" s="198">
        <v>2.6700000000000002E-2</v>
      </c>
      <c r="CW66" s="198">
        <v>6.3600000000000004E-2</v>
      </c>
      <c r="CX66" s="198">
        <v>6.7299999999999999E-2</v>
      </c>
      <c r="CY66" s="198">
        <v>0.14949999999999999</v>
      </c>
      <c r="CZ66" s="198">
        <v>0.2084</v>
      </c>
      <c r="DA66" s="198">
        <v>0.2056</v>
      </c>
      <c r="DB66" s="198">
        <v>9.9900000000000003E-2</v>
      </c>
      <c r="DC66" s="198">
        <v>0.16009999999999999</v>
      </c>
      <c r="DD66" s="198">
        <v>1.32E-2</v>
      </c>
      <c r="DE66" s="198"/>
      <c r="DF66" s="198"/>
      <c r="DG66" s="198"/>
      <c r="DH66" s="198"/>
      <c r="DI66" s="198"/>
      <c r="DJ66" s="200"/>
    </row>
    <row r="67" spans="1:114" ht="15.75" customHeight="1" x14ac:dyDescent="0.2">
      <c r="A67" s="196"/>
      <c r="B67" s="196"/>
      <c r="C67" s="196"/>
      <c r="D67" s="196"/>
      <c r="E67" s="196"/>
      <c r="F67" s="196"/>
      <c r="G67" s="65" t="s">
        <v>1302</v>
      </c>
      <c r="H67" s="65" t="s">
        <v>1303</v>
      </c>
      <c r="I67" s="65" t="s">
        <v>1254</v>
      </c>
      <c r="J67" s="65" t="s">
        <v>1255</v>
      </c>
      <c r="K67" s="65">
        <v>553834731</v>
      </c>
      <c r="L67" s="65" t="s">
        <v>1303</v>
      </c>
      <c r="M67" s="65">
        <v>526656015</v>
      </c>
      <c r="N67" s="65" t="s">
        <v>1255</v>
      </c>
      <c r="O67" s="65" t="s">
        <v>1216</v>
      </c>
      <c r="P67" s="197">
        <v>44013</v>
      </c>
      <c r="Q67" s="65">
        <v>1904.6802</v>
      </c>
      <c r="R67" s="198">
        <v>5.3E-3</v>
      </c>
      <c r="S67" s="198">
        <v>2.7699999999999999E-2</v>
      </c>
      <c r="T67" s="198">
        <v>6.4500000000000002E-2</v>
      </c>
      <c r="U67" s="198">
        <v>6.8199999999999997E-2</v>
      </c>
      <c r="V67" s="198">
        <v>0.15379999999999999</v>
      </c>
      <c r="W67" s="198">
        <v>0.2218</v>
      </c>
      <c r="X67" s="198">
        <v>0.23369999999999999</v>
      </c>
      <c r="Y67" s="198">
        <v>9.9900000000000003E-2</v>
      </c>
      <c r="Z67" s="198">
        <v>0.1221</v>
      </c>
      <c r="AA67" s="198">
        <v>3.0999999999999999E-3</v>
      </c>
      <c r="AB67" s="198"/>
      <c r="AC67" s="198"/>
      <c r="AD67" s="198"/>
      <c r="AE67" s="198"/>
      <c r="AF67" s="198"/>
      <c r="AG67" s="199"/>
      <c r="AH67" s="65" t="s">
        <v>1535</v>
      </c>
      <c r="AI67" s="65" t="s">
        <v>1536</v>
      </c>
      <c r="AJ67" s="65" t="s">
        <v>1537</v>
      </c>
      <c r="AK67" s="65" t="s">
        <v>1538</v>
      </c>
      <c r="AL67" s="65">
        <v>370339723</v>
      </c>
      <c r="AM67" s="65" t="s">
        <v>1536</v>
      </c>
      <c r="AN67" s="65">
        <v>312479206</v>
      </c>
      <c r="AO67" s="65" t="s">
        <v>1538</v>
      </c>
      <c r="AP67" s="65" t="s">
        <v>1216</v>
      </c>
      <c r="AQ67" s="197">
        <v>44013</v>
      </c>
      <c r="AR67" s="65">
        <v>949.64419999999996</v>
      </c>
      <c r="AS67" s="198">
        <v>7.9000000000000008E-3</v>
      </c>
      <c r="AT67" s="198">
        <v>2.8500000000000001E-2</v>
      </c>
      <c r="AU67" s="198">
        <v>6.2300000000000001E-2</v>
      </c>
      <c r="AV67" s="198">
        <v>6.6400000000000001E-2</v>
      </c>
      <c r="AW67" s="198">
        <v>0.15679999999999999</v>
      </c>
      <c r="AX67" s="198">
        <v>0.25059999999999999</v>
      </c>
      <c r="AY67" s="198">
        <v>0.30959999999999999</v>
      </c>
      <c r="AZ67" s="198">
        <v>7.0800000000000002E-2</v>
      </c>
      <c r="BA67" s="198">
        <v>4.7199999999999999E-2</v>
      </c>
      <c r="BB67" s="198"/>
      <c r="BC67" s="198"/>
      <c r="BD67" s="198"/>
      <c r="BE67" s="198"/>
      <c r="BF67" s="198"/>
      <c r="BG67" s="198"/>
      <c r="BH67" s="199"/>
      <c r="BI67" s="65"/>
      <c r="BJ67" s="65"/>
      <c r="BK67" s="65"/>
      <c r="BL67" s="65"/>
      <c r="BM67" s="65"/>
      <c r="BN67" s="65"/>
      <c r="BO67" s="65"/>
      <c r="BP67" s="65"/>
      <c r="BQ67" s="65"/>
      <c r="BR67" s="197"/>
      <c r="BS67" s="65"/>
      <c r="BT67" s="198"/>
      <c r="BU67" s="198"/>
      <c r="BV67" s="198"/>
      <c r="BW67" s="198"/>
      <c r="BX67" s="198"/>
      <c r="BY67" s="198"/>
      <c r="BZ67" s="198"/>
      <c r="CA67" s="198"/>
      <c r="CB67" s="198"/>
      <c r="CC67" s="198"/>
      <c r="CD67" s="198"/>
      <c r="CE67" s="198"/>
      <c r="CF67" s="198"/>
      <c r="CG67" s="198"/>
      <c r="CH67" s="198"/>
      <c r="CI67" s="199"/>
      <c r="CJ67" s="65" t="s">
        <v>1452</v>
      </c>
      <c r="CK67" s="65" t="s">
        <v>1453</v>
      </c>
      <c r="CL67" s="65" t="s">
        <v>1454</v>
      </c>
      <c r="CM67" s="65" t="s">
        <v>1455</v>
      </c>
      <c r="CN67" s="65">
        <v>1214763767</v>
      </c>
      <c r="CO67" s="65" t="s">
        <v>1453</v>
      </c>
      <c r="CP67" s="65">
        <v>1493742816</v>
      </c>
      <c r="CQ67" s="65" t="s">
        <v>1455</v>
      </c>
      <c r="CR67" s="65" t="s">
        <v>1216</v>
      </c>
      <c r="CS67" s="197">
        <v>44013</v>
      </c>
      <c r="CT67" s="65">
        <v>2602.4459000000002</v>
      </c>
      <c r="CU67" s="198">
        <v>5.3E-3</v>
      </c>
      <c r="CV67" s="198">
        <v>2.5399999999999999E-2</v>
      </c>
      <c r="CW67" s="198">
        <v>6.0400000000000002E-2</v>
      </c>
      <c r="CX67" s="198">
        <v>6.4600000000000005E-2</v>
      </c>
      <c r="CY67" s="198">
        <v>0.1462</v>
      </c>
      <c r="CZ67" s="198">
        <v>0.2107</v>
      </c>
      <c r="DA67" s="198">
        <v>0.21820000000000001</v>
      </c>
      <c r="DB67" s="198">
        <v>0.10440000000000001</v>
      </c>
      <c r="DC67" s="198">
        <v>0.15759999999999999</v>
      </c>
      <c r="DD67" s="198">
        <v>7.1000000000000004E-3</v>
      </c>
      <c r="DE67" s="198"/>
      <c r="DF67" s="198"/>
      <c r="DG67" s="198"/>
      <c r="DH67" s="198"/>
      <c r="DI67" s="198"/>
      <c r="DJ67" s="200"/>
    </row>
    <row r="68" spans="1:114" ht="15.75" customHeight="1" x14ac:dyDescent="0.2">
      <c r="A68" s="196"/>
      <c r="B68" s="196"/>
      <c r="C68" s="196"/>
      <c r="D68" s="196"/>
      <c r="E68" s="196"/>
      <c r="F68" s="196"/>
      <c r="G68" s="65" t="s">
        <v>1317</v>
      </c>
      <c r="H68" s="65" t="s">
        <v>1318</v>
      </c>
      <c r="I68" s="65" t="s">
        <v>1254</v>
      </c>
      <c r="J68" s="65" t="s">
        <v>1255</v>
      </c>
      <c r="K68" s="65">
        <v>608206510</v>
      </c>
      <c r="L68" s="65" t="s">
        <v>1318</v>
      </c>
      <c r="M68" s="65">
        <v>526656015</v>
      </c>
      <c r="N68" s="65" t="s">
        <v>1255</v>
      </c>
      <c r="O68" s="65" t="s">
        <v>1216</v>
      </c>
      <c r="P68" s="197">
        <v>44013</v>
      </c>
      <c r="Q68" s="65">
        <v>1924.3721</v>
      </c>
      <c r="R68" s="198">
        <v>4.8999999999999998E-3</v>
      </c>
      <c r="S68" s="198">
        <v>2.53E-2</v>
      </c>
      <c r="T68" s="198">
        <v>5.91E-2</v>
      </c>
      <c r="U68" s="198">
        <v>6.3399999999999998E-2</v>
      </c>
      <c r="V68" s="198">
        <v>0.14680000000000001</v>
      </c>
      <c r="W68" s="198">
        <v>0.22189999999999999</v>
      </c>
      <c r="X68" s="198">
        <v>0.24840000000000001</v>
      </c>
      <c r="Y68" s="198">
        <v>0.1047</v>
      </c>
      <c r="Z68" s="198">
        <v>0.1222</v>
      </c>
      <c r="AA68" s="198">
        <v>3.2000000000000002E-3</v>
      </c>
      <c r="AB68" s="198"/>
      <c r="AC68" s="198"/>
      <c r="AD68" s="198"/>
      <c r="AE68" s="198"/>
      <c r="AF68" s="198"/>
      <c r="AG68" s="199"/>
      <c r="AH68" s="65" t="s">
        <v>1540</v>
      </c>
      <c r="AI68" s="65" t="s">
        <v>1541</v>
      </c>
      <c r="AJ68" s="65" t="s">
        <v>1235</v>
      </c>
      <c r="AK68" s="65" t="s">
        <v>1236</v>
      </c>
      <c r="AL68" s="65">
        <v>480523695</v>
      </c>
      <c r="AM68" s="65" t="s">
        <v>1542</v>
      </c>
      <c r="AN68" s="65">
        <v>447553567</v>
      </c>
      <c r="AO68" s="65" t="s">
        <v>1236</v>
      </c>
      <c r="AP68" s="65" t="s">
        <v>1216</v>
      </c>
      <c r="AQ68" s="197">
        <v>44013</v>
      </c>
      <c r="AR68" s="65">
        <v>477.83819999999997</v>
      </c>
      <c r="AS68" s="198">
        <v>1.5699999999999999E-2</v>
      </c>
      <c r="AT68" s="198">
        <v>5.4699999999999999E-2</v>
      </c>
      <c r="AU68" s="198">
        <v>0.109</v>
      </c>
      <c r="AV68" s="198">
        <v>0.10299999999999999</v>
      </c>
      <c r="AW68" s="198">
        <v>0.20300000000000001</v>
      </c>
      <c r="AX68" s="198">
        <v>0.2477</v>
      </c>
      <c r="AY68" s="198">
        <v>0.22850000000000001</v>
      </c>
      <c r="AZ68" s="198">
        <v>3.04E-2</v>
      </c>
      <c r="BA68" s="198">
        <v>8.0000000000000002E-3</v>
      </c>
      <c r="BB68" s="198"/>
      <c r="BC68" s="198"/>
      <c r="BD68" s="198"/>
      <c r="BE68" s="198"/>
      <c r="BF68" s="198"/>
      <c r="BG68" s="198"/>
      <c r="BH68" s="199"/>
      <c r="BI68" s="65"/>
      <c r="BJ68" s="65"/>
      <c r="BK68" s="65"/>
      <c r="BL68" s="65"/>
      <c r="BM68" s="65"/>
      <c r="BN68" s="65"/>
      <c r="BO68" s="65"/>
      <c r="BP68" s="65"/>
      <c r="BQ68" s="65"/>
      <c r="BR68" s="197"/>
      <c r="BS68" s="65"/>
      <c r="BT68" s="198"/>
      <c r="BU68" s="198"/>
      <c r="BV68" s="198"/>
      <c r="BW68" s="198"/>
      <c r="BX68" s="198"/>
      <c r="BY68" s="198"/>
      <c r="BZ68" s="198"/>
      <c r="CA68" s="198"/>
      <c r="CB68" s="198"/>
      <c r="CC68" s="198"/>
      <c r="CD68" s="198"/>
      <c r="CE68" s="198"/>
      <c r="CF68" s="198"/>
      <c r="CG68" s="198"/>
      <c r="CH68" s="198"/>
      <c r="CI68" s="199"/>
      <c r="CJ68" s="65" t="s">
        <v>1467</v>
      </c>
      <c r="CK68" s="65" t="s">
        <v>1468</v>
      </c>
      <c r="CL68" s="65" t="s">
        <v>1369</v>
      </c>
      <c r="CM68" s="65" t="s">
        <v>1370</v>
      </c>
      <c r="CN68" s="65">
        <v>638689075</v>
      </c>
      <c r="CO68" s="65" t="s">
        <v>1468</v>
      </c>
      <c r="CP68" s="65">
        <v>1162116447</v>
      </c>
      <c r="CQ68" s="65" t="s">
        <v>1370</v>
      </c>
      <c r="CR68" s="65" t="s">
        <v>1216</v>
      </c>
      <c r="CS68" s="197">
        <v>44013</v>
      </c>
      <c r="CT68" s="65">
        <v>3092.3038999999999</v>
      </c>
      <c r="CU68" s="198">
        <v>5.7000000000000002E-3</v>
      </c>
      <c r="CV68" s="198">
        <v>2.7400000000000001E-2</v>
      </c>
      <c r="CW68" s="198">
        <v>6.4199999999999993E-2</v>
      </c>
      <c r="CX68" s="198">
        <v>6.7599999999999993E-2</v>
      </c>
      <c r="CY68" s="198">
        <v>0.15040000000000001</v>
      </c>
      <c r="CZ68" s="198">
        <v>0.2114</v>
      </c>
      <c r="DA68" s="198">
        <v>0.21310000000000001</v>
      </c>
      <c r="DB68" s="198">
        <v>9.9699999999999997E-2</v>
      </c>
      <c r="DC68" s="198">
        <v>0.1489</v>
      </c>
      <c r="DD68" s="198">
        <v>1.17E-2</v>
      </c>
      <c r="DE68" s="198"/>
      <c r="DF68" s="198"/>
      <c r="DG68" s="198"/>
      <c r="DH68" s="198"/>
      <c r="DI68" s="198"/>
      <c r="DJ68" s="200"/>
    </row>
    <row r="69" spans="1:114" ht="15.75" customHeight="1" x14ac:dyDescent="0.2">
      <c r="A69" s="196"/>
      <c r="B69" s="196"/>
      <c r="C69" s="196"/>
      <c r="D69" s="196"/>
      <c r="E69" s="196"/>
      <c r="F69" s="196"/>
      <c r="G69" s="65" t="s">
        <v>1337</v>
      </c>
      <c r="H69" s="65" t="s">
        <v>1338</v>
      </c>
      <c r="I69" s="65" t="s">
        <v>1291</v>
      </c>
      <c r="J69" s="65" t="s">
        <v>1292</v>
      </c>
      <c r="K69" s="65">
        <v>727296976</v>
      </c>
      <c r="L69" s="65" t="s">
        <v>1338</v>
      </c>
      <c r="M69" s="65">
        <v>290671617</v>
      </c>
      <c r="N69" s="65" t="s">
        <v>1294</v>
      </c>
      <c r="O69" s="65" t="s">
        <v>1216</v>
      </c>
      <c r="P69" s="197">
        <v>44013</v>
      </c>
      <c r="Q69" s="65">
        <v>2510.1731</v>
      </c>
      <c r="R69" s="198">
        <v>4.4000000000000003E-3</v>
      </c>
      <c r="S69" s="198">
        <v>2.0199999999999999E-2</v>
      </c>
      <c r="T69" s="198">
        <v>4.8099999999999997E-2</v>
      </c>
      <c r="U69" s="198">
        <v>5.3199999999999997E-2</v>
      </c>
      <c r="V69" s="198">
        <v>0.12939999999999999</v>
      </c>
      <c r="W69" s="198">
        <v>0.21049999999999999</v>
      </c>
      <c r="X69" s="198">
        <v>0.2555</v>
      </c>
      <c r="Y69" s="198">
        <v>0.1178</v>
      </c>
      <c r="Z69" s="198">
        <v>0.15490000000000001</v>
      </c>
      <c r="AA69" s="198">
        <v>6.0000000000000001E-3</v>
      </c>
      <c r="AB69" s="198"/>
      <c r="AC69" s="198"/>
      <c r="AD69" s="198"/>
      <c r="AE69" s="198"/>
      <c r="AF69" s="198"/>
      <c r="AG69" s="199"/>
      <c r="AH69" s="65" t="s">
        <v>1543</v>
      </c>
      <c r="AI69" s="65" t="s">
        <v>1544</v>
      </c>
      <c r="AJ69" s="65" t="s">
        <v>1503</v>
      </c>
      <c r="AK69" s="65" t="s">
        <v>1504</v>
      </c>
      <c r="AL69" s="65">
        <v>714508224</v>
      </c>
      <c r="AM69" s="65" t="s">
        <v>1544</v>
      </c>
      <c r="AN69" s="65">
        <v>624795774</v>
      </c>
      <c r="AO69" s="65" t="s">
        <v>1504</v>
      </c>
      <c r="AP69" s="65" t="s">
        <v>1216</v>
      </c>
      <c r="AQ69" s="197">
        <v>44013</v>
      </c>
      <c r="AR69" s="65">
        <v>258.99759999999998</v>
      </c>
      <c r="AS69" s="198">
        <v>2.9700000000000001E-2</v>
      </c>
      <c r="AT69" s="198">
        <v>9.9000000000000005E-2</v>
      </c>
      <c r="AU69" s="198">
        <v>0.17560000000000001</v>
      </c>
      <c r="AV69" s="198">
        <v>0.14230000000000001</v>
      </c>
      <c r="AW69" s="198">
        <v>0.2243</v>
      </c>
      <c r="AX69" s="198">
        <v>0.19489999999999999</v>
      </c>
      <c r="AY69" s="198">
        <v>0.12379999999999999</v>
      </c>
      <c r="AZ69" s="198">
        <v>8.9999999999999993E-3</v>
      </c>
      <c r="BA69" s="198">
        <v>1.5E-3</v>
      </c>
      <c r="BB69" s="198"/>
      <c r="BC69" s="198"/>
      <c r="BD69" s="198"/>
      <c r="BE69" s="198"/>
      <c r="BF69" s="198"/>
      <c r="BG69" s="198"/>
      <c r="BH69" s="199"/>
      <c r="BI69" s="65"/>
      <c r="BJ69" s="65"/>
      <c r="BK69" s="65"/>
      <c r="BL69" s="65"/>
      <c r="BM69" s="65"/>
      <c r="BN69" s="65"/>
      <c r="BO69" s="65"/>
      <c r="BP69" s="65"/>
      <c r="BQ69" s="65"/>
      <c r="BR69" s="197"/>
      <c r="BS69" s="65"/>
      <c r="BT69" s="198"/>
      <c r="BU69" s="198"/>
      <c r="BV69" s="198"/>
      <c r="BW69" s="198"/>
      <c r="BX69" s="198"/>
      <c r="BY69" s="198"/>
      <c r="BZ69" s="198"/>
      <c r="CA69" s="198"/>
      <c r="CB69" s="198"/>
      <c r="CC69" s="198"/>
      <c r="CD69" s="198"/>
      <c r="CE69" s="198"/>
      <c r="CF69" s="198"/>
      <c r="CG69" s="198"/>
      <c r="CH69" s="198"/>
      <c r="CI69" s="199"/>
      <c r="CJ69" s="65" t="s">
        <v>1475</v>
      </c>
      <c r="CK69" s="65" t="s">
        <v>1476</v>
      </c>
      <c r="CL69" s="65" t="s">
        <v>1414</v>
      </c>
      <c r="CM69" s="65" t="s">
        <v>1415</v>
      </c>
      <c r="CN69" s="65">
        <v>913292932</v>
      </c>
      <c r="CO69" s="65" t="s">
        <v>1476</v>
      </c>
      <c r="CP69" s="65">
        <v>284800461</v>
      </c>
      <c r="CQ69" s="65" t="s">
        <v>1415</v>
      </c>
      <c r="CR69" s="65" t="s">
        <v>1216</v>
      </c>
      <c r="CS69" s="197">
        <v>44013</v>
      </c>
      <c r="CT69" s="65">
        <v>1819.7797</v>
      </c>
      <c r="CU69" s="198">
        <v>7.4000000000000003E-3</v>
      </c>
      <c r="CV69" s="198">
        <v>3.4099999999999998E-2</v>
      </c>
      <c r="CW69" s="198">
        <v>7.6999999999999999E-2</v>
      </c>
      <c r="CX69" s="198">
        <v>7.85E-2</v>
      </c>
      <c r="CY69" s="198">
        <v>0.16719999999999999</v>
      </c>
      <c r="CZ69" s="198">
        <v>0.22090000000000001</v>
      </c>
      <c r="DA69" s="198">
        <v>0.20830000000000001</v>
      </c>
      <c r="DB69" s="198">
        <v>8.8999999999999996E-2</v>
      </c>
      <c r="DC69" s="198">
        <v>0.1142</v>
      </c>
      <c r="DD69" s="198">
        <v>3.5000000000000001E-3</v>
      </c>
      <c r="DE69" s="198"/>
      <c r="DF69" s="198"/>
      <c r="DG69" s="198"/>
      <c r="DH69" s="198"/>
      <c r="DI69" s="198"/>
      <c r="DJ69" s="200"/>
    </row>
    <row r="70" spans="1:114" ht="15.75" customHeight="1" x14ac:dyDescent="0.2">
      <c r="A70" s="196"/>
      <c r="B70" s="196"/>
      <c r="C70" s="196"/>
      <c r="D70" s="196"/>
      <c r="E70" s="196"/>
      <c r="F70" s="196"/>
      <c r="G70" s="65" t="s">
        <v>1351</v>
      </c>
      <c r="H70" s="65" t="s">
        <v>1352</v>
      </c>
      <c r="I70" s="65" t="s">
        <v>1291</v>
      </c>
      <c r="J70" s="65" t="s">
        <v>1292</v>
      </c>
      <c r="K70" s="65">
        <v>1017551780</v>
      </c>
      <c r="L70" s="65" t="s">
        <v>1352</v>
      </c>
      <c r="M70" s="65">
        <v>290671617</v>
      </c>
      <c r="N70" s="65" t="s">
        <v>1294</v>
      </c>
      <c r="O70" s="65" t="s">
        <v>1216</v>
      </c>
      <c r="P70" s="197">
        <v>44013</v>
      </c>
      <c r="Q70" s="65">
        <v>2393.1808999999998</v>
      </c>
      <c r="R70" s="198">
        <v>4.5999999999999999E-3</v>
      </c>
      <c r="S70" s="198">
        <v>2.1299999999999999E-2</v>
      </c>
      <c r="T70" s="198">
        <v>5.0599999999999999E-2</v>
      </c>
      <c r="U70" s="198">
        <v>5.5599999999999997E-2</v>
      </c>
      <c r="V70" s="198">
        <v>0.13320000000000001</v>
      </c>
      <c r="W70" s="198">
        <v>0.21179999999999999</v>
      </c>
      <c r="X70" s="198">
        <v>0.2495</v>
      </c>
      <c r="Y70" s="198">
        <v>0.1153</v>
      </c>
      <c r="Z70" s="198">
        <v>0.1532</v>
      </c>
      <c r="AA70" s="198">
        <v>5.0000000000000001E-3</v>
      </c>
      <c r="AB70" s="198"/>
      <c r="AC70" s="198"/>
      <c r="AD70" s="198"/>
      <c r="AE70" s="198"/>
      <c r="AF70" s="198"/>
      <c r="AG70" s="199"/>
      <c r="AH70" s="65" t="s">
        <v>1545</v>
      </c>
      <c r="AI70" s="65" t="s">
        <v>1546</v>
      </c>
      <c r="AJ70" s="65" t="s">
        <v>1503</v>
      </c>
      <c r="AK70" s="65" t="s">
        <v>1504</v>
      </c>
      <c r="AL70" s="65">
        <v>1065980436</v>
      </c>
      <c r="AM70" s="65" t="s">
        <v>1547</v>
      </c>
      <c r="AN70" s="65">
        <v>624795774</v>
      </c>
      <c r="AO70" s="65" t="s">
        <v>1504</v>
      </c>
      <c r="AP70" s="65" t="s">
        <v>1216</v>
      </c>
      <c r="AQ70" s="197">
        <v>44013</v>
      </c>
      <c r="AR70" s="65">
        <v>274.08710000000002</v>
      </c>
      <c r="AS70" s="198">
        <v>2.81E-2</v>
      </c>
      <c r="AT70" s="198">
        <v>9.3899999999999997E-2</v>
      </c>
      <c r="AU70" s="198">
        <v>0.1686</v>
      </c>
      <c r="AV70" s="198">
        <v>0.13880000000000001</v>
      </c>
      <c r="AW70" s="198">
        <v>0.224</v>
      </c>
      <c r="AX70" s="198">
        <v>0.2016</v>
      </c>
      <c r="AY70" s="198">
        <v>0.13320000000000001</v>
      </c>
      <c r="AZ70" s="198">
        <v>1.03E-2</v>
      </c>
      <c r="BA70" s="198">
        <v>1.5E-3</v>
      </c>
      <c r="BB70" s="198"/>
      <c r="BC70" s="198"/>
      <c r="BD70" s="198"/>
      <c r="BE70" s="198"/>
      <c r="BF70" s="198"/>
      <c r="BG70" s="198"/>
      <c r="BH70" s="199"/>
      <c r="BI70" s="65"/>
      <c r="BJ70" s="65"/>
      <c r="BK70" s="65"/>
      <c r="BL70" s="65"/>
      <c r="BM70" s="65"/>
      <c r="BN70" s="65"/>
      <c r="BO70" s="65"/>
      <c r="BP70" s="65"/>
      <c r="BQ70" s="65"/>
      <c r="BR70" s="197"/>
      <c r="BS70" s="65"/>
      <c r="BT70" s="198"/>
      <c r="BU70" s="198"/>
      <c r="BV70" s="198"/>
      <c r="BW70" s="198"/>
      <c r="BX70" s="198"/>
      <c r="BY70" s="198"/>
      <c r="BZ70" s="198"/>
      <c r="CA70" s="198"/>
      <c r="CB70" s="198"/>
      <c r="CC70" s="198"/>
      <c r="CD70" s="198"/>
      <c r="CE70" s="198"/>
      <c r="CF70" s="198"/>
      <c r="CG70" s="198"/>
      <c r="CH70" s="198"/>
      <c r="CI70" s="199"/>
      <c r="CJ70" s="65" t="s">
        <v>1485</v>
      </c>
      <c r="CK70" s="65" t="s">
        <v>1486</v>
      </c>
      <c r="CL70" s="65" t="s">
        <v>1285</v>
      </c>
      <c r="CM70" s="65" t="s">
        <v>1286</v>
      </c>
      <c r="CN70" s="65">
        <v>1128416098</v>
      </c>
      <c r="CO70" s="65" t="s">
        <v>1486</v>
      </c>
      <c r="CP70" s="65">
        <v>307749755</v>
      </c>
      <c r="CQ70" s="201" t="s">
        <v>1487</v>
      </c>
      <c r="CR70" s="65" t="s">
        <v>1216</v>
      </c>
      <c r="CS70" s="197">
        <v>44013</v>
      </c>
      <c r="CT70" s="65">
        <v>1473.2052000000001</v>
      </c>
      <c r="CU70" s="198">
        <v>8.9999999999999993E-3</v>
      </c>
      <c r="CV70" s="198">
        <v>4.0800000000000003E-2</v>
      </c>
      <c r="CW70" s="198">
        <v>8.9399999999999993E-2</v>
      </c>
      <c r="CX70" s="198">
        <v>8.8300000000000003E-2</v>
      </c>
      <c r="CY70" s="198">
        <v>0.1804</v>
      </c>
      <c r="CZ70" s="198">
        <v>0.22389999999999999</v>
      </c>
      <c r="DA70" s="198">
        <v>0.19719999999999999</v>
      </c>
      <c r="DB70" s="198">
        <v>7.8100000000000003E-2</v>
      </c>
      <c r="DC70" s="198">
        <v>9.0700000000000003E-2</v>
      </c>
      <c r="DD70" s="198">
        <v>2.3E-3</v>
      </c>
      <c r="DE70" s="198"/>
      <c r="DF70" s="198"/>
      <c r="DG70" s="198"/>
      <c r="DH70" s="198"/>
      <c r="DI70" s="198"/>
      <c r="DJ70" s="200"/>
    </row>
    <row r="71" spans="1:114" ht="15.75" customHeight="1" x14ac:dyDescent="0.2">
      <c r="A71" s="196"/>
      <c r="B71" s="196"/>
      <c r="C71" s="196"/>
      <c r="D71" s="196"/>
      <c r="E71" s="196"/>
      <c r="F71" s="196"/>
      <c r="G71" s="65" t="s">
        <v>1368</v>
      </c>
      <c r="H71" s="65" t="s">
        <v>60</v>
      </c>
      <c r="I71" s="65" t="s">
        <v>1369</v>
      </c>
      <c r="J71" s="65" t="s">
        <v>1370</v>
      </c>
      <c r="K71" s="65">
        <v>664575829</v>
      </c>
      <c r="L71" s="65" t="s">
        <v>60</v>
      </c>
      <c r="M71" s="65">
        <v>1162116447</v>
      </c>
      <c r="N71" s="65" t="s">
        <v>1370</v>
      </c>
      <c r="O71" s="65" t="s">
        <v>1216</v>
      </c>
      <c r="P71" s="197">
        <v>44013</v>
      </c>
      <c r="Q71" s="65">
        <v>2848.6945999999998</v>
      </c>
      <c r="R71" s="198">
        <v>4.5999999999999999E-3</v>
      </c>
      <c r="S71" s="198">
        <v>2.1299999999999999E-2</v>
      </c>
      <c r="T71" s="198">
        <v>5.0599999999999999E-2</v>
      </c>
      <c r="U71" s="198">
        <v>5.5399999999999998E-2</v>
      </c>
      <c r="V71" s="198">
        <v>0.1321</v>
      </c>
      <c r="W71" s="198">
        <v>0.20799999999999999</v>
      </c>
      <c r="X71" s="198">
        <v>0.24260000000000001</v>
      </c>
      <c r="Y71" s="198">
        <v>0.11360000000000001</v>
      </c>
      <c r="Z71" s="198">
        <v>0.16300000000000001</v>
      </c>
      <c r="AA71" s="198">
        <v>8.8000000000000005E-3</v>
      </c>
      <c r="AB71" s="198"/>
      <c r="AC71" s="198"/>
      <c r="AD71" s="198"/>
      <c r="AE71" s="198"/>
      <c r="AF71" s="198"/>
      <c r="AG71" s="199"/>
      <c r="AH71" s="65" t="s">
        <v>1548</v>
      </c>
      <c r="AI71" s="65" t="s">
        <v>1549</v>
      </c>
      <c r="AJ71" s="65" t="s">
        <v>1550</v>
      </c>
      <c r="AK71" s="65" t="s">
        <v>1551</v>
      </c>
      <c r="AL71" s="65">
        <v>445305390</v>
      </c>
      <c r="AM71" s="65" t="s">
        <v>1549</v>
      </c>
      <c r="AN71" s="65">
        <v>445204563</v>
      </c>
      <c r="AO71" s="65" t="s">
        <v>1552</v>
      </c>
      <c r="AP71" s="65" t="s">
        <v>1216</v>
      </c>
      <c r="AQ71" s="197">
        <v>44013</v>
      </c>
      <c r="AR71" s="65">
        <v>797.80139999999994</v>
      </c>
      <c r="AS71" s="198">
        <v>6.4999999999999997E-3</v>
      </c>
      <c r="AT71" s="198">
        <v>3.1800000000000002E-2</v>
      </c>
      <c r="AU71" s="198">
        <v>7.2099999999999997E-2</v>
      </c>
      <c r="AV71" s="198">
        <v>7.4899999999999994E-2</v>
      </c>
      <c r="AW71" s="198">
        <v>0.16980000000000001</v>
      </c>
      <c r="AX71" s="198">
        <v>0.25569999999999998</v>
      </c>
      <c r="AY71" s="198">
        <v>0.29630000000000001</v>
      </c>
      <c r="AZ71" s="198">
        <v>0.06</v>
      </c>
      <c r="BA71" s="198">
        <v>3.2800000000000003E-2</v>
      </c>
      <c r="BB71" s="198"/>
      <c r="BC71" s="198"/>
      <c r="BD71" s="198"/>
      <c r="BE71" s="198"/>
      <c r="BF71" s="198"/>
      <c r="BG71" s="198"/>
      <c r="BH71" s="199"/>
      <c r="BI71" s="65"/>
      <c r="BJ71" s="65"/>
      <c r="BK71" s="65"/>
      <c r="BL71" s="65"/>
      <c r="BM71" s="65"/>
      <c r="BN71" s="65"/>
      <c r="BO71" s="65"/>
      <c r="BP71" s="65"/>
      <c r="BQ71" s="65"/>
      <c r="BR71" s="197"/>
      <c r="BS71" s="65"/>
      <c r="BT71" s="198"/>
      <c r="BU71" s="198"/>
      <c r="BV71" s="198"/>
      <c r="BW71" s="198"/>
      <c r="BX71" s="198"/>
      <c r="BY71" s="198"/>
      <c r="BZ71" s="198"/>
      <c r="CA71" s="198"/>
      <c r="CB71" s="198"/>
      <c r="CC71" s="198"/>
      <c r="CD71" s="198"/>
      <c r="CE71" s="198"/>
      <c r="CF71" s="198"/>
      <c r="CG71" s="198"/>
      <c r="CH71" s="198"/>
      <c r="CI71" s="199"/>
      <c r="CJ71" s="65" t="s">
        <v>1495</v>
      </c>
      <c r="CK71" s="65" t="s">
        <v>1496</v>
      </c>
      <c r="CL71" s="65" t="s">
        <v>1414</v>
      </c>
      <c r="CM71" s="65" t="s">
        <v>1415</v>
      </c>
      <c r="CN71" s="65">
        <v>1144258115</v>
      </c>
      <c r="CO71" s="65" t="s">
        <v>1496</v>
      </c>
      <c r="CP71" s="65">
        <v>284800461</v>
      </c>
      <c r="CQ71" s="65" t="s">
        <v>1415</v>
      </c>
      <c r="CR71" s="65" t="s">
        <v>1216</v>
      </c>
      <c r="CS71" s="197">
        <v>44013</v>
      </c>
      <c r="CT71" s="65">
        <v>1749.9411</v>
      </c>
      <c r="CU71" s="198">
        <v>7.4999999999999997E-3</v>
      </c>
      <c r="CV71" s="198">
        <v>3.4099999999999998E-2</v>
      </c>
      <c r="CW71" s="198">
        <v>7.6600000000000001E-2</v>
      </c>
      <c r="CX71" s="198">
        <v>7.8100000000000003E-2</v>
      </c>
      <c r="CY71" s="198">
        <v>0.16700000000000001</v>
      </c>
      <c r="CZ71" s="198">
        <v>0.22239999999999999</v>
      </c>
      <c r="DA71" s="198">
        <v>0.21290000000000001</v>
      </c>
      <c r="DB71" s="198">
        <v>8.8800000000000004E-2</v>
      </c>
      <c r="DC71" s="198">
        <v>0.1096</v>
      </c>
      <c r="DD71" s="198">
        <v>3.0999999999999999E-3</v>
      </c>
      <c r="DE71" s="198"/>
      <c r="DF71" s="198"/>
      <c r="DG71" s="198"/>
      <c r="DH71" s="198"/>
      <c r="DI71" s="198"/>
      <c r="DJ71" s="200"/>
    </row>
    <row r="72" spans="1:114" ht="15.75" customHeight="1" x14ac:dyDescent="0.2">
      <c r="A72" s="196"/>
      <c r="B72" s="196"/>
      <c r="C72" s="196"/>
      <c r="D72" s="196"/>
      <c r="E72" s="196"/>
      <c r="F72" s="196"/>
      <c r="G72" s="65" t="s">
        <v>1382</v>
      </c>
      <c r="H72" s="65" t="s">
        <v>1383</v>
      </c>
      <c r="I72" s="65" t="s">
        <v>1258</v>
      </c>
      <c r="J72" s="65" t="s">
        <v>1259</v>
      </c>
      <c r="K72" s="65">
        <v>828578246</v>
      </c>
      <c r="L72" s="65" t="s">
        <v>1383</v>
      </c>
      <c r="M72" s="65">
        <v>292594310</v>
      </c>
      <c r="N72" s="65" t="s">
        <v>1260</v>
      </c>
      <c r="O72" s="65" t="s">
        <v>1216</v>
      </c>
      <c r="P72" s="197">
        <v>44013</v>
      </c>
      <c r="Q72" s="65">
        <v>3460.7453999999998</v>
      </c>
      <c r="R72" s="198">
        <v>3.0999999999999999E-3</v>
      </c>
      <c r="S72" s="198">
        <v>1.6899999999999998E-2</v>
      </c>
      <c r="T72" s="198">
        <v>4.2599999999999999E-2</v>
      </c>
      <c r="U72" s="198">
        <v>4.8300000000000003E-2</v>
      </c>
      <c r="V72" s="198">
        <v>0.1193</v>
      </c>
      <c r="W72" s="198">
        <v>0.1961</v>
      </c>
      <c r="X72" s="198">
        <v>0.23710000000000001</v>
      </c>
      <c r="Y72" s="198">
        <v>0.12330000000000001</v>
      </c>
      <c r="Z72" s="198">
        <v>0.20169999999999999</v>
      </c>
      <c r="AA72" s="198">
        <v>1.1599999999999999E-2</v>
      </c>
      <c r="AB72" s="198"/>
      <c r="AC72" s="198"/>
      <c r="AD72" s="198"/>
      <c r="AE72" s="198"/>
      <c r="AF72" s="198"/>
      <c r="AG72" s="199"/>
      <c r="AH72" s="65" t="s">
        <v>1553</v>
      </c>
      <c r="AI72" s="65" t="s">
        <v>1554</v>
      </c>
      <c r="AJ72" s="65" t="s">
        <v>1235</v>
      </c>
      <c r="AK72" s="65" t="s">
        <v>1236</v>
      </c>
      <c r="AL72" s="65">
        <v>447553564</v>
      </c>
      <c r="AM72" s="65" t="s">
        <v>1555</v>
      </c>
      <c r="AN72" s="65">
        <v>447553567</v>
      </c>
      <c r="AO72" s="65" t="s">
        <v>1236</v>
      </c>
      <c r="AP72" s="65" t="s">
        <v>1216</v>
      </c>
      <c r="AQ72" s="197">
        <v>44013</v>
      </c>
      <c r="AR72" s="65">
        <v>377.19459999999998</v>
      </c>
      <c r="AS72" s="198">
        <v>2.0500000000000001E-2</v>
      </c>
      <c r="AT72" s="198">
        <v>7.0300000000000001E-2</v>
      </c>
      <c r="AU72" s="198">
        <v>0.13389999999999999</v>
      </c>
      <c r="AV72" s="198">
        <v>0.1193</v>
      </c>
      <c r="AW72" s="198">
        <v>0.21590000000000001</v>
      </c>
      <c r="AX72" s="198">
        <v>0.23130000000000001</v>
      </c>
      <c r="AY72" s="198">
        <v>0.1852</v>
      </c>
      <c r="AZ72" s="198">
        <v>1.95E-2</v>
      </c>
      <c r="BA72" s="198">
        <v>4.1000000000000003E-3</v>
      </c>
      <c r="BB72" s="198"/>
      <c r="BC72" s="198"/>
      <c r="BD72" s="198"/>
      <c r="BE72" s="198"/>
      <c r="BF72" s="198"/>
      <c r="BG72" s="198"/>
      <c r="BH72" s="199"/>
      <c r="BI72" s="65"/>
      <c r="BJ72" s="65"/>
      <c r="BK72" s="65"/>
      <c r="BL72" s="65"/>
      <c r="BM72" s="65"/>
      <c r="BN72" s="65"/>
      <c r="BO72" s="65"/>
      <c r="BP72" s="65"/>
      <c r="BQ72" s="65"/>
      <c r="BR72" s="197"/>
      <c r="BS72" s="65"/>
      <c r="BT72" s="198"/>
      <c r="BU72" s="198"/>
      <c r="BV72" s="198"/>
      <c r="BW72" s="198"/>
      <c r="BX72" s="198"/>
      <c r="BY72" s="198"/>
      <c r="BZ72" s="198"/>
      <c r="CA72" s="198"/>
      <c r="CB72" s="198"/>
      <c r="CC72" s="198"/>
      <c r="CD72" s="198"/>
      <c r="CE72" s="198"/>
      <c r="CF72" s="198"/>
      <c r="CG72" s="198"/>
      <c r="CH72" s="198"/>
      <c r="CI72" s="199"/>
      <c r="CJ72" s="65"/>
      <c r="CK72" s="65"/>
      <c r="CL72" s="65"/>
      <c r="CM72" s="65"/>
      <c r="CN72" s="65"/>
      <c r="CO72" s="65"/>
      <c r="CP72" s="65"/>
      <c r="CQ72" s="65"/>
      <c r="CR72" s="65"/>
      <c r="CS72" s="197" t="s">
        <v>1590</v>
      </c>
      <c r="CT72" s="65">
        <f>AVERAGE(CT52:CT71)</f>
        <v>2303.0602499999995</v>
      </c>
      <c r="CU72" s="198"/>
      <c r="CV72" s="198"/>
      <c r="CW72" s="198"/>
      <c r="CX72" s="198"/>
      <c r="CY72" s="198"/>
      <c r="CZ72" s="198"/>
      <c r="DA72" s="198"/>
      <c r="DB72" s="198"/>
      <c r="DC72" s="198"/>
      <c r="DD72" s="198"/>
      <c r="DE72" s="198"/>
      <c r="DF72" s="198"/>
      <c r="DG72" s="198"/>
      <c r="DH72" s="198"/>
      <c r="DI72" s="198"/>
      <c r="DJ72" s="200"/>
    </row>
    <row r="73" spans="1:114" ht="15.75" customHeight="1" x14ac:dyDescent="0.2">
      <c r="A73" s="196"/>
      <c r="B73" s="196"/>
      <c r="C73" s="196"/>
      <c r="D73" s="196"/>
      <c r="E73" s="196"/>
      <c r="F73" s="196"/>
      <c r="G73" s="65" t="s">
        <v>1394</v>
      </c>
      <c r="H73" s="65" t="s">
        <v>62</v>
      </c>
      <c r="I73" s="65" t="s">
        <v>1369</v>
      </c>
      <c r="J73" s="65" t="s">
        <v>1370</v>
      </c>
      <c r="K73" s="65">
        <v>1105855019</v>
      </c>
      <c r="L73" s="65" t="s">
        <v>62</v>
      </c>
      <c r="M73" s="65">
        <v>1162116447</v>
      </c>
      <c r="N73" s="65" t="s">
        <v>1370</v>
      </c>
      <c r="O73" s="65" t="s">
        <v>1216</v>
      </c>
      <c r="P73" s="197">
        <v>44013</v>
      </c>
      <c r="Q73" s="65">
        <v>3855.9364999999998</v>
      </c>
      <c r="R73" s="198">
        <v>3.8E-3</v>
      </c>
      <c r="S73" s="198">
        <v>1.84E-2</v>
      </c>
      <c r="T73" s="198">
        <v>4.5100000000000001E-2</v>
      </c>
      <c r="U73" s="198">
        <v>5.04E-2</v>
      </c>
      <c r="V73" s="198">
        <v>0.1221</v>
      </c>
      <c r="W73" s="198">
        <v>0.19589999999999999</v>
      </c>
      <c r="X73" s="198">
        <v>0.23080000000000001</v>
      </c>
      <c r="Y73" s="198">
        <v>0.1186</v>
      </c>
      <c r="Z73" s="198">
        <v>0.19969999999999999</v>
      </c>
      <c r="AA73" s="198">
        <v>1.5100000000000001E-2</v>
      </c>
      <c r="AB73" s="198"/>
      <c r="AC73" s="198"/>
      <c r="AD73" s="198"/>
      <c r="AE73" s="198"/>
      <c r="AF73" s="198"/>
      <c r="AG73" s="199"/>
      <c r="AH73" s="65" t="s">
        <v>1556</v>
      </c>
      <c r="AI73" s="65" t="s">
        <v>1557</v>
      </c>
      <c r="AJ73" s="65" t="s">
        <v>1558</v>
      </c>
      <c r="AK73" s="65" t="s">
        <v>1559</v>
      </c>
      <c r="AL73" s="65">
        <v>944158857</v>
      </c>
      <c r="AM73" s="65" t="s">
        <v>1557</v>
      </c>
      <c r="AN73" s="65">
        <v>476936085</v>
      </c>
      <c r="AO73" s="65" t="s">
        <v>1560</v>
      </c>
      <c r="AP73" s="65" t="s">
        <v>1216</v>
      </c>
      <c r="AQ73" s="197">
        <v>44013</v>
      </c>
      <c r="AR73" s="65">
        <v>499.38200000000001</v>
      </c>
      <c r="AS73" s="198">
        <v>1.55E-2</v>
      </c>
      <c r="AT73" s="198">
        <v>5.3900000000000003E-2</v>
      </c>
      <c r="AU73" s="198">
        <v>0.1076</v>
      </c>
      <c r="AV73" s="198">
        <v>0.10199999999999999</v>
      </c>
      <c r="AW73" s="198">
        <v>0.20169999999999999</v>
      </c>
      <c r="AX73" s="198">
        <v>0.24759999999999999</v>
      </c>
      <c r="AY73" s="198">
        <v>0.23</v>
      </c>
      <c r="AZ73" s="198">
        <v>3.1399999999999997E-2</v>
      </c>
      <c r="BA73" s="198">
        <v>1.03E-2</v>
      </c>
      <c r="BB73" s="198"/>
      <c r="BC73" s="198"/>
      <c r="BD73" s="198"/>
      <c r="BE73" s="198"/>
      <c r="BF73" s="198"/>
      <c r="BG73" s="198"/>
      <c r="BH73" s="199"/>
      <c r="BI73" s="65"/>
      <c r="BJ73" s="65"/>
      <c r="BK73" s="65"/>
      <c r="BL73" s="65"/>
      <c r="BM73" s="65"/>
      <c r="BN73" s="65"/>
      <c r="BO73" s="65"/>
      <c r="BP73" s="65"/>
      <c r="BQ73" s="65"/>
      <c r="BR73" s="197"/>
      <c r="BS73" s="65"/>
      <c r="BT73" s="198"/>
      <c r="BU73" s="198"/>
      <c r="BV73" s="198"/>
      <c r="BW73" s="198"/>
      <c r="BX73" s="198"/>
      <c r="BY73" s="198"/>
      <c r="BZ73" s="198"/>
      <c r="CA73" s="198"/>
      <c r="CB73" s="198"/>
      <c r="CC73" s="198"/>
      <c r="CD73" s="198"/>
      <c r="CE73" s="198"/>
      <c r="CF73" s="198"/>
      <c r="CG73" s="198"/>
      <c r="CH73" s="198"/>
      <c r="CI73" s="199"/>
      <c r="CJ73" s="65"/>
      <c r="CK73" s="65"/>
      <c r="CL73" s="65"/>
      <c r="CM73" s="65"/>
      <c r="CN73" s="65"/>
      <c r="CO73" s="65"/>
      <c r="CP73" s="65"/>
      <c r="CQ73" s="65"/>
      <c r="CR73" s="65"/>
      <c r="CS73" s="202" t="s">
        <v>1591</v>
      </c>
      <c r="CT73" s="202">
        <f>CT72/60</f>
        <v>38.384337499999994</v>
      </c>
      <c r="CU73" s="198"/>
      <c r="CV73" s="198"/>
      <c r="CW73" s="198"/>
      <c r="CX73" s="198"/>
      <c r="CY73" s="198"/>
      <c r="CZ73" s="198"/>
      <c r="DA73" s="198"/>
      <c r="DB73" s="198"/>
      <c r="DC73" s="198"/>
      <c r="DD73" s="198"/>
      <c r="DE73" s="198"/>
      <c r="DF73" s="198"/>
      <c r="DG73" s="198"/>
      <c r="DH73" s="198"/>
      <c r="DI73" s="198"/>
      <c r="DJ73" s="200"/>
    </row>
    <row r="74" spans="1:114" ht="15.75" customHeight="1" x14ac:dyDescent="0.15">
      <c r="A74" s="196"/>
      <c r="B74" s="196"/>
      <c r="C74" s="196"/>
      <c r="D74" s="196"/>
      <c r="E74" s="196"/>
      <c r="F74" s="196"/>
      <c r="G74" s="65" t="s">
        <v>1407</v>
      </c>
      <c r="H74" s="65" t="s">
        <v>1408</v>
      </c>
      <c r="I74" s="65" t="s">
        <v>1285</v>
      </c>
      <c r="J74" s="65" t="s">
        <v>1286</v>
      </c>
      <c r="K74" s="65">
        <v>1339938732</v>
      </c>
      <c r="L74" s="65" t="s">
        <v>1408</v>
      </c>
      <c r="M74" s="65">
        <v>967465771</v>
      </c>
      <c r="N74" s="65" t="s">
        <v>1409</v>
      </c>
      <c r="O74" s="65" t="s">
        <v>1216</v>
      </c>
      <c r="P74" s="197">
        <v>44013</v>
      </c>
      <c r="Q74" s="65">
        <v>3074.1280000000002</v>
      </c>
      <c r="R74" s="198">
        <v>3.7000000000000002E-3</v>
      </c>
      <c r="S74" s="198">
        <v>1.83E-2</v>
      </c>
      <c r="T74" s="198">
        <v>4.5100000000000001E-2</v>
      </c>
      <c r="U74" s="198">
        <v>5.0599999999999999E-2</v>
      </c>
      <c r="V74" s="198">
        <v>0.1232</v>
      </c>
      <c r="W74" s="198">
        <v>0.19889999999999999</v>
      </c>
      <c r="X74" s="198">
        <v>0.23569999999999999</v>
      </c>
      <c r="Y74" s="198">
        <v>0.1215</v>
      </c>
      <c r="Z74" s="198">
        <v>0.19500000000000001</v>
      </c>
      <c r="AA74" s="198">
        <v>8.0999999999999996E-3</v>
      </c>
      <c r="AB74" s="198"/>
      <c r="AC74" s="198"/>
      <c r="AD74" s="198"/>
      <c r="AE74" s="198"/>
      <c r="AF74" s="198"/>
      <c r="AG74" s="199"/>
      <c r="AH74" s="65" t="s">
        <v>1561</v>
      </c>
      <c r="AI74" s="65" t="s">
        <v>1562</v>
      </c>
      <c r="AJ74" s="65" t="s">
        <v>1321</v>
      </c>
      <c r="AK74" s="65" t="s">
        <v>1322</v>
      </c>
      <c r="AL74" s="65">
        <v>945621521</v>
      </c>
      <c r="AM74" s="65" t="s">
        <v>1562</v>
      </c>
      <c r="AN74" s="65">
        <v>486692023</v>
      </c>
      <c r="AO74" s="65" t="s">
        <v>1563</v>
      </c>
      <c r="AP74" s="65" t="s">
        <v>1216</v>
      </c>
      <c r="AQ74" s="197">
        <v>44013</v>
      </c>
      <c r="AR74" s="65">
        <v>413.00779999999997</v>
      </c>
      <c r="AS74" s="198">
        <v>1.8100000000000002E-2</v>
      </c>
      <c r="AT74" s="198">
        <v>6.2600000000000003E-2</v>
      </c>
      <c r="AU74" s="198">
        <v>0.12189999999999999</v>
      </c>
      <c r="AV74" s="198">
        <v>0.1118</v>
      </c>
      <c r="AW74" s="198">
        <v>0.21079999999999999</v>
      </c>
      <c r="AX74" s="198">
        <v>0.24049999999999999</v>
      </c>
      <c r="AY74" s="198">
        <v>0.20610000000000001</v>
      </c>
      <c r="AZ74" s="198">
        <v>2.3900000000000001E-2</v>
      </c>
      <c r="BA74" s="198">
        <v>4.3E-3</v>
      </c>
      <c r="BB74" s="198"/>
      <c r="BC74" s="198"/>
      <c r="BD74" s="198"/>
      <c r="BE74" s="198"/>
      <c r="BF74" s="198"/>
      <c r="BG74" s="198"/>
      <c r="BH74" s="199"/>
      <c r="BI74" s="65"/>
      <c r="BJ74" s="65"/>
      <c r="BK74" s="65"/>
      <c r="BL74" s="65"/>
      <c r="BM74" s="65"/>
      <c r="BN74" s="65"/>
      <c r="BO74" s="65"/>
      <c r="BP74" s="65"/>
      <c r="BQ74" s="65"/>
      <c r="BR74" s="197"/>
      <c r="BS74" s="65"/>
      <c r="BT74" s="198"/>
      <c r="BU74" s="198"/>
      <c r="BV74" s="198"/>
      <c r="BW74" s="198"/>
      <c r="BX74" s="198"/>
      <c r="BY74" s="198"/>
      <c r="BZ74" s="198"/>
      <c r="CA74" s="198"/>
      <c r="CB74" s="198"/>
      <c r="CC74" s="198"/>
      <c r="CD74" s="198"/>
      <c r="CE74" s="198"/>
      <c r="CF74" s="198"/>
      <c r="CG74" s="198"/>
      <c r="CH74" s="198"/>
      <c r="CI74" s="199"/>
      <c r="CJ74" s="65"/>
      <c r="CK74" s="65"/>
      <c r="CL74" s="65"/>
      <c r="CM74" s="65"/>
      <c r="CN74" s="65"/>
      <c r="CO74" s="65"/>
      <c r="CP74" s="65"/>
      <c r="CQ74" s="65"/>
      <c r="CR74" s="65"/>
      <c r="CS74" s="197"/>
      <c r="CT74" s="65"/>
      <c r="CU74" s="198"/>
      <c r="CV74" s="198"/>
      <c r="CW74" s="198"/>
      <c r="CX74" s="198"/>
      <c r="CY74" s="198"/>
      <c r="CZ74" s="198"/>
      <c r="DA74" s="198"/>
      <c r="DB74" s="198"/>
      <c r="DC74" s="198"/>
      <c r="DD74" s="198"/>
      <c r="DE74" s="198"/>
      <c r="DF74" s="198"/>
      <c r="DG74" s="198"/>
      <c r="DH74" s="198"/>
      <c r="DI74" s="198"/>
      <c r="DJ74" s="12"/>
    </row>
    <row r="75" spans="1:114" ht="15.75" customHeight="1" x14ac:dyDescent="0.2">
      <c r="A75" s="196"/>
      <c r="B75" s="196"/>
      <c r="C75" s="196"/>
      <c r="D75" s="196"/>
      <c r="E75" s="196"/>
      <c r="F75" s="196"/>
      <c r="G75" s="65" t="s">
        <v>1420</v>
      </c>
      <c r="H75" s="65" t="s">
        <v>59</v>
      </c>
      <c r="I75" s="65" t="s">
        <v>1369</v>
      </c>
      <c r="J75" s="65" t="s">
        <v>1370</v>
      </c>
      <c r="K75" s="65">
        <v>1195621598</v>
      </c>
      <c r="L75" s="65" t="s">
        <v>59</v>
      </c>
      <c r="M75" s="65">
        <v>1162116447</v>
      </c>
      <c r="N75" s="65" t="s">
        <v>1370</v>
      </c>
      <c r="O75" s="65" t="s">
        <v>1216</v>
      </c>
      <c r="P75" s="197">
        <v>44013</v>
      </c>
      <c r="Q75" s="65">
        <v>2606.8856999999998</v>
      </c>
      <c r="R75" s="198">
        <v>4.5999999999999999E-3</v>
      </c>
      <c r="S75" s="198">
        <v>2.1399999999999999E-2</v>
      </c>
      <c r="T75" s="198">
        <v>5.0599999999999999E-2</v>
      </c>
      <c r="U75" s="198">
        <v>5.5399999999999998E-2</v>
      </c>
      <c r="V75" s="198">
        <v>0.13250000000000001</v>
      </c>
      <c r="W75" s="198">
        <v>0.21</v>
      </c>
      <c r="X75" s="198">
        <v>0.24740000000000001</v>
      </c>
      <c r="Y75" s="198">
        <v>0.114</v>
      </c>
      <c r="Z75" s="198">
        <v>0.157</v>
      </c>
      <c r="AA75" s="198">
        <v>7.0000000000000001E-3</v>
      </c>
      <c r="AB75" s="198"/>
      <c r="AC75" s="198"/>
      <c r="AD75" s="198"/>
      <c r="AE75" s="198"/>
      <c r="AF75" s="198"/>
      <c r="AG75" s="199"/>
      <c r="AH75" s="65" t="s">
        <v>1564</v>
      </c>
      <c r="AI75" s="65" t="s">
        <v>1565</v>
      </c>
      <c r="AJ75" s="65" t="s">
        <v>1244</v>
      </c>
      <c r="AK75" s="65" t="s">
        <v>1245</v>
      </c>
      <c r="AL75" s="65">
        <v>354902315</v>
      </c>
      <c r="AM75" s="65" t="s">
        <v>1565</v>
      </c>
      <c r="AN75" s="65">
        <v>295913422</v>
      </c>
      <c r="AO75" s="65" t="s">
        <v>1393</v>
      </c>
      <c r="AP75" s="65" t="s">
        <v>1216</v>
      </c>
      <c r="AQ75" s="197">
        <v>44013</v>
      </c>
      <c r="AR75" s="65">
        <v>488.53910000000002</v>
      </c>
      <c r="AS75" s="198">
        <v>1.6E-2</v>
      </c>
      <c r="AT75" s="198">
        <v>5.5500000000000001E-2</v>
      </c>
      <c r="AU75" s="198">
        <v>0.1103</v>
      </c>
      <c r="AV75" s="198">
        <v>0.1038</v>
      </c>
      <c r="AW75" s="198">
        <v>0.2034</v>
      </c>
      <c r="AX75" s="198">
        <v>0.24610000000000001</v>
      </c>
      <c r="AY75" s="198">
        <v>0.22500000000000001</v>
      </c>
      <c r="AZ75" s="198">
        <v>2.9899999999999999E-2</v>
      </c>
      <c r="BA75" s="198">
        <v>9.9000000000000008E-3</v>
      </c>
      <c r="BB75" s="198"/>
      <c r="BC75" s="198"/>
      <c r="BD75" s="198"/>
      <c r="BE75" s="198"/>
      <c r="BF75" s="198"/>
      <c r="BG75" s="198"/>
      <c r="BH75" s="199"/>
      <c r="BI75" s="65"/>
      <c r="BJ75" s="65"/>
      <c r="BK75" s="65"/>
      <c r="BL75" s="65"/>
      <c r="BM75" s="65"/>
      <c r="BN75" s="65"/>
      <c r="BO75" s="65"/>
      <c r="BP75" s="65"/>
      <c r="BQ75" s="65"/>
      <c r="BR75" s="197"/>
      <c r="BS75" s="65"/>
      <c r="BT75" s="198"/>
      <c r="BU75" s="198"/>
      <c r="BV75" s="198"/>
      <c r="BW75" s="198"/>
      <c r="BX75" s="198"/>
      <c r="BY75" s="198"/>
      <c r="BZ75" s="198"/>
      <c r="CA75" s="198"/>
      <c r="CB75" s="198"/>
      <c r="CC75" s="198"/>
      <c r="CD75" s="198"/>
      <c r="CE75" s="198"/>
      <c r="CF75" s="198"/>
      <c r="CG75" s="198"/>
      <c r="CH75" s="198"/>
      <c r="CI75" s="199"/>
      <c r="CJ75" s="65"/>
      <c r="CK75" s="65"/>
      <c r="CL75" s="65"/>
      <c r="CM75" s="65"/>
      <c r="CN75" s="65"/>
      <c r="CO75" s="65"/>
      <c r="CP75" s="65"/>
      <c r="CQ75" s="65"/>
      <c r="CR75" s="65"/>
      <c r="CS75" s="197"/>
      <c r="CT75" s="65"/>
      <c r="CU75" s="198"/>
      <c r="CV75" s="198"/>
      <c r="CW75" s="198"/>
      <c r="CX75" s="198"/>
      <c r="CY75" s="198"/>
      <c r="CZ75" s="198"/>
      <c r="DA75" s="198"/>
      <c r="DB75" s="198"/>
      <c r="DC75" s="198"/>
      <c r="DD75" s="198"/>
      <c r="DE75" s="198"/>
      <c r="DF75" s="198"/>
      <c r="DG75" s="198"/>
      <c r="DH75" s="198"/>
      <c r="DI75" s="198"/>
      <c r="DJ75" s="200"/>
    </row>
    <row r="76" spans="1:114" ht="15.75" customHeight="1" x14ac:dyDescent="0.15">
      <c r="A76" s="196"/>
      <c r="B76" s="196"/>
      <c r="C76" s="196"/>
      <c r="D76" s="196"/>
      <c r="E76" s="196"/>
      <c r="F76" s="196"/>
      <c r="G76" s="65" t="s">
        <v>1428</v>
      </c>
      <c r="H76" s="65" t="s">
        <v>1429</v>
      </c>
      <c r="I76" s="65" t="s">
        <v>1235</v>
      </c>
      <c r="J76" s="65" t="s">
        <v>1236</v>
      </c>
      <c r="K76" s="65">
        <v>1200391796</v>
      </c>
      <c r="L76" s="65" t="s">
        <v>1429</v>
      </c>
      <c r="M76" s="65">
        <v>461402737</v>
      </c>
      <c r="N76" s="65" t="s">
        <v>1430</v>
      </c>
      <c r="O76" s="65" t="s">
        <v>1216</v>
      </c>
      <c r="P76" s="197">
        <v>44013</v>
      </c>
      <c r="Q76" s="65">
        <v>3249.8933000000002</v>
      </c>
      <c r="R76" s="198">
        <v>3.3999999999999998E-3</v>
      </c>
      <c r="S76" s="198">
        <v>1.6500000000000001E-2</v>
      </c>
      <c r="T76" s="198">
        <v>4.1300000000000003E-2</v>
      </c>
      <c r="U76" s="198">
        <v>4.6899999999999997E-2</v>
      </c>
      <c r="V76" s="198">
        <v>0.1167</v>
      </c>
      <c r="W76" s="198">
        <v>0.19470000000000001</v>
      </c>
      <c r="X76" s="198">
        <v>0.23960000000000001</v>
      </c>
      <c r="Y76" s="198">
        <v>0.12609999999999999</v>
      </c>
      <c r="Z76" s="198">
        <v>0.2059</v>
      </c>
      <c r="AA76" s="198">
        <v>8.8999999999999999E-3</v>
      </c>
      <c r="AB76" s="198"/>
      <c r="AC76" s="198"/>
      <c r="AD76" s="198"/>
      <c r="AE76" s="198"/>
      <c r="AF76" s="198"/>
      <c r="AG76" s="199"/>
      <c r="AH76" s="65" t="s">
        <v>1566</v>
      </c>
      <c r="AI76" s="65" t="s">
        <v>1567</v>
      </c>
      <c r="AJ76" s="65" t="s">
        <v>1235</v>
      </c>
      <c r="AK76" s="65" t="s">
        <v>1236</v>
      </c>
      <c r="AL76" s="65">
        <v>719525810</v>
      </c>
      <c r="AM76" s="65" t="s">
        <v>1567</v>
      </c>
      <c r="AN76" s="65">
        <v>447553567</v>
      </c>
      <c r="AO76" s="65" t="s">
        <v>1236</v>
      </c>
      <c r="AP76" s="65" t="s">
        <v>1216</v>
      </c>
      <c r="AQ76" s="197">
        <v>44013</v>
      </c>
      <c r="AR76" s="65">
        <v>567.07489999999996</v>
      </c>
      <c r="AS76" s="198">
        <v>1.3299999999999999E-2</v>
      </c>
      <c r="AT76" s="198">
        <v>4.6800000000000001E-2</v>
      </c>
      <c r="AU76" s="198">
        <v>9.5600000000000004E-2</v>
      </c>
      <c r="AV76" s="198">
        <v>9.3299999999999994E-2</v>
      </c>
      <c r="AW76" s="198">
        <v>0.1928</v>
      </c>
      <c r="AX76" s="198">
        <v>0.25280000000000002</v>
      </c>
      <c r="AY76" s="198">
        <v>0.25230000000000002</v>
      </c>
      <c r="AZ76" s="198">
        <v>3.8899999999999997E-2</v>
      </c>
      <c r="BA76" s="198">
        <v>1.4200000000000001E-2</v>
      </c>
      <c r="BB76" s="198"/>
      <c r="BC76" s="198"/>
      <c r="BD76" s="198"/>
      <c r="BE76" s="198"/>
      <c r="BF76" s="198"/>
      <c r="BG76" s="198"/>
      <c r="BH76" s="199"/>
      <c r="BI76" s="65"/>
      <c r="BJ76" s="65"/>
      <c r="BK76" s="65"/>
      <c r="BL76" s="65"/>
      <c r="BM76" s="65"/>
      <c r="BN76" s="65"/>
      <c r="BO76" s="65"/>
      <c r="BP76" s="65"/>
      <c r="BQ76" s="65"/>
      <c r="BR76" s="197"/>
      <c r="BS76" s="65"/>
      <c r="BT76" s="198"/>
      <c r="BU76" s="198"/>
      <c r="BV76" s="198"/>
      <c r="BW76" s="198"/>
      <c r="BX76" s="198"/>
      <c r="BY76" s="198"/>
      <c r="BZ76" s="198"/>
      <c r="CA76" s="198"/>
      <c r="CB76" s="198"/>
      <c r="CC76" s="198"/>
      <c r="CD76" s="198"/>
      <c r="CE76" s="198"/>
      <c r="CF76" s="198"/>
      <c r="CG76" s="198"/>
      <c r="CH76" s="198"/>
      <c r="CI76" s="199"/>
      <c r="CJ76" s="65"/>
      <c r="CK76" s="65"/>
      <c r="CL76" s="65"/>
      <c r="CM76" s="65"/>
      <c r="CN76" s="65"/>
      <c r="CO76" s="65"/>
      <c r="CP76" s="65"/>
      <c r="CQ76" s="65"/>
      <c r="CR76" s="65"/>
      <c r="CS76" s="197"/>
      <c r="CT76" s="65"/>
      <c r="CU76" s="198"/>
      <c r="CV76" s="198"/>
      <c r="CW76" s="198"/>
      <c r="CX76" s="198"/>
      <c r="CY76" s="198"/>
      <c r="CZ76" s="198"/>
      <c r="DA76" s="198"/>
      <c r="DB76" s="198"/>
      <c r="DC76" s="198"/>
      <c r="DD76" s="198"/>
      <c r="DE76" s="198"/>
      <c r="DF76" s="198"/>
      <c r="DG76" s="198"/>
      <c r="DH76" s="198"/>
      <c r="DI76" s="198"/>
      <c r="DJ76" s="199"/>
    </row>
    <row r="77" spans="1:114" ht="15.75" customHeight="1" x14ac:dyDescent="0.15">
      <c r="A77" s="196"/>
      <c r="B77" s="196"/>
      <c r="C77" s="196"/>
      <c r="D77" s="196"/>
      <c r="E77" s="196"/>
      <c r="F77" s="196"/>
      <c r="G77" s="65" t="s">
        <v>1441</v>
      </c>
      <c r="H77" s="65" t="s">
        <v>1442</v>
      </c>
      <c r="I77" s="65" t="s">
        <v>1258</v>
      </c>
      <c r="J77" s="65" t="s">
        <v>1259</v>
      </c>
      <c r="K77" s="65">
        <v>1223414680</v>
      </c>
      <c r="L77" s="65" t="s">
        <v>1443</v>
      </c>
      <c r="M77" s="65">
        <v>489487383</v>
      </c>
      <c r="N77" s="65" t="s">
        <v>1436</v>
      </c>
      <c r="O77" s="65" t="s">
        <v>1216</v>
      </c>
      <c r="P77" s="197">
        <v>44013</v>
      </c>
      <c r="Q77" s="65">
        <v>2064.0320999999999</v>
      </c>
      <c r="R77" s="198">
        <v>6.1000000000000004E-3</v>
      </c>
      <c r="S77" s="198">
        <v>2.7900000000000001E-2</v>
      </c>
      <c r="T77" s="198">
        <v>6.4000000000000001E-2</v>
      </c>
      <c r="U77" s="198">
        <v>6.7400000000000002E-2</v>
      </c>
      <c r="V77" s="198">
        <v>0.15179999999999999</v>
      </c>
      <c r="W77" s="198">
        <v>0.2195</v>
      </c>
      <c r="X77" s="198">
        <v>0.2324</v>
      </c>
      <c r="Y77" s="198">
        <v>9.98E-2</v>
      </c>
      <c r="Z77" s="198">
        <v>0.1265</v>
      </c>
      <c r="AA77" s="198">
        <v>4.4999999999999997E-3</v>
      </c>
      <c r="AB77" s="198"/>
      <c r="AC77" s="198"/>
      <c r="AD77" s="198"/>
      <c r="AE77" s="198"/>
      <c r="AF77" s="198"/>
      <c r="AG77" s="199"/>
      <c r="AH77" s="65" t="s">
        <v>1568</v>
      </c>
      <c r="AI77" s="65" t="s">
        <v>1569</v>
      </c>
      <c r="AJ77" s="65" t="s">
        <v>1244</v>
      </c>
      <c r="AK77" s="65" t="s">
        <v>1245</v>
      </c>
      <c r="AL77" s="65">
        <v>916869395</v>
      </c>
      <c r="AM77" s="65" t="s">
        <v>1569</v>
      </c>
      <c r="AN77" s="65">
        <v>295913422</v>
      </c>
      <c r="AO77" s="65" t="s">
        <v>1393</v>
      </c>
      <c r="AP77" s="65" t="s">
        <v>1216</v>
      </c>
      <c r="AQ77" s="197">
        <v>44013</v>
      </c>
      <c r="AR77" s="65">
        <v>316.7398</v>
      </c>
      <c r="AS77" s="198">
        <v>1.55E-2</v>
      </c>
      <c r="AT77" s="198">
        <v>7.6600000000000001E-2</v>
      </c>
      <c r="AU77" s="198">
        <v>0.157</v>
      </c>
      <c r="AV77" s="198">
        <v>0.1336</v>
      </c>
      <c r="AW77" s="198">
        <v>0.22600000000000001</v>
      </c>
      <c r="AX77" s="198">
        <v>0.21890000000000001</v>
      </c>
      <c r="AY77" s="198">
        <v>0.15670000000000001</v>
      </c>
      <c r="AZ77" s="198">
        <v>1.37E-2</v>
      </c>
      <c r="BA77" s="198">
        <v>2.0999999999999999E-3</v>
      </c>
      <c r="BB77" s="198"/>
      <c r="BC77" s="198"/>
      <c r="BD77" s="198"/>
      <c r="BE77" s="198"/>
      <c r="BF77" s="198"/>
      <c r="BG77" s="198"/>
      <c r="BH77" s="199"/>
      <c r="BI77" s="65"/>
      <c r="BJ77" s="65"/>
      <c r="BK77" s="65"/>
      <c r="BL77" s="65"/>
      <c r="BM77" s="65"/>
      <c r="BN77" s="65"/>
      <c r="BO77" s="65"/>
      <c r="BP77" s="65"/>
      <c r="BQ77" s="65"/>
      <c r="BR77" s="197"/>
      <c r="BS77" s="65"/>
      <c r="BT77" s="198"/>
      <c r="BU77" s="198"/>
      <c r="BV77" s="198"/>
      <c r="BW77" s="198"/>
      <c r="BX77" s="198"/>
      <c r="BY77" s="198"/>
      <c r="BZ77" s="198"/>
      <c r="CA77" s="198"/>
      <c r="CB77" s="198"/>
      <c r="CC77" s="198"/>
      <c r="CD77" s="198"/>
      <c r="CE77" s="198"/>
      <c r="CF77" s="198"/>
      <c r="CG77" s="198"/>
      <c r="CH77" s="198"/>
      <c r="CI77" s="199"/>
      <c r="CJ77" s="65"/>
      <c r="CK77" s="65"/>
      <c r="CL77" s="65"/>
      <c r="CM77" s="65"/>
      <c r="CN77" s="65"/>
      <c r="CO77" s="65"/>
      <c r="CP77" s="65"/>
      <c r="CQ77" s="65"/>
      <c r="CR77" s="65"/>
      <c r="CS77" s="197"/>
      <c r="CT77" s="65"/>
      <c r="CU77" s="198"/>
      <c r="CV77" s="198"/>
      <c r="CW77" s="198"/>
      <c r="CX77" s="198"/>
      <c r="CY77" s="198"/>
      <c r="CZ77" s="198"/>
      <c r="DA77" s="198"/>
      <c r="DB77" s="198"/>
      <c r="DC77" s="198"/>
      <c r="DD77" s="198"/>
      <c r="DE77" s="198"/>
      <c r="DF77" s="198"/>
      <c r="DG77" s="198"/>
      <c r="DH77" s="198"/>
      <c r="DI77" s="198"/>
      <c r="DJ77" s="199"/>
    </row>
    <row r="78" spans="1:114" ht="15.75" customHeight="1" x14ac:dyDescent="0.15">
      <c r="A78" s="196"/>
      <c r="B78" s="196"/>
      <c r="C78" s="196"/>
      <c r="D78" s="196"/>
      <c r="E78" s="196"/>
      <c r="F78" s="196"/>
      <c r="G78" s="65" t="s">
        <v>1456</v>
      </c>
      <c r="H78" s="65" t="s">
        <v>1457</v>
      </c>
      <c r="I78" s="65" t="s">
        <v>1458</v>
      </c>
      <c r="J78" s="65" t="s">
        <v>1459</v>
      </c>
      <c r="K78" s="65">
        <v>1437783446</v>
      </c>
      <c r="L78" s="65" t="s">
        <v>1457</v>
      </c>
      <c r="M78" s="65">
        <v>308973149</v>
      </c>
      <c r="N78" s="65" t="s">
        <v>1459</v>
      </c>
      <c r="O78" s="65" t="s">
        <v>1216</v>
      </c>
      <c r="P78" s="197">
        <v>44013</v>
      </c>
      <c r="Q78" s="65">
        <v>3137.2337000000002</v>
      </c>
      <c r="R78" s="198">
        <v>3.5999999999999999E-3</v>
      </c>
      <c r="S78" s="198">
        <v>1.6400000000000001E-2</v>
      </c>
      <c r="T78" s="198">
        <v>3.9699999999999999E-2</v>
      </c>
      <c r="U78" s="198">
        <v>4.5100000000000001E-2</v>
      </c>
      <c r="V78" s="198">
        <v>0.1145</v>
      </c>
      <c r="W78" s="198">
        <v>0.19939999999999999</v>
      </c>
      <c r="X78" s="198">
        <v>0.26219999999999999</v>
      </c>
      <c r="Y78" s="198">
        <v>0.12670000000000001</v>
      </c>
      <c r="Z78" s="198">
        <v>0.18229999999999999</v>
      </c>
      <c r="AA78" s="198">
        <v>1.01E-2</v>
      </c>
      <c r="AB78" s="198"/>
      <c r="AC78" s="198"/>
      <c r="AD78" s="198"/>
      <c r="AE78" s="198"/>
      <c r="AF78" s="198"/>
      <c r="AG78" s="199"/>
      <c r="AH78" s="65"/>
      <c r="AI78" s="65"/>
      <c r="AJ78" s="65"/>
      <c r="AK78" s="65"/>
      <c r="AL78" s="65"/>
      <c r="AM78" s="65"/>
      <c r="AN78" s="65"/>
      <c r="AO78" s="65"/>
      <c r="AP78" s="65"/>
      <c r="AQ78" s="194" t="s">
        <v>1592</v>
      </c>
      <c r="AR78" s="202">
        <f>AVERAGE(AR43:AR77)</f>
        <v>524.11052285714288</v>
      </c>
      <c r="AS78" s="198"/>
      <c r="AT78" s="198"/>
      <c r="AU78" s="198"/>
      <c r="AV78" s="198"/>
      <c r="AW78" s="198"/>
      <c r="AX78" s="198"/>
      <c r="AY78" s="198"/>
      <c r="AZ78" s="198"/>
      <c r="BA78" s="198"/>
      <c r="BB78" s="198"/>
      <c r="BC78" s="198"/>
      <c r="BD78" s="198"/>
      <c r="BE78" s="198"/>
      <c r="BF78" s="198"/>
      <c r="BG78" s="198"/>
      <c r="BH78" s="199"/>
      <c r="BI78" s="65"/>
      <c r="BJ78" s="65"/>
      <c r="BK78" s="65"/>
      <c r="BL78" s="65"/>
      <c r="BM78" s="65"/>
      <c r="BN78" s="65"/>
      <c r="BO78" s="65"/>
      <c r="BP78" s="65"/>
      <c r="BQ78" s="65"/>
      <c r="BR78" s="197"/>
      <c r="BS78" s="65"/>
      <c r="BT78" s="198"/>
      <c r="BU78" s="198"/>
      <c r="BV78" s="198"/>
      <c r="BW78" s="198"/>
      <c r="BX78" s="198"/>
      <c r="BY78" s="198"/>
      <c r="BZ78" s="198"/>
      <c r="CA78" s="198"/>
      <c r="CB78" s="198"/>
      <c r="CC78" s="198"/>
      <c r="CD78" s="198"/>
      <c r="CE78" s="198"/>
      <c r="CF78" s="198"/>
      <c r="CG78" s="198"/>
      <c r="CH78" s="198"/>
      <c r="CI78" s="199"/>
      <c r="CJ78" s="65"/>
      <c r="CK78" s="65"/>
      <c r="CL78" s="65"/>
      <c r="CM78" s="65"/>
      <c r="CN78" s="65"/>
      <c r="CO78" s="65"/>
      <c r="CP78" s="65"/>
      <c r="CQ78" s="65"/>
      <c r="CR78" s="65"/>
      <c r="CS78" s="197"/>
      <c r="CT78" s="65"/>
      <c r="CU78" s="198"/>
      <c r="CV78" s="198"/>
      <c r="CW78" s="198"/>
      <c r="CX78" s="198"/>
      <c r="CY78" s="198"/>
      <c r="CZ78" s="198"/>
      <c r="DA78" s="198"/>
      <c r="DB78" s="198"/>
      <c r="DC78" s="198"/>
      <c r="DD78" s="198"/>
      <c r="DE78" s="198"/>
      <c r="DF78" s="198"/>
      <c r="DG78" s="198"/>
      <c r="DH78" s="198"/>
      <c r="DI78" s="198"/>
      <c r="DJ78" s="199"/>
    </row>
    <row r="79" spans="1:114" ht="15.75" customHeight="1" x14ac:dyDescent="0.15">
      <c r="A79" s="196"/>
      <c r="B79" s="196"/>
      <c r="C79" s="196"/>
      <c r="D79" s="196"/>
      <c r="E79" s="196"/>
      <c r="F79" s="196"/>
      <c r="G79" s="65" t="s">
        <v>1469</v>
      </c>
      <c r="H79" s="65" t="s">
        <v>1470</v>
      </c>
      <c r="I79" s="65" t="s">
        <v>1254</v>
      </c>
      <c r="J79" s="65" t="s">
        <v>1255</v>
      </c>
      <c r="K79" s="65">
        <v>572821456</v>
      </c>
      <c r="L79" s="65" t="s">
        <v>1470</v>
      </c>
      <c r="M79" s="65">
        <v>526656015</v>
      </c>
      <c r="N79" s="65" t="s">
        <v>1255</v>
      </c>
      <c r="O79" s="65" t="s">
        <v>1216</v>
      </c>
      <c r="P79" s="197">
        <v>44013</v>
      </c>
      <c r="Q79" s="65">
        <v>1900.0862</v>
      </c>
      <c r="R79" s="198">
        <v>4.4999999999999997E-3</v>
      </c>
      <c r="S79" s="198">
        <v>2.5100000000000001E-2</v>
      </c>
      <c r="T79" s="198">
        <v>5.96E-2</v>
      </c>
      <c r="U79" s="198">
        <v>6.4100000000000004E-2</v>
      </c>
      <c r="V79" s="198">
        <v>0.14799999999999999</v>
      </c>
      <c r="W79" s="198">
        <v>0.2223</v>
      </c>
      <c r="X79" s="198">
        <v>0.247</v>
      </c>
      <c r="Y79" s="198">
        <v>0.104</v>
      </c>
      <c r="Z79" s="198">
        <v>0.12239999999999999</v>
      </c>
      <c r="AA79" s="198">
        <v>3.0000000000000001E-3</v>
      </c>
      <c r="AB79" s="198"/>
      <c r="AC79" s="198"/>
      <c r="AD79" s="198"/>
      <c r="AE79" s="198"/>
      <c r="AF79" s="198"/>
      <c r="AG79" s="199"/>
      <c r="AH79" s="65"/>
      <c r="AI79" s="65"/>
      <c r="AJ79" s="65"/>
      <c r="AK79" s="65"/>
      <c r="AL79" s="65"/>
      <c r="AM79" s="65"/>
      <c r="AN79" s="65"/>
      <c r="AO79" s="65"/>
      <c r="AP79" s="65"/>
      <c r="AQ79" s="194" t="s">
        <v>1593</v>
      </c>
      <c r="AR79" s="202">
        <f>AR78/60</f>
        <v>8.7351753809523807</v>
      </c>
      <c r="AS79" s="198"/>
      <c r="AT79" s="198"/>
      <c r="AU79" s="198"/>
      <c r="AV79" s="198"/>
      <c r="AW79" s="198"/>
      <c r="AX79" s="198"/>
      <c r="AY79" s="198"/>
      <c r="AZ79" s="198"/>
      <c r="BA79" s="198"/>
      <c r="BB79" s="198"/>
      <c r="BC79" s="198"/>
      <c r="BD79" s="198"/>
      <c r="BE79" s="198"/>
      <c r="BF79" s="198"/>
      <c r="BG79" s="198"/>
      <c r="BH79" s="199"/>
      <c r="BI79" s="65"/>
      <c r="BJ79" s="65"/>
      <c r="BK79" s="65"/>
      <c r="BL79" s="65"/>
      <c r="BM79" s="65"/>
      <c r="BN79" s="65"/>
      <c r="BO79" s="65"/>
      <c r="BP79" s="65"/>
      <c r="BQ79" s="65"/>
      <c r="BR79" s="197"/>
      <c r="BS79" s="65"/>
      <c r="BT79" s="198"/>
      <c r="BU79" s="198"/>
      <c r="BV79" s="198"/>
      <c r="BW79" s="198"/>
      <c r="BX79" s="198"/>
      <c r="BY79" s="198"/>
      <c r="BZ79" s="198"/>
      <c r="CA79" s="198"/>
      <c r="CB79" s="198"/>
      <c r="CC79" s="198"/>
      <c r="CD79" s="198"/>
      <c r="CE79" s="198"/>
      <c r="CF79" s="198"/>
      <c r="CG79" s="198"/>
      <c r="CH79" s="198"/>
      <c r="CI79" s="199"/>
      <c r="CJ79" s="65"/>
      <c r="CK79" s="65"/>
      <c r="CL79" s="65"/>
      <c r="CM79" s="65"/>
      <c r="CN79" s="65"/>
      <c r="CO79" s="65"/>
      <c r="CP79" s="65"/>
      <c r="CQ79" s="65"/>
      <c r="CR79" s="65"/>
      <c r="CS79" s="197"/>
      <c r="CT79" s="65"/>
      <c r="CU79" s="198"/>
      <c r="CV79" s="198"/>
      <c r="CW79" s="198"/>
      <c r="CX79" s="198"/>
      <c r="CY79" s="198"/>
      <c r="CZ79" s="198"/>
      <c r="DA79" s="198"/>
      <c r="DB79" s="198"/>
      <c r="DC79" s="198"/>
      <c r="DD79" s="198"/>
      <c r="DE79" s="198"/>
      <c r="DF79" s="198"/>
      <c r="DG79" s="198"/>
      <c r="DH79" s="198"/>
      <c r="DI79" s="198"/>
      <c r="DJ79" s="199"/>
    </row>
    <row r="80" spans="1:114" ht="15.75" customHeight="1" x14ac:dyDescent="0.15">
      <c r="A80" s="196"/>
      <c r="B80" s="196"/>
      <c r="C80" s="196"/>
      <c r="D80" s="196"/>
      <c r="E80" s="196"/>
      <c r="F80" s="196"/>
      <c r="G80" s="65" t="s">
        <v>1477</v>
      </c>
      <c r="H80" s="65" t="s">
        <v>1478</v>
      </c>
      <c r="I80" s="65" t="s">
        <v>1291</v>
      </c>
      <c r="J80" s="65" t="s">
        <v>1292</v>
      </c>
      <c r="K80" s="65">
        <v>700970012</v>
      </c>
      <c r="L80" s="65" t="s">
        <v>1478</v>
      </c>
      <c r="M80" s="65">
        <v>290671617</v>
      </c>
      <c r="N80" s="65" t="s">
        <v>1294</v>
      </c>
      <c r="O80" s="65" t="s">
        <v>1216</v>
      </c>
      <c r="P80" s="197">
        <v>44013</v>
      </c>
      <c r="Q80" s="65">
        <v>2305.8472999999999</v>
      </c>
      <c r="R80" s="198">
        <v>4.8999999999999998E-3</v>
      </c>
      <c r="S80" s="198">
        <v>2.23E-2</v>
      </c>
      <c r="T80" s="198">
        <v>5.2400000000000002E-2</v>
      </c>
      <c r="U80" s="198">
        <v>5.7200000000000001E-2</v>
      </c>
      <c r="V80" s="198">
        <v>0.13619999999999999</v>
      </c>
      <c r="W80" s="198">
        <v>0.21460000000000001</v>
      </c>
      <c r="X80" s="198">
        <v>0.25119999999999998</v>
      </c>
      <c r="Y80" s="198">
        <v>0.11269999999999999</v>
      </c>
      <c r="Z80" s="198">
        <v>0.14360000000000001</v>
      </c>
      <c r="AA80" s="198">
        <v>5.0000000000000001E-3</v>
      </c>
      <c r="AB80" s="198"/>
      <c r="AC80" s="198"/>
      <c r="AD80" s="198"/>
      <c r="AE80" s="198"/>
      <c r="AF80" s="198"/>
      <c r="AG80" s="199"/>
      <c r="AH80" s="192" t="s">
        <v>1573</v>
      </c>
      <c r="AI80" s="192"/>
      <c r="AJ80" s="192"/>
      <c r="AK80" s="192"/>
      <c r="AL80" s="192"/>
      <c r="AM80" s="192"/>
      <c r="AN80" s="192"/>
      <c r="AO80" s="192"/>
      <c r="AP80" s="192"/>
      <c r="AQ80" s="194"/>
      <c r="AR80" s="192"/>
      <c r="AS80" s="195"/>
      <c r="AT80" s="195"/>
      <c r="AU80" s="195"/>
      <c r="AV80" s="195"/>
      <c r="AW80" s="195"/>
      <c r="AX80" s="195"/>
      <c r="AY80" s="195"/>
      <c r="AZ80" s="195"/>
      <c r="BA80" s="195"/>
      <c r="BB80" s="195"/>
      <c r="BC80" s="198"/>
      <c r="BD80" s="198"/>
      <c r="BE80" s="198"/>
      <c r="BF80" s="198"/>
      <c r="BG80" s="198"/>
      <c r="BH80" s="199"/>
      <c r="BI80" s="65"/>
      <c r="BJ80" s="65"/>
      <c r="BK80" s="65"/>
      <c r="BL80" s="65"/>
      <c r="BM80" s="65"/>
      <c r="BN80" s="65"/>
      <c r="BO80" s="65"/>
      <c r="BP80" s="65"/>
      <c r="BQ80" s="65"/>
      <c r="BR80" s="197"/>
      <c r="BS80" s="65"/>
      <c r="BT80" s="198"/>
      <c r="BU80" s="198"/>
      <c r="BV80" s="198"/>
      <c r="BW80" s="198"/>
      <c r="BX80" s="198"/>
      <c r="BY80" s="198"/>
      <c r="BZ80" s="198"/>
      <c r="CA80" s="198"/>
      <c r="CB80" s="198"/>
      <c r="CC80" s="198"/>
      <c r="CD80" s="198"/>
      <c r="CE80" s="198"/>
      <c r="CF80" s="198"/>
      <c r="CG80" s="198"/>
      <c r="CH80" s="198"/>
      <c r="CI80" s="199"/>
      <c r="CJ80" s="65"/>
      <c r="CK80" s="65"/>
      <c r="CL80" s="65"/>
      <c r="CM80" s="65"/>
      <c r="CN80" s="65"/>
      <c r="CO80" s="65"/>
      <c r="CP80" s="65"/>
      <c r="CQ80" s="65"/>
      <c r="CR80" s="65"/>
      <c r="CS80" s="197"/>
      <c r="CT80" s="65"/>
      <c r="CU80" s="198"/>
      <c r="CV80" s="198"/>
      <c r="CW80" s="198"/>
      <c r="CX80" s="198"/>
      <c r="CY80" s="198"/>
      <c r="CZ80" s="198"/>
      <c r="DA80" s="198"/>
      <c r="DB80" s="198"/>
      <c r="DC80" s="198"/>
      <c r="DD80" s="198"/>
      <c r="DE80" s="198"/>
      <c r="DF80" s="198"/>
      <c r="DG80" s="198"/>
      <c r="DH80" s="198"/>
      <c r="DI80" s="198"/>
      <c r="DJ80" s="199"/>
    </row>
    <row r="81" spans="1:114" ht="15.75" customHeight="1" x14ac:dyDescent="0.15">
      <c r="A81" s="196"/>
      <c r="B81" s="196"/>
      <c r="C81" s="196"/>
      <c r="D81" s="196"/>
      <c r="E81" s="196"/>
      <c r="F81" s="196"/>
      <c r="G81" s="65" t="s">
        <v>1488</v>
      </c>
      <c r="H81" s="65" t="s">
        <v>61</v>
      </c>
      <c r="I81" s="65" t="s">
        <v>1489</v>
      </c>
      <c r="J81" s="65" t="s">
        <v>1490</v>
      </c>
      <c r="K81" s="65">
        <v>1216575026</v>
      </c>
      <c r="L81" s="65" t="s">
        <v>61</v>
      </c>
      <c r="M81" s="65">
        <v>1399403555</v>
      </c>
      <c r="N81" s="65" t="s">
        <v>1491</v>
      </c>
      <c r="O81" s="65" t="s">
        <v>1216</v>
      </c>
      <c r="P81" s="197">
        <v>44013</v>
      </c>
      <c r="Q81" s="65">
        <v>3697.4238</v>
      </c>
      <c r="R81" s="198">
        <v>2.8999999999999998E-3</v>
      </c>
      <c r="S81" s="198">
        <v>1.43E-2</v>
      </c>
      <c r="T81" s="198">
        <v>3.61E-2</v>
      </c>
      <c r="U81" s="198">
        <v>4.19E-2</v>
      </c>
      <c r="V81" s="198">
        <v>0.1072</v>
      </c>
      <c r="W81" s="198">
        <v>0.187</v>
      </c>
      <c r="X81" s="198">
        <v>0.24229999999999999</v>
      </c>
      <c r="Y81" s="198">
        <v>0.13189999999999999</v>
      </c>
      <c r="Z81" s="198">
        <v>0.22459999999999999</v>
      </c>
      <c r="AA81" s="198">
        <v>1.1900000000000001E-2</v>
      </c>
      <c r="AB81" s="198"/>
      <c r="AC81" s="198"/>
      <c r="AD81" s="198"/>
      <c r="AE81" s="198"/>
      <c r="AF81" s="198"/>
      <c r="AG81" s="199"/>
      <c r="AH81" s="192" t="s">
        <v>1185</v>
      </c>
      <c r="AI81" s="192" t="s">
        <v>1186</v>
      </c>
      <c r="AJ81" s="192" t="s">
        <v>1187</v>
      </c>
      <c r="AK81" s="192" t="s">
        <v>1188</v>
      </c>
      <c r="AL81" s="192" t="s">
        <v>1189</v>
      </c>
      <c r="AM81" s="192" t="s">
        <v>1190</v>
      </c>
      <c r="AN81" s="192" t="s">
        <v>1191</v>
      </c>
      <c r="AO81" s="192" t="s">
        <v>1192</v>
      </c>
      <c r="AP81" s="192" t="s">
        <v>1193</v>
      </c>
      <c r="AQ81" s="194" t="s">
        <v>1194</v>
      </c>
      <c r="AR81" s="192" t="s">
        <v>1505</v>
      </c>
      <c r="AS81" s="195" t="s">
        <v>1574</v>
      </c>
      <c r="AT81" s="195" t="s">
        <v>1575</v>
      </c>
      <c r="AU81" s="195" t="s">
        <v>1576</v>
      </c>
      <c r="AV81" s="195" t="s">
        <v>1577</v>
      </c>
      <c r="AW81" s="195" t="s">
        <v>1578</v>
      </c>
      <c r="AX81" s="195" t="s">
        <v>1579</v>
      </c>
      <c r="AY81" s="195" t="s">
        <v>1580</v>
      </c>
      <c r="AZ81" s="195" t="s">
        <v>1581</v>
      </c>
      <c r="BA81" s="195" t="s">
        <v>1582</v>
      </c>
      <c r="BB81" s="195" t="s">
        <v>1583</v>
      </c>
      <c r="BC81" s="198"/>
      <c r="BD81" s="198"/>
      <c r="BE81" s="198"/>
      <c r="BF81" s="198"/>
      <c r="BG81" s="198"/>
      <c r="BH81" s="199"/>
      <c r="BI81" s="65"/>
      <c r="BJ81" s="65"/>
      <c r="BK81" s="65"/>
      <c r="BL81" s="65"/>
      <c r="BM81" s="65"/>
      <c r="BN81" s="65"/>
      <c r="BO81" s="65"/>
      <c r="BP81" s="65"/>
      <c r="BQ81" s="65"/>
      <c r="BR81" s="197"/>
      <c r="BS81" s="65"/>
      <c r="BT81" s="198"/>
      <c r="BU81" s="198"/>
      <c r="BV81" s="198"/>
      <c r="BW81" s="198"/>
      <c r="BX81" s="198"/>
      <c r="BY81" s="198"/>
      <c r="BZ81" s="198"/>
      <c r="CA81" s="198"/>
      <c r="CB81" s="198"/>
      <c r="CC81" s="198"/>
      <c r="CD81" s="198"/>
      <c r="CE81" s="198"/>
      <c r="CF81" s="198"/>
      <c r="CG81" s="198"/>
      <c r="CH81" s="198"/>
      <c r="CI81" s="199"/>
      <c r="CJ81" s="65"/>
      <c r="CK81" s="65"/>
      <c r="CL81" s="65"/>
      <c r="CM81" s="65"/>
      <c r="CN81" s="65"/>
      <c r="CO81" s="65"/>
      <c r="CP81" s="65"/>
      <c r="CQ81" s="65"/>
      <c r="CR81" s="65"/>
      <c r="CS81" s="197"/>
      <c r="CT81" s="65"/>
      <c r="CU81" s="198"/>
      <c r="CV81" s="198"/>
      <c r="CW81" s="198"/>
      <c r="CX81" s="198"/>
      <c r="CY81" s="198"/>
      <c r="CZ81" s="198"/>
      <c r="DA81" s="198"/>
      <c r="DB81" s="198"/>
      <c r="DC81" s="198"/>
      <c r="DD81" s="198"/>
      <c r="DE81" s="198"/>
      <c r="DF81" s="198"/>
      <c r="DG81" s="198"/>
      <c r="DH81" s="198"/>
      <c r="DI81" s="198"/>
      <c r="DJ81" s="199"/>
    </row>
    <row r="82" spans="1:114" ht="15.75" customHeight="1" x14ac:dyDescent="0.15">
      <c r="A82" s="196"/>
      <c r="B82" s="196"/>
      <c r="C82" s="196"/>
      <c r="D82" s="196"/>
      <c r="E82" s="196"/>
      <c r="F82" s="196"/>
      <c r="G82" s="65" t="s">
        <v>1497</v>
      </c>
      <c r="H82" s="65" t="s">
        <v>1498</v>
      </c>
      <c r="I82" s="65" t="s">
        <v>1235</v>
      </c>
      <c r="J82" s="65" t="s">
        <v>1236</v>
      </c>
      <c r="K82" s="65">
        <v>1223338261</v>
      </c>
      <c r="L82" s="65" t="s">
        <v>1499</v>
      </c>
      <c r="M82" s="65">
        <v>1223338260</v>
      </c>
      <c r="N82" s="65" t="s">
        <v>1500</v>
      </c>
      <c r="O82" s="65" t="s">
        <v>1216</v>
      </c>
      <c r="P82" s="197">
        <v>44013</v>
      </c>
      <c r="Q82" s="65">
        <v>1551.4987000000001</v>
      </c>
      <c r="R82" s="198">
        <v>6.8999999999999999E-3</v>
      </c>
      <c r="S82" s="198">
        <v>3.8100000000000002E-2</v>
      </c>
      <c r="T82" s="198">
        <v>8.8400000000000006E-2</v>
      </c>
      <c r="U82" s="198">
        <v>8.9200000000000002E-2</v>
      </c>
      <c r="V82" s="198">
        <v>0.18290000000000001</v>
      </c>
      <c r="W82" s="198">
        <v>0.2228</v>
      </c>
      <c r="X82" s="198">
        <v>0.1852</v>
      </c>
      <c r="Y82" s="198">
        <v>8.0299999999999996E-2</v>
      </c>
      <c r="Z82" s="198">
        <v>0.1045</v>
      </c>
      <c r="AA82" s="198">
        <v>1.8E-3</v>
      </c>
      <c r="AB82" s="198"/>
      <c r="AC82" s="198"/>
      <c r="AD82" s="198"/>
      <c r="AE82" s="198"/>
      <c r="AF82" s="198"/>
      <c r="AG82" s="199"/>
      <c r="AH82" s="65" t="s">
        <v>1217</v>
      </c>
      <c r="AI82" s="65" t="s">
        <v>1218</v>
      </c>
      <c r="AJ82" s="65" t="s">
        <v>1219</v>
      </c>
      <c r="AK82" s="65" t="s">
        <v>1220</v>
      </c>
      <c r="AL82" s="65">
        <v>509098112</v>
      </c>
      <c r="AM82" s="65" t="s">
        <v>1221</v>
      </c>
      <c r="AN82" s="65">
        <v>311349149</v>
      </c>
      <c r="AO82" s="65" t="s">
        <v>1222</v>
      </c>
      <c r="AP82" s="65" t="s">
        <v>1216</v>
      </c>
      <c r="AQ82" s="197">
        <v>44013</v>
      </c>
      <c r="AR82" s="65">
        <v>827.78959999999995</v>
      </c>
      <c r="AS82" s="198">
        <v>1.09E-2</v>
      </c>
      <c r="AT82" s="198">
        <v>5.1299999999999998E-2</v>
      </c>
      <c r="AU82" s="198">
        <v>0.1062</v>
      </c>
      <c r="AV82" s="198">
        <v>0.1008</v>
      </c>
      <c r="AW82" s="198">
        <v>0.1971</v>
      </c>
      <c r="AX82" s="198">
        <v>0.23250000000000001</v>
      </c>
      <c r="AY82" s="198">
        <v>0.2</v>
      </c>
      <c r="AZ82" s="198">
        <v>5.7500000000000002E-2</v>
      </c>
      <c r="BA82" s="198">
        <v>4.3299999999999998E-2</v>
      </c>
      <c r="BB82" s="198">
        <v>4.0000000000000002E-4</v>
      </c>
      <c r="BC82" s="198"/>
      <c r="BD82" s="198"/>
      <c r="BE82" s="198"/>
      <c r="BF82" s="198"/>
      <c r="BG82" s="198"/>
      <c r="BH82" s="199"/>
      <c r="BI82" s="65"/>
      <c r="BJ82" s="65"/>
      <c r="BK82" s="65"/>
      <c r="BL82" s="65"/>
      <c r="BM82" s="65"/>
      <c r="BN82" s="65"/>
      <c r="BO82" s="65"/>
      <c r="BP82" s="65"/>
      <c r="BQ82" s="65"/>
      <c r="BR82" s="197"/>
      <c r="BS82" s="65"/>
      <c r="BT82" s="198"/>
      <c r="BU82" s="198"/>
      <c r="BV82" s="198"/>
      <c r="BW82" s="198"/>
      <c r="BX82" s="198"/>
      <c r="BY82" s="198"/>
      <c r="BZ82" s="198"/>
      <c r="CA82" s="198"/>
      <c r="CB82" s="198"/>
      <c r="CC82" s="198"/>
      <c r="CD82" s="198"/>
      <c r="CE82" s="198"/>
      <c r="CF82" s="198"/>
      <c r="CG82" s="198"/>
      <c r="CH82" s="198"/>
      <c r="CI82" s="199"/>
      <c r="CJ82" s="65"/>
      <c r="CK82" s="65"/>
      <c r="CL82" s="65"/>
      <c r="CM82" s="65"/>
      <c r="CN82" s="65"/>
      <c r="CO82" s="65"/>
      <c r="CP82" s="65"/>
      <c r="CQ82" s="65"/>
      <c r="CR82" s="65"/>
      <c r="CS82" s="197"/>
      <c r="CT82" s="65"/>
      <c r="CU82" s="198"/>
      <c r="CV82" s="198"/>
      <c r="CW82" s="198"/>
      <c r="CX82" s="198"/>
      <c r="CY82" s="198"/>
      <c r="CZ82" s="198"/>
      <c r="DA82" s="198"/>
      <c r="DB82" s="198"/>
      <c r="DC82" s="198"/>
      <c r="DD82" s="198"/>
      <c r="DE82" s="198"/>
      <c r="DF82" s="198"/>
      <c r="DG82" s="198"/>
      <c r="DH82" s="198"/>
      <c r="DI82" s="198"/>
      <c r="DJ82" s="199"/>
    </row>
    <row r="83" spans="1:114" ht="15.75" customHeight="1" x14ac:dyDescent="0.15">
      <c r="A83" s="196"/>
      <c r="B83" s="196"/>
      <c r="C83" s="196"/>
      <c r="D83" s="196"/>
      <c r="E83" s="196"/>
      <c r="F83" s="196"/>
      <c r="G83" s="65" t="s">
        <v>1516</v>
      </c>
      <c r="H83" s="65" t="s">
        <v>1517</v>
      </c>
      <c r="I83" s="65" t="s">
        <v>1244</v>
      </c>
      <c r="J83" s="65" t="s">
        <v>1245</v>
      </c>
      <c r="K83" s="65">
        <v>890378044</v>
      </c>
      <c r="L83" s="65" t="s">
        <v>1517</v>
      </c>
      <c r="M83" s="65">
        <v>476160947</v>
      </c>
      <c r="N83" s="65" t="s">
        <v>1518</v>
      </c>
      <c r="O83" s="65" t="s">
        <v>1216</v>
      </c>
      <c r="P83" s="197">
        <v>44013</v>
      </c>
      <c r="Q83" s="65">
        <v>2228.0259000000001</v>
      </c>
      <c r="R83" s="198">
        <v>6.6E-3</v>
      </c>
      <c r="S83" s="198">
        <v>3.0700000000000002E-2</v>
      </c>
      <c r="T83" s="198">
        <v>7.0400000000000004E-2</v>
      </c>
      <c r="U83" s="198">
        <v>7.2900000000000006E-2</v>
      </c>
      <c r="V83" s="198">
        <v>0.159</v>
      </c>
      <c r="W83" s="198">
        <v>0.2175</v>
      </c>
      <c r="X83" s="198">
        <v>0.21360000000000001</v>
      </c>
      <c r="Y83" s="198">
        <v>9.4600000000000004E-2</v>
      </c>
      <c r="Z83" s="198">
        <v>0.12870000000000001</v>
      </c>
      <c r="AA83" s="198">
        <v>6.0000000000000001E-3</v>
      </c>
      <c r="AB83" s="198"/>
      <c r="AC83" s="198"/>
      <c r="AD83" s="198"/>
      <c r="AE83" s="198"/>
      <c r="AF83" s="198"/>
      <c r="AG83" s="199"/>
      <c r="AH83" s="65" t="s">
        <v>1239</v>
      </c>
      <c r="AI83" s="65" t="s">
        <v>1240</v>
      </c>
      <c r="AJ83" s="65" t="s">
        <v>1235</v>
      </c>
      <c r="AK83" s="65" t="s">
        <v>1236</v>
      </c>
      <c r="AL83" s="65">
        <v>529996768</v>
      </c>
      <c r="AM83" s="65" t="s">
        <v>1240</v>
      </c>
      <c r="AN83" s="65">
        <v>504720043</v>
      </c>
      <c r="AO83" s="65" t="s">
        <v>1241</v>
      </c>
      <c r="AP83" s="65" t="s">
        <v>1216</v>
      </c>
      <c r="AQ83" s="197">
        <v>44013</v>
      </c>
      <c r="AR83" s="65">
        <v>1224.5983000000001</v>
      </c>
      <c r="AS83" s="198">
        <v>8.3000000000000001E-3</v>
      </c>
      <c r="AT83" s="198">
        <v>3.5299999999999998E-2</v>
      </c>
      <c r="AU83" s="198">
        <v>7.6799999999999993E-2</v>
      </c>
      <c r="AV83" s="198">
        <v>7.8299999999999995E-2</v>
      </c>
      <c r="AW83" s="198">
        <v>0.1699</v>
      </c>
      <c r="AX83" s="198">
        <v>0.2346</v>
      </c>
      <c r="AY83" s="198">
        <v>0.2397</v>
      </c>
      <c r="AZ83" s="198">
        <v>8.2900000000000001E-2</v>
      </c>
      <c r="BA83" s="198">
        <v>7.3300000000000004E-2</v>
      </c>
      <c r="BB83" s="198">
        <v>8.9999999999999998E-4</v>
      </c>
      <c r="BC83" s="198"/>
      <c r="BD83" s="198"/>
      <c r="BE83" s="198"/>
      <c r="BF83" s="198"/>
      <c r="BG83" s="198"/>
      <c r="BH83" s="199"/>
      <c r="BI83" s="65"/>
      <c r="BJ83" s="65"/>
      <c r="BK83" s="65"/>
      <c r="BL83" s="65"/>
      <c r="BM83" s="65"/>
      <c r="BN83" s="65"/>
      <c r="BO83" s="65"/>
      <c r="BP83" s="65"/>
      <c r="BQ83" s="65"/>
      <c r="BR83" s="197"/>
      <c r="BS83" s="65"/>
      <c r="BT83" s="198"/>
      <c r="BU83" s="198"/>
      <c r="BV83" s="198"/>
      <c r="BW83" s="198"/>
      <c r="BX83" s="198"/>
      <c r="BY83" s="198"/>
      <c r="BZ83" s="198"/>
      <c r="CA83" s="198"/>
      <c r="CB83" s="198"/>
      <c r="CC83" s="198"/>
      <c r="CD83" s="198"/>
      <c r="CE83" s="198"/>
      <c r="CF83" s="198"/>
      <c r="CG83" s="198"/>
      <c r="CH83" s="198"/>
      <c r="CI83" s="199"/>
      <c r="CJ83" s="65"/>
      <c r="CK83" s="65"/>
      <c r="CL83" s="65"/>
      <c r="CM83" s="65"/>
      <c r="CN83" s="65"/>
      <c r="CO83" s="65"/>
      <c r="CP83" s="65"/>
      <c r="CQ83" s="65"/>
      <c r="CR83" s="65"/>
      <c r="CS83" s="197"/>
      <c r="CT83" s="65"/>
      <c r="CU83" s="198"/>
      <c r="CV83" s="198"/>
      <c r="CW83" s="198"/>
      <c r="CX83" s="198"/>
      <c r="CY83" s="198"/>
      <c r="CZ83" s="198"/>
      <c r="DA83" s="198"/>
      <c r="DB83" s="198"/>
      <c r="DC83" s="198"/>
      <c r="DD83" s="198"/>
      <c r="DE83" s="198"/>
      <c r="DF83" s="198"/>
      <c r="DG83" s="198"/>
      <c r="DH83" s="198"/>
      <c r="DI83" s="198"/>
      <c r="DJ83" s="199"/>
    </row>
    <row r="84" spans="1:114" ht="15.75" customHeight="1" x14ac:dyDescent="0.15">
      <c r="A84" s="196"/>
      <c r="B84" s="196"/>
      <c r="C84" s="196"/>
      <c r="D84" s="196"/>
      <c r="E84" s="196"/>
      <c r="F84" s="196"/>
      <c r="G84" s="65" t="s">
        <v>1523</v>
      </c>
      <c r="H84" s="65" t="s">
        <v>1524</v>
      </c>
      <c r="I84" s="65" t="s">
        <v>1219</v>
      </c>
      <c r="J84" s="65" t="s">
        <v>1220</v>
      </c>
      <c r="K84" s="65">
        <v>892521917</v>
      </c>
      <c r="L84" s="65" t="s">
        <v>1525</v>
      </c>
      <c r="M84" s="65">
        <v>342254535</v>
      </c>
      <c r="N84" s="65" t="s">
        <v>1220</v>
      </c>
      <c r="O84" s="65" t="s">
        <v>1216</v>
      </c>
      <c r="P84" s="197">
        <v>44013</v>
      </c>
      <c r="Q84" s="65">
        <v>2106.3371999999999</v>
      </c>
      <c r="R84" s="198">
        <v>6.0000000000000001E-3</v>
      </c>
      <c r="S84" s="198">
        <v>2.87E-2</v>
      </c>
      <c r="T84" s="198">
        <v>6.7100000000000007E-2</v>
      </c>
      <c r="U84" s="198">
        <v>7.0499999999999993E-2</v>
      </c>
      <c r="V84" s="198">
        <v>0.15570000000000001</v>
      </c>
      <c r="W84" s="198">
        <v>0.2165</v>
      </c>
      <c r="X84" s="198">
        <v>0.2152</v>
      </c>
      <c r="Y84" s="198">
        <v>9.8599999999999993E-2</v>
      </c>
      <c r="Z84" s="198">
        <v>0.13780000000000001</v>
      </c>
      <c r="AA84" s="198">
        <v>3.8999999999999998E-3</v>
      </c>
      <c r="AB84" s="198"/>
      <c r="AC84" s="198"/>
      <c r="AD84" s="198"/>
      <c r="AE84" s="198"/>
      <c r="AF84" s="198"/>
      <c r="AG84" s="199"/>
      <c r="AH84" s="65" t="s">
        <v>1256</v>
      </c>
      <c r="AI84" s="65" t="s">
        <v>1257</v>
      </c>
      <c r="AJ84" s="65" t="s">
        <v>1258</v>
      </c>
      <c r="AK84" s="65" t="s">
        <v>1259</v>
      </c>
      <c r="AL84" s="65">
        <v>538212549</v>
      </c>
      <c r="AM84" s="65" t="s">
        <v>1257</v>
      </c>
      <c r="AN84" s="65">
        <v>292594310</v>
      </c>
      <c r="AO84" s="65" t="s">
        <v>1260</v>
      </c>
      <c r="AP84" s="65" t="s">
        <v>1216</v>
      </c>
      <c r="AQ84" s="197">
        <v>44013</v>
      </c>
      <c r="AR84" s="65">
        <v>2703.7011000000002</v>
      </c>
      <c r="AS84" s="198">
        <v>4.0000000000000001E-3</v>
      </c>
      <c r="AT84" s="198">
        <v>2.3800000000000002E-2</v>
      </c>
      <c r="AU84" s="198">
        <v>5.91E-2</v>
      </c>
      <c r="AV84" s="198">
        <v>6.3700000000000007E-2</v>
      </c>
      <c r="AW84" s="198">
        <v>0.1459</v>
      </c>
      <c r="AX84" s="198">
        <v>0.21410000000000001</v>
      </c>
      <c r="AY84" s="198">
        <v>0.2296</v>
      </c>
      <c r="AZ84" s="198">
        <v>0.1038</v>
      </c>
      <c r="BA84" s="198">
        <v>0.1474</v>
      </c>
      <c r="BB84" s="198">
        <v>8.6E-3</v>
      </c>
      <c r="BC84" s="198"/>
      <c r="BD84" s="198"/>
      <c r="BE84" s="198"/>
      <c r="BF84" s="198"/>
      <c r="BG84" s="198"/>
      <c r="BH84" s="199"/>
      <c r="BI84" s="65"/>
      <c r="BJ84" s="65"/>
      <c r="BK84" s="65"/>
      <c r="BL84" s="65"/>
      <c r="BM84" s="65"/>
      <c r="BN84" s="65"/>
      <c r="BO84" s="65"/>
      <c r="BP84" s="65"/>
      <c r="BQ84" s="65"/>
      <c r="BR84" s="197"/>
      <c r="BS84" s="65"/>
      <c r="BT84" s="198"/>
      <c r="BU84" s="198"/>
      <c r="BV84" s="198"/>
      <c r="BW84" s="198"/>
      <c r="BX84" s="198"/>
      <c r="BY84" s="198"/>
      <c r="BZ84" s="198"/>
      <c r="CA84" s="198"/>
      <c r="CB84" s="198"/>
      <c r="CC84" s="198"/>
      <c r="CD84" s="198"/>
      <c r="CE84" s="198"/>
      <c r="CF84" s="198"/>
      <c r="CG84" s="198"/>
      <c r="CH84" s="198"/>
      <c r="CI84" s="199"/>
      <c r="CJ84" s="65"/>
      <c r="CK84" s="65"/>
      <c r="CL84" s="65"/>
      <c r="CM84" s="65"/>
      <c r="CN84" s="65"/>
      <c r="CO84" s="65"/>
      <c r="CP84" s="65"/>
      <c r="CQ84" s="65"/>
      <c r="CR84" s="65"/>
      <c r="CS84" s="197"/>
      <c r="CT84" s="65"/>
      <c r="CU84" s="198"/>
      <c r="CV84" s="198"/>
      <c r="CW84" s="198"/>
      <c r="CX84" s="198"/>
      <c r="CY84" s="198"/>
      <c r="CZ84" s="198"/>
      <c r="DA84" s="198"/>
      <c r="DB84" s="198"/>
      <c r="DC84" s="198"/>
      <c r="DD84" s="198"/>
      <c r="DE84" s="198"/>
      <c r="DF84" s="198"/>
      <c r="DG84" s="198"/>
      <c r="DH84" s="198"/>
      <c r="DI84" s="198"/>
      <c r="DJ84" s="199"/>
    </row>
    <row r="85" spans="1:114" ht="15.75" customHeight="1" x14ac:dyDescent="0.15">
      <c r="A85" s="196"/>
      <c r="B85" s="196"/>
      <c r="C85" s="196"/>
      <c r="D85" s="196"/>
      <c r="E85" s="196"/>
      <c r="F85" s="196"/>
      <c r="G85" s="65" t="s">
        <v>1528</v>
      </c>
      <c r="H85" s="65" t="s">
        <v>1529</v>
      </c>
      <c r="I85" s="65" t="s">
        <v>1244</v>
      </c>
      <c r="J85" s="65" t="s">
        <v>1245</v>
      </c>
      <c r="K85" s="65">
        <v>1073286211</v>
      </c>
      <c r="L85" s="65" t="s">
        <v>1529</v>
      </c>
      <c r="M85" s="65">
        <v>295913422</v>
      </c>
      <c r="N85" s="65" t="s">
        <v>1393</v>
      </c>
      <c r="O85" s="65" t="s">
        <v>1216</v>
      </c>
      <c r="P85" s="197">
        <v>44013</v>
      </c>
      <c r="Q85" s="65">
        <v>2543.3492999999999</v>
      </c>
      <c r="R85" s="198">
        <v>4.0000000000000001E-3</v>
      </c>
      <c r="S85" s="198">
        <v>1.8499999999999999E-2</v>
      </c>
      <c r="T85" s="198">
        <v>4.4299999999999999E-2</v>
      </c>
      <c r="U85" s="198">
        <v>4.9599999999999998E-2</v>
      </c>
      <c r="V85" s="198">
        <v>0.1232</v>
      </c>
      <c r="W85" s="198">
        <v>0.20760000000000001</v>
      </c>
      <c r="X85" s="198">
        <v>0.26279999999999998</v>
      </c>
      <c r="Y85" s="198">
        <v>0.1226</v>
      </c>
      <c r="Z85" s="198">
        <v>0.1615</v>
      </c>
      <c r="AA85" s="198">
        <v>5.7999999999999996E-3</v>
      </c>
      <c r="AB85" s="198"/>
      <c r="AC85" s="198"/>
      <c r="AD85" s="198"/>
      <c r="AE85" s="198"/>
      <c r="AF85" s="198"/>
      <c r="AG85" s="199"/>
      <c r="AH85" s="65" t="s">
        <v>1272</v>
      </c>
      <c r="AI85" s="65" t="s">
        <v>1273</v>
      </c>
      <c r="AJ85" s="65" t="s">
        <v>1274</v>
      </c>
      <c r="AK85" s="65" t="s">
        <v>1275</v>
      </c>
      <c r="AL85" s="65">
        <v>1265838130</v>
      </c>
      <c r="AM85" s="65" t="s">
        <v>1273</v>
      </c>
      <c r="AN85" s="65">
        <v>1181305700</v>
      </c>
      <c r="AO85" s="201" t="s">
        <v>1276</v>
      </c>
      <c r="AP85" s="65" t="s">
        <v>1216</v>
      </c>
      <c r="AQ85" s="197">
        <v>44013</v>
      </c>
      <c r="AR85" s="65">
        <v>1175.2902999999999</v>
      </c>
      <c r="AS85" s="198">
        <v>7.6E-3</v>
      </c>
      <c r="AT85" s="198">
        <v>3.1899999999999998E-2</v>
      </c>
      <c r="AU85" s="198">
        <v>7.0099999999999996E-2</v>
      </c>
      <c r="AV85" s="198">
        <v>7.2900000000000006E-2</v>
      </c>
      <c r="AW85" s="198">
        <v>0.16350000000000001</v>
      </c>
      <c r="AX85" s="198">
        <v>0.2382</v>
      </c>
      <c r="AY85" s="198">
        <v>0.25950000000000001</v>
      </c>
      <c r="AZ85" s="198">
        <v>8.7499999999999994E-2</v>
      </c>
      <c r="BA85" s="198">
        <v>6.8199999999999997E-2</v>
      </c>
      <c r="BB85" s="198">
        <v>5.9999999999999995E-4</v>
      </c>
      <c r="BC85" s="198"/>
      <c r="BD85" s="198"/>
      <c r="BE85" s="198"/>
      <c r="BF85" s="198"/>
      <c r="BG85" s="198"/>
      <c r="BH85" s="199"/>
      <c r="BI85" s="65"/>
      <c r="BJ85" s="65"/>
      <c r="BK85" s="65"/>
      <c r="BL85" s="65"/>
      <c r="BM85" s="65"/>
      <c r="BN85" s="65"/>
      <c r="BO85" s="65"/>
      <c r="BP85" s="65"/>
      <c r="BQ85" s="65"/>
      <c r="BR85" s="197"/>
      <c r="BS85" s="65"/>
      <c r="BT85" s="198"/>
      <c r="BU85" s="198"/>
      <c r="BV85" s="198"/>
      <c r="BW85" s="198"/>
      <c r="BX85" s="198"/>
      <c r="BY85" s="198"/>
      <c r="BZ85" s="198"/>
      <c r="CA85" s="198"/>
      <c r="CB85" s="198"/>
      <c r="CC85" s="198"/>
      <c r="CD85" s="198"/>
      <c r="CE85" s="198"/>
      <c r="CF85" s="198"/>
      <c r="CG85" s="198"/>
      <c r="CH85" s="198"/>
      <c r="CI85" s="199"/>
      <c r="CJ85" s="65"/>
      <c r="CK85" s="65"/>
      <c r="CL85" s="65"/>
      <c r="CM85" s="65"/>
      <c r="CN85" s="65"/>
      <c r="CO85" s="65"/>
      <c r="CP85" s="65"/>
      <c r="CQ85" s="65"/>
      <c r="CR85" s="65"/>
      <c r="CS85" s="197"/>
      <c r="CT85" s="65"/>
      <c r="CU85" s="198"/>
      <c r="CV85" s="198"/>
      <c r="CW85" s="198"/>
      <c r="CX85" s="198"/>
      <c r="CY85" s="198"/>
      <c r="CZ85" s="198"/>
      <c r="DA85" s="198"/>
      <c r="DB85" s="198"/>
      <c r="DC85" s="198"/>
      <c r="DD85" s="198"/>
      <c r="DE85" s="198"/>
      <c r="DF85" s="198"/>
      <c r="DG85" s="198"/>
      <c r="DH85" s="198"/>
      <c r="DI85" s="198"/>
      <c r="DJ85" s="199"/>
    </row>
    <row r="86" spans="1:114" ht="15.75" customHeight="1" x14ac:dyDescent="0.15">
      <c r="A86" s="196"/>
      <c r="B86" s="196"/>
      <c r="C86" s="196"/>
      <c r="D86" s="196"/>
      <c r="E86" s="196"/>
      <c r="F86" s="196"/>
      <c r="G86" s="65" t="s">
        <v>1533</v>
      </c>
      <c r="H86" s="65" t="s">
        <v>1534</v>
      </c>
      <c r="I86" s="65" t="s">
        <v>1244</v>
      </c>
      <c r="J86" s="65" t="s">
        <v>1245</v>
      </c>
      <c r="K86" s="65">
        <v>1176027022</v>
      </c>
      <c r="L86" s="65" t="s">
        <v>1534</v>
      </c>
      <c r="M86" s="65">
        <v>476160947</v>
      </c>
      <c r="N86" s="65" t="s">
        <v>1518</v>
      </c>
      <c r="O86" s="65" t="s">
        <v>1216</v>
      </c>
      <c r="P86" s="197">
        <v>44013</v>
      </c>
      <c r="Q86" s="65">
        <v>2150.5248999999999</v>
      </c>
      <c r="R86" s="198">
        <v>5.8999999999999999E-3</v>
      </c>
      <c r="S86" s="198">
        <v>2.8400000000000002E-2</v>
      </c>
      <c r="T86" s="198">
        <v>6.6600000000000006E-2</v>
      </c>
      <c r="U86" s="198">
        <v>7.0099999999999996E-2</v>
      </c>
      <c r="V86" s="198">
        <v>0.15529999999999999</v>
      </c>
      <c r="W86" s="198">
        <v>0.2167</v>
      </c>
      <c r="X86" s="198">
        <v>0.2155</v>
      </c>
      <c r="Y86" s="198">
        <v>9.8799999999999999E-2</v>
      </c>
      <c r="Z86" s="198">
        <v>0.13830000000000001</v>
      </c>
      <c r="AA86" s="198">
        <v>4.4000000000000003E-3</v>
      </c>
      <c r="AB86" s="198"/>
      <c r="AC86" s="198"/>
      <c r="AD86" s="198"/>
      <c r="AE86" s="198"/>
      <c r="AF86" s="198"/>
      <c r="AG86" s="199"/>
      <c r="AH86" s="65" t="s">
        <v>1289</v>
      </c>
      <c r="AI86" s="65" t="s">
        <v>1290</v>
      </c>
      <c r="AJ86" s="65" t="s">
        <v>1291</v>
      </c>
      <c r="AK86" s="65" t="s">
        <v>1292</v>
      </c>
      <c r="AL86" s="65">
        <v>547305617</v>
      </c>
      <c r="AM86" s="65" t="s">
        <v>1293</v>
      </c>
      <c r="AN86" s="65">
        <v>290671617</v>
      </c>
      <c r="AO86" s="65" t="s">
        <v>1294</v>
      </c>
      <c r="AP86" s="65" t="s">
        <v>1216</v>
      </c>
      <c r="AQ86" s="197">
        <v>44013</v>
      </c>
      <c r="AR86" s="65">
        <v>1784.809</v>
      </c>
      <c r="AS86" s="198">
        <v>6.0000000000000001E-3</v>
      </c>
      <c r="AT86" s="198">
        <v>2.6700000000000002E-2</v>
      </c>
      <c r="AU86" s="198">
        <v>6.1100000000000002E-2</v>
      </c>
      <c r="AV86" s="198">
        <v>6.5000000000000002E-2</v>
      </c>
      <c r="AW86" s="198">
        <v>0.14940000000000001</v>
      </c>
      <c r="AX86" s="198">
        <v>0.22359999999999999</v>
      </c>
      <c r="AY86" s="198">
        <v>0.24779999999999999</v>
      </c>
      <c r="AZ86" s="198">
        <v>0.1023</v>
      </c>
      <c r="BA86" s="198">
        <v>0.11559999999999999</v>
      </c>
      <c r="BB86" s="198">
        <v>2.3999999999999998E-3</v>
      </c>
      <c r="BC86" s="198"/>
      <c r="BD86" s="198"/>
      <c r="BE86" s="198"/>
      <c r="BF86" s="198"/>
      <c r="BG86" s="198"/>
      <c r="BH86" s="199"/>
      <c r="BI86" s="51"/>
      <c r="BJ86" s="51"/>
      <c r="BK86" s="51"/>
      <c r="BL86" s="51"/>
      <c r="BM86" s="51"/>
      <c r="BN86" s="51"/>
      <c r="BO86" s="51"/>
      <c r="BP86" s="51"/>
      <c r="BQ86" s="51"/>
      <c r="BR86" s="188"/>
      <c r="BS86" s="204"/>
      <c r="BT86" s="51"/>
      <c r="BU86" s="51"/>
      <c r="BV86" s="51"/>
      <c r="BW86" s="51"/>
      <c r="BX86" s="51"/>
      <c r="BY86" s="51"/>
      <c r="BZ86" s="51"/>
      <c r="CA86" s="51"/>
      <c r="CB86" s="51"/>
      <c r="CC86" s="51"/>
      <c r="CD86" s="51"/>
      <c r="CE86" s="51"/>
      <c r="CF86" s="51"/>
      <c r="CG86" s="51"/>
      <c r="CH86" s="51"/>
      <c r="CI86" s="199"/>
      <c r="CJ86" s="65"/>
      <c r="CK86" s="65"/>
      <c r="CL86" s="65"/>
      <c r="CM86" s="65"/>
      <c r="CN86" s="65"/>
      <c r="CO86" s="65"/>
      <c r="CP86" s="65"/>
      <c r="CQ86" s="65"/>
      <c r="CR86" s="65"/>
      <c r="CS86" s="197"/>
      <c r="CT86" s="65"/>
      <c r="CU86" s="198"/>
      <c r="CV86" s="198"/>
      <c r="CW86" s="198"/>
      <c r="CX86" s="198"/>
      <c r="CY86" s="198"/>
      <c r="CZ86" s="198"/>
      <c r="DA86" s="198"/>
      <c r="DB86" s="198"/>
      <c r="DC86" s="198"/>
      <c r="DD86" s="198"/>
      <c r="DE86" s="198"/>
      <c r="DF86" s="198"/>
      <c r="DG86" s="198"/>
      <c r="DH86" s="198"/>
      <c r="DI86" s="198"/>
      <c r="DJ86" s="199"/>
    </row>
    <row r="87" spans="1:114" ht="15.75" customHeight="1" x14ac:dyDescent="0.15">
      <c r="A87" s="12"/>
      <c r="B87" s="12"/>
      <c r="C87" s="12"/>
      <c r="D87" s="12"/>
      <c r="E87" s="12"/>
      <c r="F87" s="12"/>
      <c r="G87" s="51"/>
      <c r="H87" s="51"/>
      <c r="I87" s="51"/>
      <c r="J87" s="51"/>
      <c r="K87" s="51"/>
      <c r="L87" s="51"/>
      <c r="M87" s="51"/>
      <c r="N87" s="51"/>
      <c r="O87" s="51"/>
      <c r="P87" s="188" t="s">
        <v>1594</v>
      </c>
      <c r="Q87" s="204">
        <f>AVERAGE(Q62:Q86)</f>
        <v>2480.8118479999994</v>
      </c>
      <c r="R87" s="51"/>
      <c r="S87" s="51"/>
      <c r="T87" s="51"/>
      <c r="U87" s="51"/>
      <c r="V87" s="51"/>
      <c r="W87" s="51"/>
      <c r="X87" s="51"/>
      <c r="Y87" s="51"/>
      <c r="Z87" s="51"/>
      <c r="AA87" s="51"/>
      <c r="AB87" s="51"/>
      <c r="AC87" s="51"/>
      <c r="AD87" s="51"/>
      <c r="AE87" s="51"/>
      <c r="AF87" s="51"/>
      <c r="AG87" s="12"/>
      <c r="AH87" s="43" t="s">
        <v>1304</v>
      </c>
      <c r="AI87" s="43" t="s">
        <v>1305</v>
      </c>
      <c r="AJ87" s="43" t="s">
        <v>1235</v>
      </c>
      <c r="AK87" s="43" t="s">
        <v>1236</v>
      </c>
      <c r="AL87" s="43">
        <v>603097018</v>
      </c>
      <c r="AM87" s="43" t="s">
        <v>1306</v>
      </c>
      <c r="AN87" s="43">
        <v>447553567</v>
      </c>
      <c r="AO87" s="43" t="s">
        <v>1236</v>
      </c>
      <c r="AP87" s="43" t="s">
        <v>1216</v>
      </c>
      <c r="AQ87" s="43">
        <v>44013</v>
      </c>
      <c r="AR87" s="203">
        <v>1477.6907000000001</v>
      </c>
      <c r="AS87" s="43">
        <v>8.5000000000000006E-3</v>
      </c>
      <c r="AT87" s="43">
        <v>3.7400000000000003E-2</v>
      </c>
      <c r="AU87" s="43">
        <v>8.2000000000000003E-2</v>
      </c>
      <c r="AV87" s="43">
        <v>8.2299999999999998E-2</v>
      </c>
      <c r="AW87" s="43">
        <v>0.17330000000000001</v>
      </c>
      <c r="AX87" s="43">
        <v>0.2263</v>
      </c>
      <c r="AY87" s="43">
        <v>0.2142</v>
      </c>
      <c r="AZ87" s="43">
        <v>8.2299999999999998E-2</v>
      </c>
      <c r="BA87" s="43">
        <v>9.1499999999999998E-2</v>
      </c>
      <c r="BB87" s="43">
        <v>2.0999999999999999E-3</v>
      </c>
      <c r="BC87" s="51"/>
      <c r="BD87" s="51"/>
      <c r="BE87" s="51"/>
      <c r="BF87" s="51"/>
      <c r="BG87" s="51"/>
      <c r="BH87" s="12"/>
      <c r="BI87" s="51"/>
      <c r="BJ87" s="51"/>
      <c r="BK87" s="51"/>
      <c r="BL87" s="51"/>
      <c r="BM87" s="51"/>
      <c r="BN87" s="51"/>
      <c r="BO87" s="51"/>
      <c r="BP87" s="51"/>
      <c r="BQ87" s="51"/>
      <c r="BR87" s="188"/>
      <c r="BS87" s="204"/>
      <c r="BT87" s="51"/>
      <c r="BU87" s="51"/>
      <c r="BV87" s="51"/>
      <c r="BW87" s="51"/>
      <c r="BX87" s="51"/>
      <c r="BY87" s="51"/>
      <c r="BZ87" s="51"/>
      <c r="CA87" s="51"/>
      <c r="CB87" s="51"/>
      <c r="CC87" s="51"/>
      <c r="CD87" s="51"/>
      <c r="CE87" s="51"/>
      <c r="CF87" s="51"/>
      <c r="CG87" s="51"/>
      <c r="CH87" s="51"/>
      <c r="CI87" s="12"/>
      <c r="CJ87" s="43"/>
      <c r="CK87" s="43"/>
      <c r="CL87" s="43"/>
      <c r="CM87" s="43"/>
      <c r="CN87" s="43"/>
      <c r="CO87" s="43"/>
      <c r="CP87" s="43"/>
      <c r="CQ87" s="43"/>
      <c r="CR87" s="43"/>
      <c r="CS87" s="43"/>
      <c r="CT87" s="203"/>
      <c r="CU87" s="43"/>
      <c r="CV87" s="43"/>
      <c r="CW87" s="43"/>
      <c r="CX87" s="43"/>
      <c r="CY87" s="43"/>
      <c r="CZ87" s="43"/>
      <c r="DA87" s="43"/>
      <c r="DB87" s="43"/>
      <c r="DC87" s="43"/>
      <c r="DD87" s="43"/>
      <c r="DE87" s="43"/>
      <c r="DF87" s="51"/>
      <c r="DG87" s="51"/>
      <c r="DH87" s="51"/>
      <c r="DI87" s="51"/>
      <c r="DJ87" s="12"/>
    </row>
    <row r="88" spans="1:114" ht="15.75" customHeight="1" x14ac:dyDescent="0.15">
      <c r="A88" s="12"/>
      <c r="B88" s="12"/>
      <c r="C88" s="12"/>
      <c r="D88" s="12"/>
      <c r="E88" s="12"/>
      <c r="F88" s="12"/>
      <c r="G88" s="51"/>
      <c r="H88" s="51"/>
      <c r="I88" s="51"/>
      <c r="J88" s="51"/>
      <c r="K88" s="51"/>
      <c r="L88" s="51"/>
      <c r="M88" s="51"/>
      <c r="N88" s="51"/>
      <c r="O88" s="51"/>
      <c r="P88" s="188" t="s">
        <v>1595</v>
      </c>
      <c r="Q88" s="204">
        <f>Q87/60</f>
        <v>41.34686413333332</v>
      </c>
      <c r="R88" s="51"/>
      <c r="S88" s="51"/>
      <c r="T88" s="51"/>
      <c r="U88" s="51"/>
      <c r="V88" s="51"/>
      <c r="W88" s="51"/>
      <c r="X88" s="51"/>
      <c r="Y88" s="51"/>
      <c r="Z88" s="51"/>
      <c r="AA88" s="51"/>
      <c r="AB88" s="51"/>
      <c r="AC88" s="51"/>
      <c r="AD88" s="51"/>
      <c r="AE88" s="51"/>
      <c r="AF88" s="51"/>
      <c r="AG88" s="12"/>
      <c r="AH88" s="43" t="s">
        <v>1319</v>
      </c>
      <c r="AI88" s="43" t="s">
        <v>1320</v>
      </c>
      <c r="AJ88" s="43" t="s">
        <v>1321</v>
      </c>
      <c r="AK88" s="43" t="s">
        <v>1322</v>
      </c>
      <c r="AL88" s="43">
        <v>915469477</v>
      </c>
      <c r="AM88" s="43" t="s">
        <v>1323</v>
      </c>
      <c r="AN88" s="43">
        <v>354731085</v>
      </c>
      <c r="AO88" s="43" t="s">
        <v>1324</v>
      </c>
      <c r="AP88" s="43" t="s">
        <v>1216</v>
      </c>
      <c r="AQ88" s="43">
        <v>44013</v>
      </c>
      <c r="AR88" s="203">
        <v>1580.9036000000001</v>
      </c>
      <c r="AS88" s="43">
        <v>8.0999999999999996E-3</v>
      </c>
      <c r="AT88" s="43">
        <v>3.7600000000000001E-2</v>
      </c>
      <c r="AU88" s="43">
        <v>8.4099999999999994E-2</v>
      </c>
      <c r="AV88" s="43">
        <v>8.4400000000000003E-2</v>
      </c>
      <c r="AW88" s="43">
        <v>0.17530000000000001</v>
      </c>
      <c r="AX88" s="43">
        <v>0.22220000000000001</v>
      </c>
      <c r="AY88" s="43">
        <v>0.19889999999999999</v>
      </c>
      <c r="AZ88" s="43">
        <v>8.3400000000000002E-2</v>
      </c>
      <c r="BA88" s="43">
        <v>0.10390000000000001</v>
      </c>
      <c r="BB88" s="43">
        <v>2.0999999999999999E-3</v>
      </c>
      <c r="BC88" s="51"/>
      <c r="BD88" s="51"/>
      <c r="BE88" s="51"/>
      <c r="BF88" s="51"/>
      <c r="BG88" s="51"/>
      <c r="BH88" s="12"/>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12"/>
      <c r="CJ88" s="43"/>
      <c r="CK88" s="43"/>
      <c r="CL88" s="43"/>
      <c r="CM88" s="43"/>
      <c r="CN88" s="43"/>
      <c r="CO88" s="43"/>
      <c r="CP88" s="43"/>
      <c r="CQ88" s="43"/>
      <c r="CR88" s="43"/>
      <c r="CS88" s="43"/>
      <c r="CT88" s="203"/>
      <c r="CU88" s="43"/>
      <c r="CV88" s="43"/>
      <c r="CW88" s="43"/>
      <c r="CX88" s="43"/>
      <c r="CY88" s="43"/>
      <c r="CZ88" s="43"/>
      <c r="DA88" s="43"/>
      <c r="DB88" s="43"/>
      <c r="DC88" s="43"/>
      <c r="DD88" s="43"/>
      <c r="DE88" s="43"/>
      <c r="DF88" s="51"/>
      <c r="DG88" s="51"/>
      <c r="DH88" s="51"/>
      <c r="DI88" s="51"/>
      <c r="DJ88" s="12"/>
    </row>
    <row r="89" spans="1:114" ht="15.75" customHeight="1" x14ac:dyDescent="0.15">
      <c r="A89" s="12"/>
      <c r="B89" s="12"/>
      <c r="C89" s="12"/>
      <c r="D89" s="12"/>
      <c r="E89" s="12"/>
      <c r="F89" s="12"/>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12"/>
      <c r="AH89" s="43" t="s">
        <v>1339</v>
      </c>
      <c r="AI89" s="43" t="s">
        <v>1340</v>
      </c>
      <c r="AJ89" s="43" t="s">
        <v>1341</v>
      </c>
      <c r="AK89" s="43" t="s">
        <v>1342</v>
      </c>
      <c r="AL89" s="43">
        <v>1404165333</v>
      </c>
      <c r="AM89" s="43" t="s">
        <v>1343</v>
      </c>
      <c r="AN89" s="43">
        <v>1241617493</v>
      </c>
      <c r="AO89" s="43" t="s">
        <v>1342</v>
      </c>
      <c r="AP89" s="43" t="s">
        <v>1216</v>
      </c>
      <c r="AQ89" s="43">
        <v>44013</v>
      </c>
      <c r="AR89" s="43">
        <v>3098.1201000000001</v>
      </c>
      <c r="AS89" s="43">
        <v>3.8999999999999998E-3</v>
      </c>
      <c r="AT89" s="43">
        <v>1.77E-2</v>
      </c>
      <c r="AU89" s="43">
        <v>4.24E-2</v>
      </c>
      <c r="AV89" s="43">
        <v>4.7600000000000003E-2</v>
      </c>
      <c r="AW89" s="43">
        <v>0.11890000000000001</v>
      </c>
      <c r="AX89" s="43">
        <v>0.2024</v>
      </c>
      <c r="AY89" s="43">
        <v>0.25969999999999999</v>
      </c>
      <c r="AZ89" s="43">
        <v>0.12239999999999999</v>
      </c>
      <c r="BA89" s="43">
        <v>0.17480000000000001</v>
      </c>
      <c r="BB89" s="43">
        <v>1.03E-2</v>
      </c>
      <c r="BC89" s="51"/>
      <c r="BD89" s="51"/>
      <c r="BE89" s="51"/>
      <c r="BF89" s="51"/>
      <c r="BG89" s="51"/>
      <c r="BH89" s="12"/>
      <c r="BI89" s="206"/>
      <c r="BJ89" s="206"/>
      <c r="BK89" s="206"/>
      <c r="BL89" s="206"/>
      <c r="BM89" s="206"/>
      <c r="BN89" s="206"/>
      <c r="BO89" s="206"/>
      <c r="BP89" s="206"/>
      <c r="BQ89" s="206"/>
      <c r="BR89" s="206"/>
      <c r="BS89" s="206"/>
      <c r="BT89" s="206"/>
      <c r="BU89" s="206"/>
      <c r="BV89" s="206"/>
      <c r="BW89" s="206"/>
      <c r="BX89" s="206"/>
      <c r="BY89" s="206"/>
      <c r="BZ89" s="206"/>
      <c r="CA89" s="206"/>
      <c r="CB89" s="206"/>
      <c r="CC89" s="206"/>
      <c r="CD89" s="206"/>
      <c r="CE89" s="206"/>
      <c r="CF89" s="206"/>
      <c r="CG89" s="206"/>
      <c r="CI89" s="12"/>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12"/>
    </row>
    <row r="90" spans="1:114" ht="15.75" customHeight="1" x14ac:dyDescent="0.15">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H90" s="207" t="s">
        <v>1353</v>
      </c>
      <c r="AI90" s="207" t="s">
        <v>1354</v>
      </c>
      <c r="AJ90" s="207" t="s">
        <v>1355</v>
      </c>
      <c r="AK90" s="207" t="s">
        <v>1356</v>
      </c>
      <c r="AL90" s="207">
        <v>485126024</v>
      </c>
      <c r="AM90" s="207" t="s">
        <v>1354</v>
      </c>
      <c r="AN90" s="207">
        <v>485126027</v>
      </c>
      <c r="AO90" s="207" t="s">
        <v>1357</v>
      </c>
      <c r="AP90" s="207" t="s">
        <v>1216</v>
      </c>
      <c r="AQ90" s="207">
        <v>44013</v>
      </c>
      <c r="AR90" s="207">
        <v>1811.0721000000001</v>
      </c>
      <c r="AS90" s="207">
        <v>7.0000000000000001E-3</v>
      </c>
      <c r="AT90" s="207">
        <v>2.98E-2</v>
      </c>
      <c r="AU90" s="207">
        <v>6.6000000000000003E-2</v>
      </c>
      <c r="AV90" s="207">
        <v>6.8900000000000003E-2</v>
      </c>
      <c r="AW90" s="207">
        <v>0.15559999999999999</v>
      </c>
      <c r="AX90" s="207">
        <v>0.22839999999999999</v>
      </c>
      <c r="AY90" s="207">
        <v>0.2515</v>
      </c>
      <c r="AZ90" s="207">
        <v>9.0999999999999998E-2</v>
      </c>
      <c r="BA90" s="207">
        <v>9.7500000000000003E-2</v>
      </c>
      <c r="BB90" s="207">
        <v>4.4000000000000003E-3</v>
      </c>
      <c r="BC90" s="206"/>
      <c r="BD90" s="206"/>
      <c r="BE90" s="206"/>
      <c r="BF90" s="206"/>
      <c r="BH90" s="198"/>
      <c r="CI90" s="198"/>
      <c r="CJ90" s="206"/>
      <c r="CK90" s="206"/>
      <c r="CL90" s="206"/>
      <c r="CM90" s="206"/>
      <c r="CN90" s="206"/>
      <c r="CO90" s="206"/>
      <c r="CP90" s="206"/>
      <c r="CQ90" s="206"/>
      <c r="CR90" s="206"/>
      <c r="CS90" s="206"/>
      <c r="CT90" s="206"/>
      <c r="CU90" s="206"/>
      <c r="CV90" s="206"/>
      <c r="CW90" s="206"/>
      <c r="CX90" s="206"/>
      <c r="CY90" s="206"/>
      <c r="CZ90" s="206"/>
      <c r="DA90" s="206"/>
      <c r="DB90" s="206"/>
      <c r="DC90" s="206"/>
      <c r="DD90" s="206"/>
      <c r="DE90" s="206"/>
      <c r="DF90" s="206"/>
      <c r="DG90" s="206"/>
      <c r="DH90" s="206"/>
      <c r="DJ90" s="198"/>
    </row>
    <row r="91" spans="1:114" ht="15.75" customHeight="1" x14ac:dyDescent="0.15">
      <c r="A91" s="187"/>
      <c r="B91" s="187"/>
      <c r="C91" s="187"/>
      <c r="D91" s="187"/>
      <c r="E91" s="187"/>
      <c r="F91" s="187"/>
      <c r="AH91" s="43" t="s">
        <v>1371</v>
      </c>
      <c r="AI91" s="43" t="s">
        <v>1372</v>
      </c>
      <c r="AJ91" s="43" t="s">
        <v>1355</v>
      </c>
      <c r="AK91" s="43" t="s">
        <v>1356</v>
      </c>
      <c r="AL91" s="43">
        <v>642727743</v>
      </c>
      <c r="AM91" s="43" t="s">
        <v>1372</v>
      </c>
      <c r="AN91" s="43">
        <v>642727746</v>
      </c>
      <c r="AO91" s="43" t="s">
        <v>1373</v>
      </c>
      <c r="AP91" s="43" t="s">
        <v>1216</v>
      </c>
      <c r="AQ91" s="43">
        <v>44013</v>
      </c>
      <c r="AR91" s="203">
        <v>2761.7703999999999</v>
      </c>
      <c r="AS91" s="43">
        <v>4.7000000000000002E-3</v>
      </c>
      <c r="AT91" s="43">
        <v>2.1299999999999999E-2</v>
      </c>
      <c r="AU91" s="43">
        <v>4.99E-2</v>
      </c>
      <c r="AV91" s="43">
        <v>5.4600000000000003E-2</v>
      </c>
      <c r="AW91" s="43">
        <v>0.1313</v>
      </c>
      <c r="AX91" s="43">
        <v>0.2104</v>
      </c>
      <c r="AY91" s="43">
        <v>0.25230000000000002</v>
      </c>
      <c r="AZ91" s="43">
        <v>0.11310000000000001</v>
      </c>
      <c r="BA91" s="43">
        <v>0.1537</v>
      </c>
      <c r="BB91" s="43">
        <v>8.6999999999999994E-3</v>
      </c>
      <c r="BH91" s="12"/>
      <c r="CI91" s="12"/>
      <c r="DJ91" s="12"/>
    </row>
    <row r="92" spans="1:114" ht="15.75" customHeight="1" x14ac:dyDescent="0.15">
      <c r="A92" s="51"/>
      <c r="B92" s="51"/>
      <c r="C92" s="51"/>
      <c r="D92" s="51"/>
      <c r="E92" s="51"/>
      <c r="F92" s="51"/>
      <c r="AG92" s="193"/>
      <c r="AH92" s="43" t="s">
        <v>1384</v>
      </c>
      <c r="AI92" s="43" t="s">
        <v>1385</v>
      </c>
      <c r="AJ92" s="43" t="s">
        <v>1258</v>
      </c>
      <c r="AK92" s="43" t="s">
        <v>1259</v>
      </c>
      <c r="AL92" s="43">
        <v>1123582513</v>
      </c>
      <c r="AM92" s="43" t="s">
        <v>1385</v>
      </c>
      <c r="AN92" s="43">
        <v>525894639</v>
      </c>
      <c r="AO92" s="43" t="s">
        <v>1386</v>
      </c>
      <c r="AP92" s="43" t="s">
        <v>1216</v>
      </c>
      <c r="AQ92" s="43">
        <v>44013</v>
      </c>
      <c r="AR92" s="203">
        <v>2339.1817999999998</v>
      </c>
      <c r="AS92" s="43">
        <v>6.8999999999999999E-3</v>
      </c>
      <c r="AT92" s="43">
        <v>3.2399999999999998E-2</v>
      </c>
      <c r="AU92" s="43">
        <v>7.4200000000000002E-2</v>
      </c>
      <c r="AV92" s="43">
        <v>7.6200000000000004E-2</v>
      </c>
      <c r="AW92" s="43">
        <v>0.16320000000000001</v>
      </c>
      <c r="AX92" s="43">
        <v>0.21659999999999999</v>
      </c>
      <c r="AY92" s="43">
        <v>0.20399999999999999</v>
      </c>
      <c r="AZ92" s="43">
        <v>9.0999999999999998E-2</v>
      </c>
      <c r="BA92" s="43">
        <v>0.1283</v>
      </c>
      <c r="BB92" s="43">
        <v>7.1000000000000004E-3</v>
      </c>
      <c r="BH92" s="193"/>
      <c r="CI92" s="193"/>
      <c r="DJ92" s="193"/>
    </row>
    <row r="93" spans="1:114" ht="15.75" customHeight="1" x14ac:dyDescent="0.15">
      <c r="A93" s="191"/>
      <c r="B93" s="191"/>
      <c r="C93" s="191"/>
      <c r="D93" s="191"/>
      <c r="E93" s="191"/>
      <c r="F93" s="191"/>
      <c r="AG93" s="193"/>
      <c r="AH93" s="43" t="s">
        <v>1395</v>
      </c>
      <c r="AI93" s="43" t="s">
        <v>1396</v>
      </c>
      <c r="AJ93" s="43" t="s">
        <v>1244</v>
      </c>
      <c r="AK93" s="43" t="s">
        <v>1245</v>
      </c>
      <c r="AL93" s="43">
        <v>1369317521</v>
      </c>
      <c r="AM93" s="43" t="s">
        <v>1396</v>
      </c>
      <c r="AN93" s="43">
        <v>295913422</v>
      </c>
      <c r="AO93" s="43" t="s">
        <v>1393</v>
      </c>
      <c r="AP93" s="43" t="s">
        <v>1216</v>
      </c>
      <c r="AQ93" s="43">
        <v>44013</v>
      </c>
      <c r="AR93" s="203">
        <v>1370.5724</v>
      </c>
      <c r="AS93" s="43">
        <v>7.4999999999999997E-3</v>
      </c>
      <c r="AT93" s="43">
        <v>4.0899999999999999E-2</v>
      </c>
      <c r="AU93" s="43">
        <v>9.3700000000000006E-2</v>
      </c>
      <c r="AV93" s="43">
        <v>9.3299999999999994E-2</v>
      </c>
      <c r="AW93" s="43">
        <v>0.188</v>
      </c>
      <c r="AX93" s="43">
        <v>0.2238</v>
      </c>
      <c r="AY93" s="43">
        <v>0.18190000000000001</v>
      </c>
      <c r="AZ93" s="43">
        <v>7.6399999999999996E-2</v>
      </c>
      <c r="BA93" s="43">
        <v>9.3600000000000003E-2</v>
      </c>
      <c r="BB93" s="43">
        <v>1E-3</v>
      </c>
      <c r="BH93" s="193"/>
      <c r="CI93" s="193"/>
      <c r="DJ93" s="193"/>
    </row>
    <row r="94" spans="1:114" ht="15.75" customHeight="1" x14ac:dyDescent="0.2">
      <c r="A94" s="196"/>
      <c r="B94" s="196"/>
      <c r="C94" s="196"/>
      <c r="D94" s="196"/>
      <c r="E94" s="196"/>
      <c r="F94" s="196"/>
      <c r="AG94" s="200"/>
      <c r="AH94" s="43" t="s">
        <v>1410</v>
      </c>
      <c r="AI94" s="43" t="s">
        <v>1411</v>
      </c>
      <c r="AJ94" s="43" t="s">
        <v>1244</v>
      </c>
      <c r="AK94" s="43" t="s">
        <v>1245</v>
      </c>
      <c r="AL94" s="43">
        <v>694876905</v>
      </c>
      <c r="AM94" s="43" t="s">
        <v>1411</v>
      </c>
      <c r="AN94" s="43">
        <v>295913422</v>
      </c>
      <c r="AO94" s="43" t="s">
        <v>1393</v>
      </c>
      <c r="AP94" s="43" t="s">
        <v>1216</v>
      </c>
      <c r="AQ94" s="43">
        <v>44013</v>
      </c>
      <c r="AR94" s="203">
        <v>1479.1165000000001</v>
      </c>
      <c r="AS94" s="43">
        <v>8.3999999999999995E-3</v>
      </c>
      <c r="AT94" s="43">
        <v>3.7999999999999999E-2</v>
      </c>
      <c r="AU94" s="43">
        <v>8.3799999999999999E-2</v>
      </c>
      <c r="AV94" s="43">
        <v>8.3799999999999999E-2</v>
      </c>
      <c r="AW94" s="43">
        <v>0.17499999999999999</v>
      </c>
      <c r="AX94" s="43">
        <v>0.2248</v>
      </c>
      <c r="AY94" s="43">
        <v>0.20710000000000001</v>
      </c>
      <c r="AZ94" s="43">
        <v>8.2299999999999998E-2</v>
      </c>
      <c r="BA94" s="43">
        <v>9.5000000000000001E-2</v>
      </c>
      <c r="BB94" s="43">
        <v>1.8E-3</v>
      </c>
      <c r="BH94" s="200"/>
      <c r="CI94" s="200"/>
      <c r="DJ94" s="200"/>
    </row>
    <row r="95" spans="1:114" ht="15.75" customHeight="1" x14ac:dyDescent="0.2">
      <c r="A95" s="196"/>
      <c r="B95" s="196"/>
      <c r="C95" s="196"/>
      <c r="D95" s="196"/>
      <c r="E95" s="196"/>
      <c r="F95" s="196"/>
      <c r="AG95" s="200"/>
      <c r="AH95" s="43" t="s">
        <v>1421</v>
      </c>
      <c r="AI95" s="43" t="s">
        <v>1422</v>
      </c>
      <c r="AJ95" s="43" t="s">
        <v>1258</v>
      </c>
      <c r="AK95" s="43" t="s">
        <v>1259</v>
      </c>
      <c r="AL95" s="43">
        <v>785537179</v>
      </c>
      <c r="AM95" s="43" t="s">
        <v>1422</v>
      </c>
      <c r="AN95" s="43">
        <v>525894639</v>
      </c>
      <c r="AO95" s="43" t="s">
        <v>1386</v>
      </c>
      <c r="AP95" s="43" t="s">
        <v>1216</v>
      </c>
      <c r="AQ95" s="43">
        <v>44013</v>
      </c>
      <c r="AR95" s="203">
        <v>963.80809999999997</v>
      </c>
      <c r="AS95" s="43">
        <v>9.5999999999999992E-3</v>
      </c>
      <c r="AT95" s="43">
        <v>5.1900000000000002E-2</v>
      </c>
      <c r="AU95" s="43">
        <v>0.11219999999999999</v>
      </c>
      <c r="AV95" s="43">
        <v>0.10580000000000001</v>
      </c>
      <c r="AW95" s="43">
        <v>0.20130000000000001</v>
      </c>
      <c r="AX95" s="43">
        <v>0.22389999999999999</v>
      </c>
      <c r="AY95" s="43">
        <v>0.17499999999999999</v>
      </c>
      <c r="AZ95" s="43">
        <v>6.0600000000000001E-2</v>
      </c>
      <c r="BA95" s="43">
        <v>5.91E-2</v>
      </c>
      <c r="BB95" s="43">
        <v>5.0000000000000001E-4</v>
      </c>
      <c r="BH95" s="200"/>
      <c r="CI95" s="200"/>
      <c r="DJ95" s="200"/>
    </row>
    <row r="96" spans="1:114" ht="15.75" customHeight="1" x14ac:dyDescent="0.2">
      <c r="A96" s="196"/>
      <c r="B96" s="196"/>
      <c r="C96" s="196"/>
      <c r="D96" s="196"/>
      <c r="E96" s="196"/>
      <c r="F96" s="196"/>
      <c r="AG96" s="200"/>
      <c r="AH96" s="43" t="s">
        <v>1431</v>
      </c>
      <c r="AI96" s="43" t="s">
        <v>1432</v>
      </c>
      <c r="AJ96" s="43" t="s">
        <v>1321</v>
      </c>
      <c r="AK96" s="43" t="s">
        <v>1322</v>
      </c>
      <c r="AL96" s="43">
        <v>806393795</v>
      </c>
      <c r="AM96" s="43" t="s">
        <v>1432</v>
      </c>
      <c r="AN96" s="43">
        <v>310624343</v>
      </c>
      <c r="AO96" s="43" t="s">
        <v>1433</v>
      </c>
      <c r="AP96" s="43" t="s">
        <v>1216</v>
      </c>
      <c r="AQ96" s="43">
        <v>44013</v>
      </c>
      <c r="AR96" s="203">
        <v>1666.0834</v>
      </c>
      <c r="AS96" s="43">
        <v>7.4000000000000003E-3</v>
      </c>
      <c r="AT96" s="43">
        <v>3.2800000000000003E-2</v>
      </c>
      <c r="AU96" s="43">
        <v>7.3300000000000004E-2</v>
      </c>
      <c r="AV96" s="43">
        <v>7.5200000000000003E-2</v>
      </c>
      <c r="AW96" s="43">
        <v>0.16370000000000001</v>
      </c>
      <c r="AX96" s="43">
        <v>0.22509999999999999</v>
      </c>
      <c r="AY96" s="43">
        <v>0.2261</v>
      </c>
      <c r="AZ96" s="43">
        <v>9.01E-2</v>
      </c>
      <c r="BA96" s="43">
        <v>0.1036</v>
      </c>
      <c r="BB96" s="43">
        <v>2.7000000000000001E-3</v>
      </c>
      <c r="BH96" s="200"/>
      <c r="CI96" s="200"/>
      <c r="DJ96" s="200"/>
    </row>
    <row r="97" spans="1:114" ht="15.75" customHeight="1" x14ac:dyDescent="0.2">
      <c r="A97" s="196"/>
      <c r="B97" s="196"/>
      <c r="C97" s="196"/>
      <c r="D97" s="196"/>
      <c r="E97" s="196"/>
      <c r="F97" s="196"/>
      <c r="AG97" s="200"/>
      <c r="AH97" s="43" t="s">
        <v>1444</v>
      </c>
      <c r="AI97" s="43" t="s">
        <v>1445</v>
      </c>
      <c r="AJ97" s="43" t="s">
        <v>1446</v>
      </c>
      <c r="AK97" s="43" t="s">
        <v>1447</v>
      </c>
      <c r="AL97" s="43">
        <v>877638937</v>
      </c>
      <c r="AM97" s="43" t="s">
        <v>1448</v>
      </c>
      <c r="AN97" s="43">
        <v>342462146</v>
      </c>
      <c r="AO97" s="43" t="s">
        <v>1447</v>
      </c>
      <c r="AP97" s="43" t="s">
        <v>1216</v>
      </c>
      <c r="AQ97" s="43">
        <v>44013</v>
      </c>
      <c r="AR97" s="203">
        <v>2410.8298</v>
      </c>
      <c r="AS97" s="43">
        <v>4.8999999999999998E-3</v>
      </c>
      <c r="AT97" s="43">
        <v>2.2599999999999999E-2</v>
      </c>
      <c r="AU97" s="43">
        <v>5.3400000000000003E-2</v>
      </c>
      <c r="AV97" s="43">
        <v>5.8099999999999999E-2</v>
      </c>
      <c r="AW97" s="43">
        <v>0.13689999999999999</v>
      </c>
      <c r="AX97" s="43">
        <v>0.21190000000000001</v>
      </c>
      <c r="AY97" s="43">
        <v>0.2419</v>
      </c>
      <c r="AZ97" s="43">
        <v>0.11169999999999999</v>
      </c>
      <c r="BA97" s="43">
        <v>0.1532</v>
      </c>
      <c r="BB97" s="43">
        <v>5.3E-3</v>
      </c>
      <c r="BH97" s="200"/>
      <c r="CI97" s="200"/>
      <c r="DJ97" s="200"/>
    </row>
    <row r="98" spans="1:114" ht="15.75" customHeight="1" x14ac:dyDescent="0.2">
      <c r="A98" s="196"/>
      <c r="B98" s="196"/>
      <c r="C98" s="196"/>
      <c r="D98" s="196"/>
      <c r="E98" s="196"/>
      <c r="F98" s="196"/>
      <c r="AG98" s="200"/>
      <c r="AH98" s="43" t="s">
        <v>1460</v>
      </c>
      <c r="AI98" s="43" t="s">
        <v>1461</v>
      </c>
      <c r="AJ98" s="43" t="s">
        <v>1321</v>
      </c>
      <c r="AK98" s="43" t="s">
        <v>1322</v>
      </c>
      <c r="AL98" s="43">
        <v>575980917</v>
      </c>
      <c r="AM98" s="43" t="s">
        <v>1461</v>
      </c>
      <c r="AN98" s="43">
        <v>310624343</v>
      </c>
      <c r="AO98" s="43" t="s">
        <v>1433</v>
      </c>
      <c r="AP98" s="43" t="s">
        <v>1216</v>
      </c>
      <c r="AQ98" s="43">
        <v>44013</v>
      </c>
      <c r="AR98" s="203">
        <v>1566.7004999999999</v>
      </c>
      <c r="AS98" s="43">
        <v>7.7999999999999996E-3</v>
      </c>
      <c r="AT98" s="43">
        <v>3.4700000000000002E-2</v>
      </c>
      <c r="AU98" s="43">
        <v>7.6899999999999996E-2</v>
      </c>
      <c r="AV98" s="43">
        <v>7.8200000000000006E-2</v>
      </c>
      <c r="AW98" s="43">
        <v>0.1678</v>
      </c>
      <c r="AX98" s="43">
        <v>0.22589999999999999</v>
      </c>
      <c r="AY98" s="43">
        <v>0.2215</v>
      </c>
      <c r="AZ98" s="43">
        <v>8.6800000000000002E-2</v>
      </c>
      <c r="BA98" s="43">
        <v>9.8000000000000004E-2</v>
      </c>
      <c r="BB98" s="43">
        <v>2.3E-3</v>
      </c>
      <c r="BH98" s="200"/>
      <c r="CI98" s="200"/>
      <c r="DJ98" s="200"/>
    </row>
    <row r="99" spans="1:114" ht="15.75" customHeight="1" x14ac:dyDescent="0.2">
      <c r="A99" s="196"/>
      <c r="B99" s="196"/>
      <c r="C99" s="196"/>
      <c r="D99" s="196"/>
      <c r="E99" s="196"/>
      <c r="F99" s="196"/>
      <c r="AG99" s="200"/>
      <c r="AH99" s="43" t="s">
        <v>1471</v>
      </c>
      <c r="AI99" s="43" t="s">
        <v>1472</v>
      </c>
      <c r="AJ99" s="43" t="s">
        <v>1235</v>
      </c>
      <c r="AK99" s="43" t="s">
        <v>1236</v>
      </c>
      <c r="AL99" s="43">
        <v>586634331</v>
      </c>
      <c r="AM99" s="43" t="s">
        <v>1472</v>
      </c>
      <c r="AN99" s="43">
        <v>580824260</v>
      </c>
      <c r="AO99" s="43" t="s">
        <v>1473</v>
      </c>
      <c r="AP99" s="43" t="s">
        <v>1216</v>
      </c>
      <c r="AQ99" s="43">
        <v>44013</v>
      </c>
      <c r="AR99" s="203">
        <v>1747.3341</v>
      </c>
      <c r="AS99" s="43">
        <v>7.1000000000000004E-3</v>
      </c>
      <c r="AT99" s="43">
        <v>3.27E-2</v>
      </c>
      <c r="AU99" s="43">
        <v>7.3800000000000004E-2</v>
      </c>
      <c r="AV99" s="43">
        <v>7.5800000000000006E-2</v>
      </c>
      <c r="AW99" s="43">
        <v>0.16400000000000001</v>
      </c>
      <c r="AX99" s="43">
        <v>0.22220000000000001</v>
      </c>
      <c r="AY99" s="43">
        <v>0.21729999999999999</v>
      </c>
      <c r="AZ99" s="43">
        <v>9.1300000000000006E-2</v>
      </c>
      <c r="BA99" s="43">
        <v>0.113</v>
      </c>
      <c r="BB99" s="43">
        <v>2.7000000000000001E-3</v>
      </c>
      <c r="BH99" s="200"/>
      <c r="CI99" s="200"/>
      <c r="DJ99" s="200"/>
    </row>
    <row r="100" spans="1:114" ht="15.75" customHeight="1" x14ac:dyDescent="0.2">
      <c r="A100" s="196"/>
      <c r="B100" s="196"/>
      <c r="C100" s="196"/>
      <c r="D100" s="196"/>
      <c r="E100" s="196"/>
      <c r="F100" s="196"/>
      <c r="AG100" s="200"/>
      <c r="AH100" s="43" t="s">
        <v>1479</v>
      </c>
      <c r="AI100" s="43" t="s">
        <v>1480</v>
      </c>
      <c r="AJ100" s="43" t="s">
        <v>1481</v>
      </c>
      <c r="AK100" s="43" t="s">
        <v>1482</v>
      </c>
      <c r="AL100" s="43">
        <v>1028362533</v>
      </c>
      <c r="AM100" s="43" t="s">
        <v>1483</v>
      </c>
      <c r="AN100" s="43">
        <v>1222929957</v>
      </c>
      <c r="AO100" s="43" t="s">
        <v>1484</v>
      </c>
      <c r="AP100" s="43" t="s">
        <v>1216</v>
      </c>
      <c r="AQ100" s="43">
        <v>44013</v>
      </c>
      <c r="AR100" s="203">
        <v>2599.7035999999998</v>
      </c>
      <c r="AS100" s="43">
        <v>3.5000000000000001E-3</v>
      </c>
      <c r="AT100" s="43">
        <v>2.1499999999999998E-2</v>
      </c>
      <c r="AU100" s="43">
        <v>5.5599999999999997E-2</v>
      </c>
      <c r="AV100" s="43">
        <v>6.08E-2</v>
      </c>
      <c r="AW100" s="43">
        <v>0.14219999999999999</v>
      </c>
      <c r="AX100" s="43">
        <v>0.21590000000000001</v>
      </c>
      <c r="AY100" s="43">
        <v>0.24249999999999999</v>
      </c>
      <c r="AZ100" s="43">
        <v>0.10639999999999999</v>
      </c>
      <c r="BA100" s="43">
        <v>0.14349999999999999</v>
      </c>
      <c r="BB100" s="43">
        <v>8.0000000000000002E-3</v>
      </c>
      <c r="BH100" s="200"/>
      <c r="CI100" s="200"/>
      <c r="DJ100" s="200"/>
    </row>
    <row r="101" spans="1:114" ht="15.75" customHeight="1" x14ac:dyDescent="0.2">
      <c r="A101" s="196"/>
      <c r="B101" s="196"/>
      <c r="C101" s="196"/>
      <c r="D101" s="196"/>
      <c r="E101" s="196"/>
      <c r="F101" s="196"/>
      <c r="AG101" s="200"/>
      <c r="AH101" s="43" t="s">
        <v>1492</v>
      </c>
      <c r="AI101" s="43" t="s">
        <v>1493</v>
      </c>
      <c r="AJ101" s="43" t="s">
        <v>1258</v>
      </c>
      <c r="AK101" s="43" t="s">
        <v>1259</v>
      </c>
      <c r="AL101" s="43">
        <v>1090242126</v>
      </c>
      <c r="AM101" s="43" t="s">
        <v>1493</v>
      </c>
      <c r="AN101" s="43">
        <v>292594310</v>
      </c>
      <c r="AO101" s="43" t="s">
        <v>1260</v>
      </c>
      <c r="AP101" s="43" t="s">
        <v>1216</v>
      </c>
      <c r="AQ101" s="43">
        <v>44013</v>
      </c>
      <c r="AR101" s="203">
        <v>3181.6374000000001</v>
      </c>
      <c r="AS101" s="43">
        <v>4.5999999999999999E-3</v>
      </c>
      <c r="AT101" s="43">
        <v>2.2200000000000001E-2</v>
      </c>
      <c r="AU101" s="43">
        <v>5.3400000000000003E-2</v>
      </c>
      <c r="AV101" s="43">
        <v>5.8099999999999999E-2</v>
      </c>
      <c r="AW101" s="43">
        <v>0.1356</v>
      </c>
      <c r="AX101" s="43">
        <v>0.2046</v>
      </c>
      <c r="AY101" s="43">
        <v>0.22420000000000001</v>
      </c>
      <c r="AZ101" s="43">
        <v>0.1106</v>
      </c>
      <c r="BA101" s="43">
        <v>0.1759</v>
      </c>
      <c r="BB101" s="43">
        <v>1.0800000000000001E-2</v>
      </c>
      <c r="BH101" s="200"/>
      <c r="CI101" s="200"/>
      <c r="DJ101" s="200"/>
    </row>
    <row r="102" spans="1:114" ht="15.75" customHeight="1" x14ac:dyDescent="0.2">
      <c r="A102" s="196"/>
      <c r="B102" s="196"/>
      <c r="C102" s="196"/>
      <c r="D102" s="196"/>
      <c r="E102" s="196"/>
      <c r="F102" s="196"/>
      <c r="AG102" s="200"/>
      <c r="AH102" s="43" t="s">
        <v>1501</v>
      </c>
      <c r="AI102" s="43" t="s">
        <v>1502</v>
      </c>
      <c r="AJ102" s="43" t="s">
        <v>1503</v>
      </c>
      <c r="AK102" s="43" t="s">
        <v>1504</v>
      </c>
      <c r="AL102" s="43">
        <v>1040172229</v>
      </c>
      <c r="AM102" s="43" t="s">
        <v>1502</v>
      </c>
      <c r="AN102" s="43">
        <v>624795774</v>
      </c>
      <c r="AO102" s="43" t="s">
        <v>1504</v>
      </c>
      <c r="AP102" s="43" t="s">
        <v>1216</v>
      </c>
      <c r="AQ102" s="43">
        <v>44013</v>
      </c>
      <c r="AR102" s="203">
        <v>768.21339999999998</v>
      </c>
      <c r="AS102" s="43">
        <v>1.5100000000000001E-2</v>
      </c>
      <c r="AT102" s="43">
        <v>6.59E-2</v>
      </c>
      <c r="AU102" s="43">
        <v>0.1338</v>
      </c>
      <c r="AV102" s="43">
        <v>0.1198</v>
      </c>
      <c r="AW102" s="43">
        <v>0.21290000000000001</v>
      </c>
      <c r="AX102" s="43">
        <v>0.2127</v>
      </c>
      <c r="AY102" s="43">
        <v>0.1439</v>
      </c>
      <c r="AZ102" s="43">
        <v>4.9099999999999998E-2</v>
      </c>
      <c r="BA102" s="43">
        <v>4.6600000000000003E-2</v>
      </c>
      <c r="BB102" s="43">
        <v>2.0000000000000001E-4</v>
      </c>
      <c r="BH102" s="200"/>
      <c r="CI102" s="200"/>
      <c r="DJ102" s="200"/>
    </row>
    <row r="103" spans="1:114" ht="15.75" customHeight="1" x14ac:dyDescent="0.2">
      <c r="A103" s="196"/>
      <c r="B103" s="196"/>
      <c r="C103" s="196"/>
      <c r="D103" s="196"/>
      <c r="E103" s="196"/>
      <c r="F103" s="196"/>
      <c r="AG103" s="200"/>
      <c r="AH103" s="43" t="s">
        <v>1519</v>
      </c>
      <c r="AI103" s="43" t="s">
        <v>1520</v>
      </c>
      <c r="AJ103" s="43" t="s">
        <v>1521</v>
      </c>
      <c r="AK103" s="43" t="s">
        <v>1522</v>
      </c>
      <c r="AL103" s="43">
        <v>1150250440</v>
      </c>
      <c r="AM103" s="43" t="s">
        <v>1520</v>
      </c>
      <c r="AN103" s="43">
        <v>463146137</v>
      </c>
      <c r="AO103" s="43" t="s">
        <v>1522</v>
      </c>
      <c r="AP103" s="43" t="s">
        <v>1216</v>
      </c>
      <c r="AQ103" s="43">
        <v>44013</v>
      </c>
      <c r="AR103" s="203">
        <v>1800.9060999999999</v>
      </c>
      <c r="AS103" s="43">
        <v>4.7999999999999996E-3</v>
      </c>
      <c r="AT103" s="43">
        <v>2.2599999999999999E-2</v>
      </c>
      <c r="AU103" s="43">
        <v>5.3100000000000001E-2</v>
      </c>
      <c r="AV103" s="43">
        <v>5.79E-2</v>
      </c>
      <c r="AW103" s="43">
        <v>0.13850000000000001</v>
      </c>
      <c r="AX103" s="43">
        <v>0.21990000000000001</v>
      </c>
      <c r="AY103" s="43">
        <v>0.26040000000000002</v>
      </c>
      <c r="AZ103" s="43">
        <v>0.11609999999999999</v>
      </c>
      <c r="BA103" s="43">
        <v>0.12470000000000001</v>
      </c>
      <c r="BB103" s="43">
        <v>2.0999999999999999E-3</v>
      </c>
      <c r="BH103" s="200"/>
      <c r="CI103" s="200"/>
      <c r="DJ103" s="200"/>
    </row>
    <row r="104" spans="1:114" ht="15.75" customHeight="1" x14ac:dyDescent="0.2">
      <c r="A104" s="196"/>
      <c r="B104" s="196"/>
      <c r="C104" s="196"/>
      <c r="D104" s="196"/>
      <c r="E104" s="196"/>
      <c r="F104" s="196"/>
      <c r="AG104" s="200"/>
      <c r="AH104" s="43" t="s">
        <v>1526</v>
      </c>
      <c r="AI104" s="43" t="s">
        <v>1527</v>
      </c>
      <c r="AJ104" s="43" t="s">
        <v>1258</v>
      </c>
      <c r="AK104" s="43" t="s">
        <v>1259</v>
      </c>
      <c r="AL104" s="43">
        <v>1243005112</v>
      </c>
      <c r="AM104" s="43" t="s">
        <v>1527</v>
      </c>
      <c r="AN104" s="43">
        <v>525894639</v>
      </c>
      <c r="AO104" s="43" t="s">
        <v>1386</v>
      </c>
      <c r="AP104" s="43" t="s">
        <v>1216</v>
      </c>
      <c r="AQ104" s="43">
        <v>44013</v>
      </c>
      <c r="AR104" s="203">
        <v>1952.8054</v>
      </c>
      <c r="AS104" s="43">
        <v>6.1000000000000004E-3</v>
      </c>
      <c r="AT104" s="43">
        <v>2.98E-2</v>
      </c>
      <c r="AU104" s="43">
        <v>7.0699999999999999E-2</v>
      </c>
      <c r="AV104" s="43">
        <v>7.3999999999999996E-2</v>
      </c>
      <c r="AW104" s="43">
        <v>0.1613</v>
      </c>
      <c r="AX104" s="43">
        <v>0.218</v>
      </c>
      <c r="AY104" s="43">
        <v>0.2069</v>
      </c>
      <c r="AZ104" s="43">
        <v>9.6299999999999997E-2</v>
      </c>
      <c r="BA104" s="43">
        <v>0.13439999999999999</v>
      </c>
      <c r="BB104" s="43">
        <v>2.5000000000000001E-3</v>
      </c>
      <c r="BH104" s="200"/>
      <c r="CI104" s="200"/>
      <c r="DJ104" s="200"/>
    </row>
    <row r="105" spans="1:114" ht="15.75" customHeight="1" x14ac:dyDescent="0.2">
      <c r="A105" s="196"/>
      <c r="B105" s="196"/>
      <c r="C105" s="196"/>
      <c r="D105" s="196"/>
      <c r="E105" s="196"/>
      <c r="F105" s="196"/>
      <c r="AG105" s="200"/>
      <c r="AH105" s="43" t="s">
        <v>1530</v>
      </c>
      <c r="AI105" s="43" t="s">
        <v>1531</v>
      </c>
      <c r="AJ105" s="43" t="s">
        <v>1341</v>
      </c>
      <c r="AK105" s="43" t="s">
        <v>1342</v>
      </c>
      <c r="AL105" s="43">
        <v>1356045010</v>
      </c>
      <c r="AM105" s="43" t="s">
        <v>1532</v>
      </c>
      <c r="AN105" s="43">
        <v>1241617493</v>
      </c>
      <c r="AO105" s="43" t="s">
        <v>1342</v>
      </c>
      <c r="AP105" s="43" t="s">
        <v>1216</v>
      </c>
      <c r="AQ105" s="43">
        <v>44013</v>
      </c>
      <c r="AR105" s="203">
        <v>1933.4478999999999</v>
      </c>
      <c r="AS105" s="43">
        <v>5.7999999999999996E-3</v>
      </c>
      <c r="AT105" s="43">
        <v>3.0599999999999999E-2</v>
      </c>
      <c r="AU105" s="43">
        <v>7.0800000000000002E-2</v>
      </c>
      <c r="AV105" s="43">
        <v>7.3700000000000002E-2</v>
      </c>
      <c r="AW105" s="43">
        <v>0.161</v>
      </c>
      <c r="AX105" s="43">
        <v>0.2208</v>
      </c>
      <c r="AY105" s="43">
        <v>0.2185</v>
      </c>
      <c r="AZ105" s="43">
        <v>9.4100000000000003E-2</v>
      </c>
      <c r="BA105" s="43">
        <v>0.121</v>
      </c>
      <c r="BB105" s="43">
        <v>3.5999999999999999E-3</v>
      </c>
      <c r="BH105" s="200"/>
      <c r="CI105" s="200"/>
      <c r="DJ105" s="200"/>
    </row>
    <row r="106" spans="1:114" ht="15.75" customHeight="1" x14ac:dyDescent="0.2">
      <c r="A106" s="196"/>
      <c r="B106" s="196"/>
      <c r="C106" s="196"/>
      <c r="D106" s="196"/>
      <c r="E106" s="196"/>
      <c r="F106" s="196"/>
      <c r="AG106" s="200"/>
      <c r="AH106" s="43" t="s">
        <v>1535</v>
      </c>
      <c r="AI106" s="43" t="s">
        <v>1536</v>
      </c>
      <c r="AJ106" s="43" t="s">
        <v>1537</v>
      </c>
      <c r="AK106" s="43" t="s">
        <v>1538</v>
      </c>
      <c r="AL106" s="43">
        <v>370339723</v>
      </c>
      <c r="AM106" s="43" t="s">
        <v>1536</v>
      </c>
      <c r="AN106" s="43">
        <v>312479206</v>
      </c>
      <c r="AO106" s="43" t="s">
        <v>1538</v>
      </c>
      <c r="AP106" s="43" t="s">
        <v>1216</v>
      </c>
      <c r="AQ106" s="43">
        <v>44013</v>
      </c>
      <c r="AR106" s="203">
        <v>3444.5151999999998</v>
      </c>
      <c r="AS106" s="43">
        <v>3.8E-3</v>
      </c>
      <c r="AT106" s="43">
        <v>1.7399999999999999E-2</v>
      </c>
      <c r="AU106" s="43">
        <v>4.1799999999999997E-2</v>
      </c>
      <c r="AV106" s="43">
        <v>4.7100000000000003E-2</v>
      </c>
      <c r="AW106" s="43">
        <v>0.1178</v>
      </c>
      <c r="AX106" s="43">
        <v>0.20100000000000001</v>
      </c>
      <c r="AY106" s="43">
        <v>0.25850000000000001</v>
      </c>
      <c r="AZ106" s="43">
        <v>0.1227</v>
      </c>
      <c r="BA106" s="43">
        <v>0.17749999999999999</v>
      </c>
      <c r="BB106" s="43">
        <v>1.24E-2</v>
      </c>
      <c r="BH106" s="200"/>
      <c r="CI106" s="200"/>
      <c r="DJ106" s="200"/>
    </row>
    <row r="107" spans="1:114" ht="15.75" customHeight="1" x14ac:dyDescent="0.2">
      <c r="A107" s="196"/>
      <c r="B107" s="196"/>
      <c r="C107" s="196"/>
      <c r="D107" s="196"/>
      <c r="E107" s="196"/>
      <c r="F107" s="196"/>
      <c r="AG107" s="200"/>
      <c r="AH107" s="43" t="s">
        <v>1540</v>
      </c>
      <c r="AI107" s="43" t="s">
        <v>1541</v>
      </c>
      <c r="AJ107" s="43" t="s">
        <v>1235</v>
      </c>
      <c r="AK107" s="43" t="s">
        <v>1236</v>
      </c>
      <c r="AL107" s="43">
        <v>480523695</v>
      </c>
      <c r="AM107" s="43" t="s">
        <v>1542</v>
      </c>
      <c r="AN107" s="43">
        <v>447553567</v>
      </c>
      <c r="AO107" s="43" t="s">
        <v>1236</v>
      </c>
      <c r="AP107" s="43" t="s">
        <v>1216</v>
      </c>
      <c r="AQ107" s="43">
        <v>44013</v>
      </c>
      <c r="AR107" s="203">
        <v>1173.2101</v>
      </c>
      <c r="AS107" s="43">
        <v>9.1999999999999998E-3</v>
      </c>
      <c r="AT107" s="43">
        <v>3.9100000000000003E-2</v>
      </c>
      <c r="AU107" s="43">
        <v>8.4099999999999994E-2</v>
      </c>
      <c r="AV107" s="43">
        <v>8.4000000000000005E-2</v>
      </c>
      <c r="AW107" s="43">
        <v>0.17699999999999999</v>
      </c>
      <c r="AX107" s="43">
        <v>0.2331</v>
      </c>
      <c r="AY107" s="43">
        <v>0.22559999999999999</v>
      </c>
      <c r="AZ107" s="43">
        <v>7.6999999999999999E-2</v>
      </c>
      <c r="BA107" s="43">
        <v>6.9900000000000004E-2</v>
      </c>
      <c r="BB107" s="43">
        <v>1E-3</v>
      </c>
      <c r="BH107" s="200"/>
      <c r="CI107" s="200"/>
      <c r="DJ107" s="200"/>
    </row>
    <row r="108" spans="1:114" ht="15.75" customHeight="1" x14ac:dyDescent="0.2">
      <c r="A108" s="196"/>
      <c r="B108" s="196"/>
      <c r="C108" s="196"/>
      <c r="D108" s="196"/>
      <c r="E108" s="196"/>
      <c r="F108" s="196"/>
      <c r="AG108" s="200"/>
      <c r="AH108" s="43" t="s">
        <v>1543</v>
      </c>
      <c r="AI108" s="43" t="s">
        <v>1544</v>
      </c>
      <c r="AJ108" s="43" t="s">
        <v>1503</v>
      </c>
      <c r="AK108" s="43" t="s">
        <v>1504</v>
      </c>
      <c r="AL108" s="43">
        <v>714508224</v>
      </c>
      <c r="AM108" s="43" t="s">
        <v>1544</v>
      </c>
      <c r="AN108" s="43">
        <v>624795774</v>
      </c>
      <c r="AO108" s="43" t="s">
        <v>1504</v>
      </c>
      <c r="AP108" s="43" t="s">
        <v>1216</v>
      </c>
      <c r="AQ108" s="43">
        <v>44013</v>
      </c>
      <c r="AR108" s="203">
        <v>851.91579999999999</v>
      </c>
      <c r="AS108" s="43">
        <v>1.46E-2</v>
      </c>
      <c r="AT108" s="43">
        <v>6.2300000000000001E-2</v>
      </c>
      <c r="AU108" s="43">
        <v>0.12620000000000001</v>
      </c>
      <c r="AV108" s="43">
        <v>0.1144</v>
      </c>
      <c r="AW108" s="43">
        <v>0.2077</v>
      </c>
      <c r="AX108" s="43">
        <v>0.21609999999999999</v>
      </c>
      <c r="AY108" s="43">
        <v>0.156</v>
      </c>
      <c r="AZ108" s="43">
        <v>5.2200000000000003E-2</v>
      </c>
      <c r="BA108" s="43">
        <v>4.99E-2</v>
      </c>
      <c r="BB108" s="43">
        <v>5.9999999999999995E-4</v>
      </c>
      <c r="BH108" s="200"/>
      <c r="CI108" s="200"/>
      <c r="DJ108" s="200"/>
    </row>
    <row r="109" spans="1:114" ht="15.75" customHeight="1" x14ac:dyDescent="0.2">
      <c r="A109" s="196"/>
      <c r="B109" s="196"/>
      <c r="C109" s="196"/>
      <c r="D109" s="196"/>
      <c r="E109" s="196"/>
      <c r="F109" s="196"/>
      <c r="AG109" s="200"/>
      <c r="AH109" s="43" t="s">
        <v>1545</v>
      </c>
      <c r="AI109" s="43" t="s">
        <v>1546</v>
      </c>
      <c r="AJ109" s="43" t="s">
        <v>1503</v>
      </c>
      <c r="AK109" s="43" t="s">
        <v>1504</v>
      </c>
      <c r="AL109" s="43">
        <v>1065980436</v>
      </c>
      <c r="AM109" s="43" t="s">
        <v>1547</v>
      </c>
      <c r="AN109" s="43">
        <v>624795774</v>
      </c>
      <c r="AO109" s="43" t="s">
        <v>1504</v>
      </c>
      <c r="AP109" s="43" t="s">
        <v>1216</v>
      </c>
      <c r="AQ109" s="43">
        <v>44013</v>
      </c>
      <c r="AR109" s="203">
        <v>1009.8774</v>
      </c>
      <c r="AS109" s="43">
        <v>1.21E-2</v>
      </c>
      <c r="AT109" s="43">
        <v>5.3900000000000003E-2</v>
      </c>
      <c r="AU109" s="43">
        <v>0.1133</v>
      </c>
      <c r="AV109" s="43">
        <v>0.1061</v>
      </c>
      <c r="AW109" s="43">
        <v>0.20050000000000001</v>
      </c>
      <c r="AX109" s="43">
        <v>0.22040000000000001</v>
      </c>
      <c r="AY109" s="43">
        <v>0.16769999999999999</v>
      </c>
      <c r="AZ109" s="43">
        <v>6.1400000000000003E-2</v>
      </c>
      <c r="BA109" s="43">
        <v>6.4100000000000004E-2</v>
      </c>
      <c r="BB109" s="43">
        <v>5.9999999999999995E-4</v>
      </c>
      <c r="BH109" s="200"/>
      <c r="CI109" s="200"/>
      <c r="DJ109" s="200"/>
    </row>
    <row r="110" spans="1:114" ht="15.75" customHeight="1" x14ac:dyDescent="0.2">
      <c r="A110" s="196"/>
      <c r="B110" s="196"/>
      <c r="C110" s="196"/>
      <c r="D110" s="196"/>
      <c r="E110" s="196"/>
      <c r="F110" s="196"/>
      <c r="AG110" s="200"/>
      <c r="AH110" s="43" t="s">
        <v>1548</v>
      </c>
      <c r="AI110" s="43" t="s">
        <v>1549</v>
      </c>
      <c r="AJ110" s="43" t="s">
        <v>1550</v>
      </c>
      <c r="AK110" s="43" t="s">
        <v>1551</v>
      </c>
      <c r="AL110" s="43">
        <v>445305390</v>
      </c>
      <c r="AM110" s="43" t="s">
        <v>1549</v>
      </c>
      <c r="AN110" s="43">
        <v>445204563</v>
      </c>
      <c r="AO110" s="43" t="s">
        <v>1552</v>
      </c>
      <c r="AP110" s="43" t="s">
        <v>1216</v>
      </c>
      <c r="AQ110" s="43">
        <v>44013</v>
      </c>
      <c r="AR110" s="203">
        <v>1706.9302</v>
      </c>
      <c r="AS110" s="43">
        <v>4.1999999999999997E-3</v>
      </c>
      <c r="AT110" s="43">
        <v>2.3300000000000001E-2</v>
      </c>
      <c r="AU110" s="43">
        <v>5.6899999999999999E-2</v>
      </c>
      <c r="AV110" s="43">
        <v>6.1699999999999998E-2</v>
      </c>
      <c r="AW110" s="43">
        <v>0.14580000000000001</v>
      </c>
      <c r="AX110" s="43">
        <v>0.2291</v>
      </c>
      <c r="AY110" s="43">
        <v>0.27229999999999999</v>
      </c>
      <c r="AZ110" s="43">
        <v>0.10199999999999999</v>
      </c>
      <c r="BA110" s="43">
        <v>0.10199999999999999</v>
      </c>
      <c r="BB110" s="43">
        <v>2.8999999999999998E-3</v>
      </c>
      <c r="BH110" s="200"/>
      <c r="CI110" s="200"/>
      <c r="DJ110" s="200"/>
    </row>
    <row r="111" spans="1:114" ht="15.75" customHeight="1" x14ac:dyDescent="0.2">
      <c r="AG111" s="200"/>
      <c r="AH111" s="43" t="s">
        <v>1553</v>
      </c>
      <c r="AI111" s="43" t="s">
        <v>1554</v>
      </c>
      <c r="AJ111" s="43" t="s">
        <v>1235</v>
      </c>
      <c r="AK111" s="43" t="s">
        <v>1236</v>
      </c>
      <c r="AL111" s="43">
        <v>447553564</v>
      </c>
      <c r="AM111" s="43" t="s">
        <v>1555</v>
      </c>
      <c r="AN111" s="43">
        <v>447553567</v>
      </c>
      <c r="AO111" s="43" t="s">
        <v>1236</v>
      </c>
      <c r="AP111" s="43" t="s">
        <v>1216</v>
      </c>
      <c r="AQ111" s="43">
        <v>44013</v>
      </c>
      <c r="AR111" s="203">
        <v>1741.3284000000001</v>
      </c>
      <c r="AS111" s="43">
        <v>8.3999999999999995E-3</v>
      </c>
      <c r="AT111" s="43">
        <v>3.8199999999999998E-2</v>
      </c>
      <c r="AU111" s="43">
        <v>8.4699999999999998E-2</v>
      </c>
      <c r="AV111" s="43">
        <v>8.4599999999999995E-2</v>
      </c>
      <c r="AW111" s="43">
        <v>0.17510000000000001</v>
      </c>
      <c r="AX111" s="43">
        <v>0.22159999999999999</v>
      </c>
      <c r="AY111" s="43">
        <v>0.1993</v>
      </c>
      <c r="AZ111" s="43">
        <v>8.2100000000000006E-2</v>
      </c>
      <c r="BA111" s="43">
        <v>0.1021</v>
      </c>
      <c r="BB111" s="43">
        <v>3.8999999999999998E-3</v>
      </c>
      <c r="BH111" s="200"/>
      <c r="CI111" s="200"/>
      <c r="DJ111" s="200"/>
    </row>
    <row r="112" spans="1:114" ht="15.75" customHeight="1" x14ac:dyDescent="0.2">
      <c r="AG112" s="200"/>
      <c r="AH112" s="43" t="s">
        <v>1556</v>
      </c>
      <c r="AI112" s="43" t="s">
        <v>1557</v>
      </c>
      <c r="AJ112" s="43" t="s">
        <v>1558</v>
      </c>
      <c r="AK112" s="43" t="s">
        <v>1559</v>
      </c>
      <c r="AL112" s="43">
        <v>944158857</v>
      </c>
      <c r="AM112" s="43" t="s">
        <v>1557</v>
      </c>
      <c r="AN112" s="43">
        <v>476936085</v>
      </c>
      <c r="AO112" s="43" t="s">
        <v>1560</v>
      </c>
      <c r="AP112" s="43" t="s">
        <v>1216</v>
      </c>
      <c r="AQ112" s="43">
        <v>44013</v>
      </c>
      <c r="AR112" s="203">
        <v>1883.1902</v>
      </c>
      <c r="AS112" s="43">
        <v>6.7000000000000002E-3</v>
      </c>
      <c r="AT112" s="43">
        <v>3.0800000000000001E-2</v>
      </c>
      <c r="AU112" s="43">
        <v>6.9900000000000004E-2</v>
      </c>
      <c r="AV112" s="43">
        <v>7.2499999999999995E-2</v>
      </c>
      <c r="AW112" s="43">
        <v>0.15920000000000001</v>
      </c>
      <c r="AX112" s="43">
        <v>0.221</v>
      </c>
      <c r="AY112" s="43">
        <v>0.2225</v>
      </c>
      <c r="AZ112" s="43">
        <v>9.4600000000000004E-2</v>
      </c>
      <c r="BA112" s="43">
        <v>0.1193</v>
      </c>
      <c r="BB112" s="43">
        <v>3.3999999999999998E-3</v>
      </c>
      <c r="BH112" s="200"/>
      <c r="CI112" s="200"/>
      <c r="DJ112" s="200"/>
    </row>
    <row r="113" spans="1:114" ht="15.75" customHeight="1" x14ac:dyDescent="0.15">
      <c r="A113" s="187"/>
      <c r="B113" s="187"/>
      <c r="C113" s="187"/>
      <c r="D113" s="187"/>
      <c r="E113" s="187"/>
      <c r="F113" s="187"/>
      <c r="AG113" s="12"/>
      <c r="AH113" s="43" t="s">
        <v>1561</v>
      </c>
      <c r="AI113" s="43" t="s">
        <v>1562</v>
      </c>
      <c r="AJ113" s="43" t="s">
        <v>1321</v>
      </c>
      <c r="AK113" s="43" t="s">
        <v>1322</v>
      </c>
      <c r="AL113" s="43">
        <v>945621521</v>
      </c>
      <c r="AM113" s="43" t="s">
        <v>1562</v>
      </c>
      <c r="AN113" s="43">
        <v>486692023</v>
      </c>
      <c r="AO113" s="43" t="s">
        <v>1563</v>
      </c>
      <c r="AP113" s="43" t="s">
        <v>1216</v>
      </c>
      <c r="AQ113" s="43">
        <v>44013</v>
      </c>
      <c r="AR113" s="203">
        <v>1471.2294999999999</v>
      </c>
      <c r="AS113" s="43">
        <v>8.0000000000000002E-3</v>
      </c>
      <c r="AT113" s="43">
        <v>3.6299999999999999E-2</v>
      </c>
      <c r="AU113" s="43">
        <v>8.09E-2</v>
      </c>
      <c r="AV113" s="43">
        <v>8.1600000000000006E-2</v>
      </c>
      <c r="AW113" s="43">
        <v>0.1724</v>
      </c>
      <c r="AX113" s="43">
        <v>0.22520000000000001</v>
      </c>
      <c r="AY113" s="43">
        <v>0.21110000000000001</v>
      </c>
      <c r="AZ113" s="43">
        <v>8.5199999999999998E-2</v>
      </c>
      <c r="BA113" s="43">
        <v>9.8000000000000004E-2</v>
      </c>
      <c r="BB113" s="43">
        <v>1.2999999999999999E-3</v>
      </c>
      <c r="BH113" s="12"/>
      <c r="CI113" s="12"/>
      <c r="DJ113" s="12"/>
    </row>
    <row r="114" spans="1:114" ht="15.75" customHeight="1" x14ac:dyDescent="0.15">
      <c r="A114" s="191"/>
      <c r="B114" s="191"/>
      <c r="C114" s="191"/>
      <c r="D114" s="191"/>
      <c r="E114" s="191"/>
      <c r="F114" s="191"/>
      <c r="AG114" s="193"/>
      <c r="AH114" s="43" t="s">
        <v>1564</v>
      </c>
      <c r="AI114" s="43" t="s">
        <v>1565</v>
      </c>
      <c r="AJ114" s="43" t="s">
        <v>1244</v>
      </c>
      <c r="AK114" s="43" t="s">
        <v>1245</v>
      </c>
      <c r="AL114" s="43">
        <v>354902315</v>
      </c>
      <c r="AM114" s="43" t="s">
        <v>1565</v>
      </c>
      <c r="AN114" s="43">
        <v>295913422</v>
      </c>
      <c r="AO114" s="43" t="s">
        <v>1393</v>
      </c>
      <c r="AP114" s="43" t="s">
        <v>1216</v>
      </c>
      <c r="AQ114" s="43">
        <v>44013</v>
      </c>
      <c r="AR114" s="203">
        <v>1594.2409</v>
      </c>
      <c r="AS114" s="43">
        <v>7.9000000000000008E-3</v>
      </c>
      <c r="AT114" s="43">
        <v>3.4799999999999998E-2</v>
      </c>
      <c r="AU114" s="43">
        <v>7.6999999999999999E-2</v>
      </c>
      <c r="AV114" s="43">
        <v>7.8299999999999995E-2</v>
      </c>
      <c r="AW114" s="43">
        <v>0.16789999999999999</v>
      </c>
      <c r="AX114" s="43">
        <v>0.2258</v>
      </c>
      <c r="AY114" s="43">
        <v>0.22120000000000001</v>
      </c>
      <c r="AZ114" s="43">
        <v>8.6599999999999996E-2</v>
      </c>
      <c r="BA114" s="43">
        <v>9.8100000000000007E-2</v>
      </c>
      <c r="BB114" s="43">
        <v>2.5999999999999999E-3</v>
      </c>
      <c r="BH114" s="193"/>
      <c r="CI114" s="193"/>
      <c r="DJ114" s="193"/>
    </row>
    <row r="115" spans="1:114" ht="15.75" customHeight="1" x14ac:dyDescent="0.2">
      <c r="A115" s="208"/>
      <c r="B115" s="208"/>
      <c r="C115" s="208"/>
      <c r="D115" s="208"/>
      <c r="E115" s="208"/>
      <c r="F115" s="208"/>
      <c r="AG115" s="200"/>
      <c r="AH115" s="43" t="s">
        <v>1566</v>
      </c>
      <c r="AI115" s="43" t="s">
        <v>1567</v>
      </c>
      <c r="AJ115" s="43" t="s">
        <v>1235</v>
      </c>
      <c r="AK115" s="43" t="s">
        <v>1236</v>
      </c>
      <c r="AL115" s="43">
        <v>719525810</v>
      </c>
      <c r="AM115" s="43" t="s">
        <v>1567</v>
      </c>
      <c r="AN115" s="43">
        <v>447553567</v>
      </c>
      <c r="AO115" s="43" t="s">
        <v>1236</v>
      </c>
      <c r="AP115" s="43" t="s">
        <v>1216</v>
      </c>
      <c r="AQ115" s="43">
        <v>44013</v>
      </c>
      <c r="AR115" s="203">
        <v>1854.5739000000001</v>
      </c>
      <c r="AS115" s="43">
        <v>6.6E-3</v>
      </c>
      <c r="AT115" s="43">
        <v>2.93E-2</v>
      </c>
      <c r="AU115" s="43">
        <v>6.6299999999999998E-2</v>
      </c>
      <c r="AV115" s="43">
        <v>6.93E-2</v>
      </c>
      <c r="AW115" s="43">
        <v>0.1552</v>
      </c>
      <c r="AX115" s="43">
        <v>0.22309999999999999</v>
      </c>
      <c r="AY115" s="43">
        <v>0.23599999999999999</v>
      </c>
      <c r="AZ115" s="43">
        <v>9.6600000000000005E-2</v>
      </c>
      <c r="BA115" s="43">
        <v>0.11409999999999999</v>
      </c>
      <c r="BB115" s="43">
        <v>3.5000000000000001E-3</v>
      </c>
      <c r="BH115" s="200"/>
      <c r="CI115" s="200"/>
      <c r="DJ115" s="200"/>
    </row>
    <row r="116" spans="1:114" ht="15.75" customHeight="1" x14ac:dyDescent="0.2">
      <c r="A116" s="208"/>
      <c r="B116" s="208"/>
      <c r="C116" s="208"/>
      <c r="D116" s="208"/>
      <c r="E116" s="208"/>
      <c r="F116" s="208"/>
      <c r="AG116" s="200"/>
      <c r="AH116" s="43" t="s">
        <v>1568</v>
      </c>
      <c r="AI116" s="43" t="s">
        <v>1569</v>
      </c>
      <c r="AJ116" s="43" t="s">
        <v>1244</v>
      </c>
      <c r="AK116" s="43" t="s">
        <v>1245</v>
      </c>
      <c r="AL116" s="43">
        <v>916869395</v>
      </c>
      <c r="AM116" s="43" t="s">
        <v>1569</v>
      </c>
      <c r="AN116" s="43">
        <v>295913422</v>
      </c>
      <c r="AO116" s="43" t="s">
        <v>1393</v>
      </c>
      <c r="AP116" s="43" t="s">
        <v>1216</v>
      </c>
      <c r="AQ116" s="43">
        <v>44013</v>
      </c>
      <c r="AR116" s="203">
        <v>1081.6448</v>
      </c>
      <c r="AS116" s="43">
        <v>7.6E-3</v>
      </c>
      <c r="AT116" s="43">
        <v>4.5199999999999997E-2</v>
      </c>
      <c r="AU116" s="43">
        <v>0.1074</v>
      </c>
      <c r="AV116" s="43">
        <v>0.10340000000000001</v>
      </c>
      <c r="AW116" s="43">
        <v>0.2001</v>
      </c>
      <c r="AX116" s="43">
        <v>0.2266</v>
      </c>
      <c r="AY116" s="43">
        <v>0.18060000000000001</v>
      </c>
      <c r="AZ116" s="43">
        <v>6.3600000000000004E-2</v>
      </c>
      <c r="BA116" s="43">
        <v>6.4299999999999996E-2</v>
      </c>
      <c r="BB116" s="43">
        <v>1.1999999999999999E-3</v>
      </c>
      <c r="BH116" s="200"/>
      <c r="CI116" s="200"/>
      <c r="DJ116" s="200"/>
    </row>
    <row r="117" spans="1:114" ht="15.75" customHeight="1" x14ac:dyDescent="0.2">
      <c r="A117" s="208"/>
      <c r="B117" s="208"/>
      <c r="C117" s="208"/>
      <c r="D117" s="208"/>
      <c r="E117" s="208"/>
      <c r="F117" s="208"/>
      <c r="AG117" s="200"/>
      <c r="AH117" s="207"/>
      <c r="AI117" s="207"/>
      <c r="AJ117" s="207"/>
      <c r="AK117" s="207"/>
      <c r="AL117" s="207"/>
      <c r="AM117" s="207"/>
      <c r="AN117" s="207"/>
      <c r="AO117" s="207"/>
      <c r="AP117" s="207"/>
      <c r="AQ117" s="209" t="s">
        <v>1596</v>
      </c>
      <c r="AR117" s="209">
        <f>AVERAGE(AR82:AR116)</f>
        <v>1772.5354857142854</v>
      </c>
      <c r="AS117" s="207"/>
      <c r="AT117" s="207"/>
      <c r="AU117" s="207"/>
      <c r="AV117" s="207"/>
      <c r="AW117" s="207"/>
      <c r="AX117" s="207"/>
      <c r="AY117" s="207"/>
      <c r="AZ117" s="207"/>
      <c r="BA117" s="207"/>
      <c r="BB117" s="207"/>
      <c r="BH117" s="200"/>
      <c r="CI117" s="200"/>
      <c r="DJ117" s="200"/>
    </row>
    <row r="118" spans="1:114" ht="15.75" customHeight="1" x14ac:dyDescent="0.2">
      <c r="A118" s="208"/>
      <c r="B118" s="208"/>
      <c r="C118" s="208"/>
      <c r="D118" s="208"/>
      <c r="E118" s="208"/>
      <c r="F118" s="208"/>
      <c r="AG118" s="200"/>
      <c r="AH118" s="207"/>
      <c r="AI118" s="207"/>
      <c r="AJ118" s="207"/>
      <c r="AK118" s="207"/>
      <c r="AL118" s="207"/>
      <c r="AM118" s="207"/>
      <c r="AN118" s="207"/>
      <c r="AO118" s="207"/>
      <c r="AP118" s="207"/>
      <c r="AQ118" s="209" t="s">
        <v>1597</v>
      </c>
      <c r="AR118" s="209">
        <f>AR117/60</f>
        <v>29.54225809523809</v>
      </c>
      <c r="AS118" s="207"/>
      <c r="AT118" s="207"/>
      <c r="AU118" s="207"/>
      <c r="AV118" s="207"/>
      <c r="AW118" s="207"/>
      <c r="AX118" s="207"/>
      <c r="AY118" s="207"/>
      <c r="AZ118" s="207"/>
      <c r="BA118" s="207"/>
      <c r="BB118" s="207"/>
      <c r="BH118" s="200"/>
      <c r="CI118" s="200"/>
      <c r="DJ118" s="200"/>
    </row>
    <row r="119" spans="1:114" ht="15.75" customHeight="1" x14ac:dyDescent="0.2">
      <c r="A119" s="208"/>
      <c r="B119" s="208"/>
      <c r="C119" s="208"/>
      <c r="D119" s="208"/>
      <c r="E119" s="208"/>
      <c r="F119" s="208"/>
      <c r="AG119" s="200"/>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H119" s="200"/>
      <c r="CI119" s="200"/>
      <c r="DJ119" s="200"/>
    </row>
    <row r="120" spans="1:114" ht="15.75" customHeight="1" x14ac:dyDescent="0.2">
      <c r="A120" s="208"/>
      <c r="B120" s="208"/>
      <c r="C120" s="208"/>
      <c r="D120" s="208"/>
      <c r="E120" s="208"/>
      <c r="F120" s="208"/>
      <c r="AG120" s="200"/>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H120" s="200"/>
      <c r="CI120" s="200"/>
      <c r="DJ120" s="200"/>
    </row>
    <row r="121" spans="1:114" ht="15.75" customHeight="1" x14ac:dyDescent="0.2">
      <c r="A121" s="208"/>
      <c r="B121" s="208"/>
      <c r="C121" s="208"/>
      <c r="D121" s="208"/>
      <c r="E121" s="208"/>
      <c r="F121" s="208"/>
      <c r="AG121" s="200"/>
      <c r="BH121" s="200"/>
      <c r="CI121" s="200"/>
      <c r="DJ121" s="200"/>
    </row>
    <row r="122" spans="1:114" ht="15.75" customHeight="1" x14ac:dyDescent="0.2">
      <c r="A122" s="208"/>
      <c r="B122" s="208"/>
      <c r="C122" s="208"/>
      <c r="D122" s="208"/>
      <c r="E122" s="208"/>
      <c r="F122" s="208"/>
      <c r="AG122" s="200"/>
      <c r="BH122" s="200"/>
      <c r="CI122" s="200"/>
      <c r="DJ122" s="200"/>
    </row>
    <row r="123" spans="1:114" ht="15.75" customHeight="1" x14ac:dyDescent="0.2">
      <c r="A123" s="208"/>
      <c r="B123" s="208"/>
      <c r="C123" s="208"/>
      <c r="D123" s="208"/>
      <c r="E123" s="208"/>
      <c r="F123" s="208"/>
      <c r="AG123" s="200"/>
      <c r="BH123" s="200"/>
      <c r="CI123" s="200"/>
      <c r="DJ123" s="200"/>
    </row>
    <row r="124" spans="1:114" ht="15.75" customHeight="1" x14ac:dyDescent="0.2">
      <c r="A124" s="208"/>
      <c r="B124" s="208"/>
      <c r="C124" s="208"/>
      <c r="D124" s="208"/>
      <c r="E124" s="208"/>
      <c r="F124" s="208"/>
      <c r="AG124" s="200"/>
      <c r="BH124" s="200"/>
      <c r="CI124" s="200"/>
      <c r="DJ124" s="200"/>
    </row>
    <row r="125" spans="1:114" ht="15.75" customHeight="1" x14ac:dyDescent="0.2">
      <c r="A125" s="208"/>
      <c r="B125" s="208"/>
      <c r="C125" s="208"/>
      <c r="D125" s="208"/>
      <c r="E125" s="208"/>
      <c r="F125" s="208"/>
      <c r="AG125" s="200"/>
      <c r="BH125" s="200"/>
      <c r="CI125" s="200"/>
      <c r="DJ125" s="200"/>
    </row>
    <row r="126" spans="1:114" ht="15.75" customHeight="1" x14ac:dyDescent="0.2">
      <c r="A126" s="208"/>
      <c r="B126" s="208"/>
      <c r="C126" s="208"/>
      <c r="D126" s="208"/>
      <c r="E126" s="208"/>
      <c r="F126" s="208"/>
      <c r="AG126" s="200"/>
      <c r="BH126" s="200"/>
      <c r="CI126" s="200"/>
      <c r="DJ126" s="200"/>
    </row>
    <row r="127" spans="1:114" ht="15.75" customHeight="1" x14ac:dyDescent="0.2">
      <c r="A127" s="208"/>
      <c r="B127" s="208"/>
      <c r="C127" s="208"/>
      <c r="D127" s="208"/>
      <c r="E127" s="208"/>
      <c r="F127" s="208"/>
      <c r="AG127" s="200"/>
      <c r="BH127" s="200"/>
      <c r="CI127" s="200"/>
      <c r="DJ127" s="200"/>
    </row>
    <row r="128" spans="1:114" ht="15.75" customHeight="1" x14ac:dyDescent="0.2">
      <c r="A128" s="208"/>
      <c r="B128" s="208"/>
      <c r="C128" s="208"/>
      <c r="D128" s="208"/>
      <c r="E128" s="208"/>
      <c r="F128" s="208"/>
      <c r="AG128" s="200"/>
      <c r="BH128" s="200"/>
      <c r="CI128" s="200"/>
      <c r="DJ128" s="200"/>
    </row>
    <row r="129" spans="1:114" ht="15.75" customHeight="1" x14ac:dyDescent="0.2">
      <c r="A129" s="208"/>
      <c r="B129" s="208"/>
      <c r="C129" s="208"/>
      <c r="D129" s="208"/>
      <c r="E129" s="208"/>
      <c r="F129" s="208"/>
      <c r="AG129" s="200"/>
      <c r="BH129" s="200"/>
      <c r="CI129" s="200"/>
      <c r="DJ129" s="200"/>
    </row>
    <row r="130" spans="1:114" ht="15.75" customHeight="1" x14ac:dyDescent="0.2">
      <c r="A130" s="208"/>
      <c r="B130" s="208"/>
      <c r="C130" s="208"/>
      <c r="D130" s="208"/>
      <c r="E130" s="208"/>
      <c r="F130" s="208"/>
      <c r="AG130" s="200"/>
      <c r="BH130" s="200"/>
      <c r="CI130" s="200"/>
      <c r="DJ130" s="200"/>
    </row>
    <row r="131" spans="1:114" ht="15.75" customHeight="1" x14ac:dyDescent="0.2">
      <c r="A131" s="208"/>
      <c r="B131" s="208"/>
      <c r="C131" s="208"/>
      <c r="D131" s="208"/>
      <c r="E131" s="208"/>
      <c r="F131" s="208"/>
      <c r="AG131" s="200"/>
      <c r="BH131" s="200"/>
      <c r="CI131" s="200"/>
      <c r="DJ131" s="200"/>
    </row>
    <row r="132" spans="1:114" ht="15.75" customHeight="1" x14ac:dyDescent="0.2">
      <c r="AG132" s="200"/>
      <c r="BH132" s="200"/>
      <c r="CI132" s="200"/>
      <c r="DJ132" s="200"/>
    </row>
    <row r="133" spans="1:114" ht="15.75" customHeight="1" x14ac:dyDescent="0.2">
      <c r="AG133" s="200"/>
      <c r="BH133" s="200"/>
      <c r="CI133" s="200"/>
      <c r="DJ133" s="200"/>
    </row>
    <row r="134" spans="1:114" ht="15.75" customHeight="1" x14ac:dyDescent="0.15">
      <c r="A134" s="187"/>
      <c r="B134" s="187"/>
      <c r="C134" s="187"/>
      <c r="D134" s="187"/>
      <c r="E134" s="187"/>
      <c r="F134" s="187"/>
      <c r="AG134" s="12"/>
      <c r="BH134" s="12"/>
      <c r="CI134" s="12"/>
      <c r="DJ134" s="12"/>
    </row>
    <row r="135" spans="1:114" ht="15.75" customHeight="1" x14ac:dyDescent="0.15">
      <c r="A135" s="191"/>
      <c r="B135" s="191"/>
      <c r="C135" s="191"/>
      <c r="D135" s="191"/>
      <c r="E135" s="191"/>
      <c r="F135" s="191"/>
      <c r="AG135" s="193"/>
      <c r="BH135" s="193"/>
      <c r="CI135" s="193"/>
      <c r="DJ135" s="193"/>
    </row>
    <row r="136" spans="1:114" ht="15.75" customHeight="1" x14ac:dyDescent="0.15">
      <c r="A136" s="12"/>
      <c r="B136" s="12"/>
      <c r="C136" s="12"/>
      <c r="D136" s="12"/>
      <c r="E136" s="12"/>
      <c r="F136" s="12"/>
      <c r="AG136" s="12"/>
      <c r="BH136" s="12"/>
      <c r="CI136" s="12"/>
      <c r="DJ136" s="12"/>
    </row>
    <row r="137" spans="1:114" ht="15.75" customHeight="1" x14ac:dyDescent="0.15">
      <c r="A137" s="12"/>
      <c r="B137" s="12"/>
      <c r="C137" s="12"/>
      <c r="D137" s="12"/>
      <c r="E137" s="12"/>
      <c r="F137" s="12"/>
      <c r="AG137" s="12"/>
      <c r="BH137" s="12"/>
      <c r="CI137" s="12"/>
      <c r="DJ137" s="12"/>
    </row>
    <row r="138" spans="1:114" ht="15.75" customHeight="1" x14ac:dyDescent="0.15">
      <c r="A138" s="12"/>
      <c r="B138" s="12"/>
      <c r="C138" s="12"/>
      <c r="D138" s="12"/>
      <c r="E138" s="12"/>
      <c r="F138" s="12"/>
      <c r="AG138" s="12"/>
      <c r="BH138" s="12"/>
      <c r="CI138" s="12"/>
      <c r="DJ138" s="12"/>
    </row>
    <row r="139" spans="1:114" ht="15.75" customHeight="1" x14ac:dyDescent="0.15">
      <c r="A139" s="12"/>
      <c r="B139" s="12"/>
      <c r="C139" s="12"/>
      <c r="D139" s="12"/>
      <c r="E139" s="12"/>
      <c r="F139" s="12"/>
      <c r="AG139" s="12"/>
      <c r="BH139" s="12"/>
      <c r="CI139" s="12"/>
      <c r="DJ139" s="12"/>
    </row>
    <row r="140" spans="1:114" ht="15.75" customHeight="1" x14ac:dyDescent="0.15">
      <c r="A140" s="12"/>
      <c r="B140" s="12"/>
      <c r="C140" s="12"/>
      <c r="D140" s="12"/>
      <c r="E140" s="12"/>
      <c r="F140" s="12"/>
      <c r="AG140" s="12"/>
      <c r="BH140" s="12"/>
      <c r="CI140" s="12"/>
      <c r="DJ140" s="12"/>
    </row>
    <row r="141" spans="1:114" ht="15.75" customHeight="1" x14ac:dyDescent="0.15">
      <c r="A141" s="12"/>
      <c r="B141" s="12"/>
      <c r="C141" s="12"/>
      <c r="D141" s="12"/>
      <c r="E141" s="12"/>
      <c r="F141" s="12"/>
      <c r="AG141" s="12"/>
      <c r="BH141" s="12"/>
      <c r="CI141" s="12"/>
      <c r="DJ141" s="12"/>
    </row>
    <row r="142" spans="1:114" ht="15.75" customHeight="1" x14ac:dyDescent="0.15">
      <c r="A142" s="12"/>
      <c r="B142" s="12"/>
      <c r="C142" s="12"/>
      <c r="D142" s="12"/>
      <c r="E142" s="12"/>
      <c r="F142" s="12"/>
      <c r="AG142" s="12"/>
      <c r="BH142" s="12"/>
      <c r="CI142" s="12"/>
      <c r="DJ142" s="12"/>
    </row>
    <row r="143" spans="1:114" ht="15.75" customHeight="1" x14ac:dyDescent="0.15">
      <c r="A143" s="12"/>
      <c r="B143" s="12"/>
      <c r="C143" s="12"/>
      <c r="D143" s="12"/>
      <c r="E143" s="12"/>
      <c r="F143" s="12"/>
      <c r="AG143" s="12"/>
      <c r="BH143" s="12"/>
      <c r="CI143" s="12"/>
      <c r="DJ143" s="12"/>
    </row>
    <row r="144" spans="1:114" ht="15.75" customHeight="1" x14ac:dyDescent="0.15">
      <c r="A144" s="12"/>
      <c r="B144" s="12"/>
      <c r="C144" s="12"/>
      <c r="D144" s="12"/>
      <c r="E144" s="12"/>
      <c r="F144" s="12"/>
      <c r="AG144" s="12"/>
      <c r="BH144" s="12"/>
      <c r="CI144" s="12"/>
      <c r="DJ144" s="12"/>
    </row>
    <row r="145" spans="1:114" ht="15.75" customHeight="1" x14ac:dyDescent="0.15">
      <c r="A145" s="12"/>
      <c r="B145" s="12"/>
      <c r="C145" s="12"/>
      <c r="D145" s="12"/>
      <c r="E145" s="12"/>
      <c r="F145" s="12"/>
      <c r="AG145" s="12"/>
      <c r="BH145" s="12"/>
      <c r="CI145" s="12"/>
      <c r="DJ145" s="12"/>
    </row>
    <row r="146" spans="1:114" ht="15.75" customHeight="1" x14ac:dyDescent="0.15">
      <c r="A146" s="12"/>
      <c r="B146" s="12"/>
      <c r="C146" s="12"/>
      <c r="D146" s="12"/>
      <c r="E146" s="12"/>
      <c r="F146" s="12"/>
      <c r="AG146" s="12"/>
      <c r="BH146" s="12"/>
      <c r="CI146" s="12"/>
      <c r="DJ146" s="12"/>
    </row>
    <row r="147" spans="1:114" ht="15.75" customHeight="1" x14ac:dyDescent="0.15">
      <c r="A147" s="12"/>
      <c r="B147" s="12"/>
      <c r="C147" s="12"/>
      <c r="D147" s="12"/>
      <c r="E147" s="12"/>
      <c r="F147" s="12"/>
      <c r="AG147" s="12"/>
      <c r="BH147" s="12"/>
      <c r="CI147" s="12"/>
      <c r="DJ147" s="12"/>
    </row>
    <row r="148" spans="1:114" ht="15.75" customHeight="1" x14ac:dyDescent="0.15">
      <c r="A148" s="12"/>
      <c r="B148" s="12"/>
      <c r="C148" s="12"/>
      <c r="D148" s="12"/>
      <c r="E148" s="12"/>
      <c r="F148" s="12"/>
      <c r="AG148" s="12"/>
      <c r="BH148" s="12"/>
      <c r="CI148" s="12"/>
      <c r="DJ148" s="12"/>
    </row>
    <row r="149" spans="1:114" ht="15.75" customHeight="1" x14ac:dyDescent="0.15">
      <c r="A149" s="12"/>
      <c r="B149" s="12"/>
      <c r="C149" s="12"/>
      <c r="D149" s="12"/>
      <c r="E149" s="12"/>
      <c r="F149" s="12"/>
      <c r="AG149" s="12"/>
      <c r="BH149" s="12"/>
      <c r="CI149" s="12"/>
      <c r="DJ149" s="12"/>
    </row>
    <row r="150" spans="1:114" ht="15.75" customHeight="1" x14ac:dyDescent="0.15">
      <c r="A150" s="12"/>
      <c r="B150" s="12"/>
      <c r="C150" s="12"/>
      <c r="D150" s="12"/>
      <c r="E150" s="12"/>
      <c r="F150" s="12"/>
      <c r="AG150" s="12"/>
      <c r="BH150" s="12"/>
      <c r="CI150" s="12"/>
      <c r="DJ150" s="12"/>
    </row>
    <row r="151" spans="1:114" ht="15.75" customHeight="1" x14ac:dyDescent="0.15">
      <c r="A151" s="12"/>
      <c r="B151" s="12"/>
      <c r="C151" s="12"/>
      <c r="D151" s="12"/>
      <c r="E151" s="12"/>
      <c r="F151" s="12"/>
      <c r="AG151" s="12"/>
      <c r="BH151" s="12"/>
      <c r="CI151" s="12"/>
      <c r="DJ151" s="12"/>
    </row>
    <row r="152" spans="1:114" ht="15.75" customHeight="1" x14ac:dyDescent="0.15">
      <c r="A152" s="12"/>
      <c r="B152" s="12"/>
      <c r="C152" s="12"/>
      <c r="D152" s="12"/>
      <c r="E152" s="12"/>
      <c r="F152" s="12"/>
      <c r="AG152" s="12"/>
      <c r="BH152" s="12"/>
      <c r="CI152" s="12"/>
      <c r="DJ152" s="12"/>
    </row>
    <row r="153" spans="1:114" ht="15.75" customHeight="1" x14ac:dyDescent="0.15">
      <c r="A153" s="12"/>
      <c r="B153" s="12"/>
      <c r="C153" s="12"/>
      <c r="D153" s="12"/>
      <c r="E153" s="12"/>
      <c r="F153" s="12"/>
      <c r="AG153" s="12"/>
      <c r="BH153" s="12"/>
      <c r="CI153" s="12"/>
      <c r="DJ153" s="12"/>
    </row>
    <row r="154" spans="1:114" ht="15.75" customHeight="1" x14ac:dyDescent="0.15">
      <c r="A154" s="12"/>
      <c r="B154" s="12"/>
      <c r="C154" s="12"/>
      <c r="D154" s="12"/>
      <c r="E154" s="12"/>
      <c r="F154" s="12"/>
      <c r="AG154" s="12"/>
      <c r="BH154" s="12"/>
      <c r="CI154" s="12"/>
      <c r="DJ154" s="12"/>
    </row>
    <row r="155" spans="1:114" ht="15.75" customHeight="1" x14ac:dyDescent="0.15">
      <c r="A155" s="12"/>
      <c r="B155" s="12"/>
      <c r="C155" s="12"/>
      <c r="D155" s="12"/>
      <c r="E155" s="12"/>
      <c r="F155" s="12"/>
      <c r="AG155" s="12"/>
      <c r="BH155" s="12"/>
      <c r="CI155" s="12"/>
      <c r="DJ155" s="12"/>
    </row>
    <row r="156" spans="1:114" ht="15.75" customHeight="1" x14ac:dyDescent="0.15">
      <c r="A156" s="38"/>
      <c r="B156" s="38"/>
      <c r="C156" s="38"/>
      <c r="D156" s="38"/>
      <c r="E156" s="38"/>
      <c r="F156" s="38"/>
      <c r="AG156" s="2"/>
      <c r="BH156" s="2"/>
      <c r="CI156" s="2"/>
      <c r="DJ156" s="2"/>
    </row>
    <row r="157" spans="1:114" ht="15.75" customHeight="1" x14ac:dyDescent="0.15">
      <c r="A157" s="187"/>
      <c r="B157" s="187"/>
      <c r="C157" s="187"/>
      <c r="D157" s="187"/>
      <c r="E157" s="187"/>
      <c r="F157" s="187"/>
      <c r="AG157" s="12"/>
      <c r="BH157" s="12"/>
      <c r="CI157" s="12"/>
      <c r="DJ157" s="12"/>
    </row>
    <row r="158" spans="1:114" ht="15.75" customHeight="1" x14ac:dyDescent="0.15">
      <c r="A158" s="191"/>
      <c r="B158" s="191"/>
      <c r="C158" s="191"/>
      <c r="D158" s="191"/>
      <c r="E158" s="191"/>
      <c r="F158" s="191"/>
      <c r="AG158" s="193"/>
      <c r="BH158" s="193"/>
      <c r="CI158" s="193"/>
      <c r="DJ158" s="193"/>
    </row>
    <row r="159" spans="1:114" ht="15.75" customHeight="1" x14ac:dyDescent="0.2">
      <c r="A159" s="196"/>
      <c r="B159" s="196"/>
      <c r="C159" s="196"/>
      <c r="D159" s="196"/>
      <c r="E159" s="196"/>
      <c r="F159" s="196"/>
      <c r="AG159" s="200"/>
      <c r="BH159" s="200"/>
      <c r="CI159" s="200"/>
      <c r="DJ159" s="200"/>
    </row>
    <row r="160" spans="1:114" ht="15.75" customHeight="1" x14ac:dyDescent="0.2">
      <c r="A160" s="196"/>
      <c r="B160" s="196"/>
      <c r="C160" s="196"/>
      <c r="D160" s="196"/>
      <c r="E160" s="196"/>
      <c r="F160" s="196"/>
      <c r="AG160" s="200"/>
      <c r="BH160" s="200"/>
      <c r="CI160" s="200"/>
      <c r="DJ160" s="200"/>
    </row>
    <row r="161" spans="1:114" ht="15.75" customHeight="1" x14ac:dyDescent="0.2">
      <c r="A161" s="196"/>
      <c r="B161" s="196"/>
      <c r="C161" s="196"/>
      <c r="D161" s="196"/>
      <c r="E161" s="196"/>
      <c r="F161" s="196"/>
      <c r="AG161" s="200"/>
      <c r="BH161" s="200"/>
      <c r="CI161" s="200"/>
      <c r="DJ161" s="200"/>
    </row>
    <row r="162" spans="1:114" ht="15.75" customHeight="1" x14ac:dyDescent="0.2">
      <c r="A162" s="196"/>
      <c r="B162" s="196"/>
      <c r="C162" s="196"/>
      <c r="D162" s="196"/>
      <c r="E162" s="196"/>
      <c r="F162" s="196"/>
      <c r="AG162" s="200"/>
      <c r="BH162" s="200"/>
      <c r="CI162" s="200"/>
      <c r="DJ162" s="200"/>
    </row>
    <row r="163" spans="1:114" ht="15.75" customHeight="1" x14ac:dyDescent="0.2">
      <c r="A163" s="196"/>
      <c r="B163" s="196"/>
      <c r="C163" s="196"/>
      <c r="D163" s="196"/>
      <c r="E163" s="196"/>
      <c r="F163" s="196"/>
      <c r="AG163" s="200"/>
      <c r="BH163" s="200"/>
      <c r="CI163" s="200"/>
      <c r="DJ163" s="200"/>
    </row>
    <row r="164" spans="1:114" ht="15.75" customHeight="1" x14ac:dyDescent="0.2">
      <c r="A164" s="196"/>
      <c r="B164" s="196"/>
      <c r="C164" s="196"/>
      <c r="D164" s="196"/>
      <c r="E164" s="196"/>
      <c r="F164" s="196"/>
      <c r="AG164" s="200"/>
      <c r="BH164" s="200"/>
      <c r="CI164" s="200"/>
      <c r="DJ164" s="200"/>
    </row>
    <row r="165" spans="1:114" ht="15.75" customHeight="1" x14ac:dyDescent="0.2">
      <c r="A165" s="196"/>
      <c r="B165" s="196"/>
      <c r="C165" s="196"/>
      <c r="D165" s="196"/>
      <c r="E165" s="196"/>
      <c r="F165" s="196"/>
      <c r="AG165" s="200"/>
      <c r="BH165" s="200"/>
      <c r="CI165" s="200"/>
      <c r="DJ165" s="200"/>
    </row>
    <row r="166" spans="1:114" ht="15.75" customHeight="1" x14ac:dyDescent="0.2">
      <c r="A166" s="196"/>
      <c r="B166" s="196"/>
      <c r="C166" s="196"/>
      <c r="D166" s="196"/>
      <c r="E166" s="196"/>
      <c r="F166" s="196"/>
      <c r="AG166" s="200"/>
      <c r="BH166" s="200"/>
      <c r="CI166" s="200"/>
      <c r="DJ166" s="200"/>
    </row>
    <row r="167" spans="1:114" ht="15.75" customHeight="1" x14ac:dyDescent="0.2">
      <c r="A167" s="196"/>
      <c r="B167" s="196"/>
      <c r="C167" s="196"/>
      <c r="D167" s="196"/>
      <c r="E167" s="196"/>
      <c r="F167" s="196"/>
      <c r="AG167" s="200"/>
      <c r="BH167" s="200"/>
      <c r="CI167" s="200"/>
      <c r="DJ167" s="200"/>
    </row>
    <row r="168" spans="1:114" ht="15.75" customHeight="1" x14ac:dyDescent="0.2">
      <c r="A168" s="196"/>
      <c r="B168" s="196"/>
      <c r="C168" s="196"/>
      <c r="D168" s="196"/>
      <c r="E168" s="196"/>
      <c r="F168" s="196"/>
      <c r="AG168" s="200"/>
      <c r="BH168" s="200"/>
      <c r="CI168" s="200"/>
      <c r="DJ168" s="200"/>
    </row>
    <row r="169" spans="1:114" ht="15.75" customHeight="1" x14ac:dyDescent="0.2">
      <c r="A169" s="196"/>
      <c r="B169" s="196"/>
      <c r="C169" s="196"/>
      <c r="D169" s="196"/>
      <c r="E169" s="196"/>
      <c r="F169" s="196"/>
      <c r="AG169" s="200"/>
      <c r="BH169" s="200"/>
      <c r="CI169" s="200"/>
      <c r="DJ169" s="200"/>
    </row>
    <row r="170" spans="1:114" ht="15.75" customHeight="1" x14ac:dyDescent="0.2">
      <c r="A170" s="196"/>
      <c r="B170" s="196"/>
      <c r="C170" s="196"/>
      <c r="D170" s="196"/>
      <c r="E170" s="196"/>
      <c r="F170" s="196"/>
      <c r="AG170" s="200"/>
      <c r="BH170" s="200"/>
      <c r="CI170" s="200"/>
      <c r="DJ170" s="200"/>
    </row>
    <row r="171" spans="1:114" ht="15.75" customHeight="1" x14ac:dyDescent="0.2">
      <c r="A171" s="196"/>
      <c r="B171" s="196"/>
      <c r="C171" s="196"/>
      <c r="D171" s="196"/>
      <c r="E171" s="196"/>
      <c r="F171" s="196"/>
      <c r="AG171" s="200"/>
      <c r="BH171" s="200"/>
      <c r="CI171" s="200"/>
      <c r="DJ171" s="200"/>
    </row>
    <row r="172" spans="1:114" ht="15.75" customHeight="1" x14ac:dyDescent="0.2">
      <c r="A172" s="196"/>
      <c r="B172" s="196"/>
      <c r="C172" s="196"/>
      <c r="D172" s="196"/>
      <c r="E172" s="196"/>
      <c r="F172" s="196"/>
      <c r="AG172" s="200"/>
      <c r="BH172" s="200"/>
      <c r="CI172" s="200"/>
      <c r="DJ172" s="200"/>
    </row>
    <row r="173" spans="1:114" ht="15.75" customHeight="1" x14ac:dyDescent="0.15">
      <c r="A173" s="196"/>
      <c r="B173" s="196"/>
      <c r="C173" s="196"/>
      <c r="D173" s="196"/>
      <c r="E173" s="196"/>
      <c r="F173" s="196"/>
      <c r="AG173" s="12"/>
      <c r="BH173" s="12"/>
      <c r="CI173" s="12"/>
      <c r="DJ173" s="12"/>
    </row>
    <row r="174" spans="1:114" ht="15.75" customHeight="1" x14ac:dyDescent="0.2">
      <c r="A174" s="196"/>
      <c r="B174" s="196"/>
      <c r="C174" s="196"/>
      <c r="D174" s="196"/>
      <c r="E174" s="196"/>
      <c r="F174" s="196"/>
      <c r="AG174" s="200"/>
      <c r="BH174" s="200"/>
      <c r="CI174" s="200"/>
      <c r="DJ174" s="200"/>
    </row>
    <row r="175" spans="1:114" ht="15.75" customHeight="1" x14ac:dyDescent="0.2">
      <c r="A175" s="196"/>
      <c r="B175" s="196"/>
      <c r="C175" s="196"/>
      <c r="D175" s="196"/>
      <c r="E175" s="196"/>
      <c r="F175" s="196"/>
      <c r="AG175" s="200"/>
      <c r="BH175" s="200"/>
      <c r="CI175" s="200"/>
      <c r="DJ175" s="200"/>
    </row>
    <row r="176" spans="1:114" ht="15.75" customHeight="1" x14ac:dyDescent="0.2">
      <c r="A176" s="196"/>
      <c r="B176" s="196"/>
      <c r="C176" s="196"/>
      <c r="D176" s="196"/>
      <c r="E176" s="196"/>
      <c r="F176" s="196"/>
      <c r="AG176" s="200"/>
      <c r="BH176" s="200"/>
      <c r="CI176" s="200"/>
      <c r="DJ176" s="200"/>
    </row>
    <row r="177" spans="1:114" ht="15.75" customHeight="1" x14ac:dyDescent="0.2">
      <c r="A177" s="196"/>
      <c r="B177" s="196"/>
      <c r="C177" s="196"/>
      <c r="D177" s="196"/>
      <c r="E177" s="196"/>
      <c r="F177" s="196"/>
      <c r="AG177" s="200"/>
      <c r="BH177" s="200"/>
      <c r="CI177" s="200"/>
      <c r="DJ177" s="200"/>
    </row>
    <row r="178" spans="1:114" ht="15.75" customHeight="1" x14ac:dyDescent="0.2">
      <c r="A178" s="196"/>
      <c r="B178" s="196"/>
      <c r="C178" s="196"/>
      <c r="D178" s="196"/>
      <c r="E178" s="196"/>
      <c r="F178" s="196"/>
      <c r="AG178" s="200"/>
      <c r="BH178" s="200"/>
      <c r="CI178" s="200"/>
      <c r="DJ178" s="200"/>
    </row>
    <row r="179" spans="1:114" ht="15.75" customHeight="1" x14ac:dyDescent="0.2">
      <c r="A179" s="196"/>
      <c r="B179" s="196"/>
      <c r="C179" s="196"/>
      <c r="D179" s="196"/>
      <c r="E179" s="196"/>
      <c r="F179" s="196"/>
      <c r="AG179" s="200"/>
      <c r="BH179" s="200"/>
      <c r="CI179" s="200"/>
      <c r="DJ179" s="200"/>
    </row>
    <row r="180" spans="1:114" ht="15.75" customHeight="1" x14ac:dyDescent="0.2">
      <c r="A180" s="196"/>
      <c r="B180" s="196"/>
      <c r="C180" s="196"/>
      <c r="D180" s="196"/>
      <c r="E180" s="196"/>
      <c r="F180" s="196"/>
      <c r="AG180" s="200"/>
      <c r="BH180" s="200"/>
      <c r="CI180" s="200"/>
      <c r="DJ180" s="200"/>
    </row>
    <row r="181" spans="1:114" ht="15.75" customHeight="1" x14ac:dyDescent="0.2">
      <c r="A181" s="196"/>
      <c r="B181" s="196"/>
      <c r="C181" s="196"/>
      <c r="D181" s="196"/>
      <c r="E181" s="196"/>
      <c r="F181" s="196"/>
      <c r="AG181" s="200"/>
      <c r="BH181" s="200"/>
      <c r="CI181" s="200"/>
      <c r="DJ181" s="200"/>
    </row>
    <row r="182" spans="1:114" ht="15.75" customHeight="1" x14ac:dyDescent="0.2">
      <c r="A182" s="196"/>
      <c r="B182" s="196"/>
      <c r="C182" s="196"/>
      <c r="D182" s="196"/>
      <c r="E182" s="196"/>
      <c r="F182" s="196"/>
      <c r="AG182" s="200"/>
      <c r="BH182" s="200"/>
      <c r="CI182" s="200"/>
      <c r="DJ182" s="200"/>
    </row>
    <row r="183" spans="1:114" ht="15.75" customHeight="1" x14ac:dyDescent="0.2">
      <c r="A183" s="196"/>
      <c r="B183" s="196"/>
      <c r="C183" s="196"/>
      <c r="D183" s="196"/>
      <c r="E183" s="196"/>
      <c r="F183" s="196"/>
      <c r="AG183" s="200"/>
      <c r="BH183" s="200"/>
      <c r="CI183" s="200"/>
      <c r="DJ183" s="200"/>
    </row>
    <row r="184" spans="1:114" ht="15.75" customHeight="1" x14ac:dyDescent="0.2">
      <c r="A184" s="196"/>
      <c r="B184" s="196"/>
      <c r="C184" s="196"/>
      <c r="D184" s="196"/>
      <c r="E184" s="196"/>
      <c r="F184" s="196"/>
      <c r="AG184" s="200"/>
      <c r="BH184" s="200"/>
      <c r="CI184" s="200"/>
      <c r="DJ184" s="200"/>
    </row>
    <row r="185" spans="1:114" ht="15.75" customHeight="1" x14ac:dyDescent="0.2">
      <c r="A185" s="196"/>
      <c r="B185" s="196"/>
      <c r="C185" s="196"/>
      <c r="D185" s="196"/>
      <c r="E185" s="196"/>
      <c r="F185" s="196"/>
      <c r="AG185" s="200"/>
      <c r="BH185" s="200"/>
      <c r="CI185" s="200"/>
      <c r="DJ185" s="200"/>
    </row>
    <row r="186" spans="1:114" ht="15.75" customHeight="1" x14ac:dyDescent="0.2">
      <c r="A186" s="196"/>
      <c r="B186" s="196"/>
      <c r="C186" s="196"/>
      <c r="D186" s="196"/>
      <c r="E186" s="196"/>
      <c r="F186" s="196"/>
      <c r="AG186" s="200"/>
      <c r="BH186" s="200"/>
      <c r="CI186" s="200"/>
      <c r="DJ186" s="200"/>
    </row>
    <row r="187" spans="1:114" ht="15.75" customHeight="1" x14ac:dyDescent="0.2">
      <c r="A187" s="196"/>
      <c r="B187" s="196"/>
      <c r="C187" s="196"/>
      <c r="D187" s="196"/>
      <c r="E187" s="196"/>
      <c r="F187" s="196"/>
      <c r="AG187" s="200"/>
      <c r="BH187" s="200"/>
      <c r="CI187" s="200"/>
      <c r="DJ187" s="200"/>
    </row>
    <row r="188" spans="1:114" ht="15.75" customHeight="1" x14ac:dyDescent="0.15">
      <c r="A188" s="196"/>
      <c r="B188" s="196"/>
      <c r="C188" s="196"/>
      <c r="D188" s="196"/>
      <c r="E188" s="196"/>
      <c r="F188" s="196"/>
      <c r="AG188" s="12"/>
      <c r="BH188" s="12"/>
      <c r="CI188" s="12"/>
      <c r="DJ188" s="12"/>
    </row>
    <row r="189" spans="1:114" ht="15.75" customHeight="1" x14ac:dyDescent="0.2">
      <c r="A189" s="196"/>
      <c r="B189" s="196"/>
      <c r="C189" s="196"/>
      <c r="D189" s="196"/>
      <c r="E189" s="196"/>
      <c r="F189" s="196"/>
      <c r="AG189" s="200"/>
      <c r="BH189" s="200"/>
      <c r="CI189" s="200"/>
      <c r="DJ189" s="200"/>
    </row>
    <row r="190" spans="1:114" ht="15.75" customHeight="1" x14ac:dyDescent="0.2">
      <c r="A190" s="196"/>
      <c r="B190" s="196"/>
      <c r="C190" s="196"/>
      <c r="D190" s="196"/>
      <c r="E190" s="196"/>
      <c r="F190" s="196"/>
      <c r="AG190" s="200"/>
      <c r="BH190" s="200"/>
      <c r="CI190" s="200"/>
      <c r="DJ190" s="200"/>
    </row>
    <row r="191" spans="1:114" ht="15.75" customHeight="1" x14ac:dyDescent="0.2">
      <c r="A191" s="196"/>
      <c r="B191" s="196"/>
      <c r="C191" s="196"/>
      <c r="D191" s="196"/>
      <c r="E191" s="196"/>
      <c r="F191" s="196"/>
      <c r="AG191" s="200"/>
      <c r="BH191" s="200"/>
      <c r="CI191" s="200"/>
      <c r="DJ191" s="200"/>
    </row>
    <row r="192" spans="1:114" ht="15.75" customHeight="1" x14ac:dyDescent="0.2">
      <c r="A192" s="196"/>
      <c r="B192" s="196"/>
      <c r="C192" s="196"/>
      <c r="D192" s="196"/>
      <c r="E192" s="196"/>
      <c r="F192" s="196"/>
      <c r="AG192" s="200"/>
      <c r="BH192" s="200"/>
      <c r="CI192" s="200"/>
      <c r="DJ192" s="200"/>
    </row>
    <row r="193" spans="1:114" ht="15.75" customHeight="1" x14ac:dyDescent="0.2">
      <c r="A193" s="196"/>
      <c r="B193" s="196"/>
      <c r="C193" s="196"/>
      <c r="D193" s="196"/>
      <c r="E193" s="196"/>
      <c r="F193" s="196"/>
      <c r="AG193" s="200"/>
      <c r="BH193" s="200"/>
      <c r="CI193" s="200"/>
      <c r="DJ193" s="200"/>
    </row>
    <row r="194" spans="1:114" ht="15.75" customHeight="1" x14ac:dyDescent="0.2">
      <c r="A194" s="196"/>
      <c r="B194" s="196"/>
      <c r="C194" s="196"/>
      <c r="D194" s="196"/>
      <c r="E194" s="196"/>
      <c r="F194" s="196"/>
      <c r="AG194" s="200"/>
      <c r="BH194" s="200"/>
      <c r="CI194" s="200"/>
      <c r="DJ194" s="200"/>
    </row>
    <row r="195" spans="1:114" ht="15.75" customHeight="1" x14ac:dyDescent="0.2">
      <c r="A195" s="196"/>
      <c r="B195" s="196"/>
      <c r="C195" s="196"/>
      <c r="D195" s="196"/>
      <c r="E195" s="196"/>
      <c r="F195" s="196"/>
      <c r="AG195" s="200"/>
      <c r="BH195" s="200"/>
      <c r="CI195" s="200"/>
      <c r="DJ195" s="200"/>
    </row>
    <row r="196" spans="1:114" ht="15.75" customHeight="1" x14ac:dyDescent="0.15">
      <c r="A196" s="187"/>
      <c r="B196" s="187"/>
      <c r="C196" s="187"/>
      <c r="D196" s="187"/>
      <c r="E196" s="187"/>
      <c r="F196" s="187"/>
      <c r="AG196" s="12"/>
      <c r="BH196" s="12"/>
      <c r="CI196" s="12"/>
      <c r="DJ196" s="12"/>
    </row>
    <row r="197" spans="1:114" ht="15.75" customHeight="1" x14ac:dyDescent="0.15">
      <c r="A197" s="191"/>
      <c r="B197" s="191"/>
      <c r="C197" s="191"/>
      <c r="D197" s="191"/>
      <c r="E197" s="191"/>
      <c r="F197" s="191"/>
      <c r="AG197" s="193"/>
      <c r="BH197" s="193"/>
      <c r="CI197" s="193"/>
      <c r="DJ197" s="193"/>
    </row>
    <row r="198" spans="1:114" ht="15.75" customHeight="1" x14ac:dyDescent="0.2">
      <c r="A198" s="196"/>
      <c r="B198" s="196"/>
      <c r="C198" s="196"/>
      <c r="D198" s="196"/>
      <c r="E198" s="196"/>
      <c r="F198" s="196"/>
      <c r="AG198" s="200"/>
      <c r="BH198" s="200"/>
      <c r="CI198" s="200"/>
      <c r="DJ198" s="200"/>
    </row>
    <row r="199" spans="1:114" ht="15.75" customHeight="1" x14ac:dyDescent="0.2">
      <c r="A199" s="196"/>
      <c r="B199" s="196"/>
      <c r="C199" s="196"/>
      <c r="D199" s="196"/>
      <c r="E199" s="196"/>
      <c r="F199" s="196"/>
      <c r="AG199" s="200"/>
      <c r="BH199" s="200"/>
      <c r="CI199" s="200"/>
      <c r="DJ199" s="200"/>
    </row>
    <row r="200" spans="1:114" ht="15.75" customHeight="1" x14ac:dyDescent="0.2">
      <c r="A200" s="196"/>
      <c r="B200" s="196"/>
      <c r="C200" s="196"/>
      <c r="D200" s="196"/>
      <c r="E200" s="196"/>
      <c r="F200" s="196"/>
      <c r="AG200" s="200"/>
      <c r="BH200" s="200"/>
      <c r="CI200" s="200"/>
      <c r="DJ200" s="200"/>
    </row>
    <row r="201" spans="1:114" ht="15.75" customHeight="1" x14ac:dyDescent="0.2">
      <c r="A201" s="196"/>
      <c r="B201" s="196"/>
      <c r="C201" s="196"/>
      <c r="D201" s="196"/>
      <c r="E201" s="196"/>
      <c r="F201" s="196"/>
      <c r="AG201" s="200"/>
      <c r="BH201" s="200"/>
      <c r="CI201" s="200"/>
      <c r="DJ201" s="200"/>
    </row>
    <row r="202" spans="1:114" ht="15.75" customHeight="1" x14ac:dyDescent="0.2">
      <c r="A202" s="196"/>
      <c r="B202" s="196"/>
      <c r="C202" s="196"/>
      <c r="D202" s="196"/>
      <c r="E202" s="196"/>
      <c r="F202" s="196"/>
      <c r="AG202" s="200"/>
      <c r="BH202" s="200"/>
      <c r="CI202" s="200"/>
      <c r="DJ202" s="200"/>
    </row>
    <row r="203" spans="1:114" ht="15.75" customHeight="1" x14ac:dyDescent="0.15">
      <c r="A203" s="196"/>
      <c r="B203" s="196"/>
      <c r="C203" s="196"/>
      <c r="D203" s="196"/>
      <c r="E203" s="196"/>
      <c r="F203" s="196"/>
      <c r="AG203" s="12"/>
      <c r="BH203" s="12"/>
      <c r="CI203" s="12"/>
      <c r="DJ203" s="12"/>
    </row>
    <row r="204" spans="1:114" ht="15.75" customHeight="1" x14ac:dyDescent="0.2">
      <c r="A204" s="196"/>
      <c r="B204" s="196"/>
      <c r="C204" s="196"/>
      <c r="D204" s="196"/>
      <c r="E204" s="196"/>
      <c r="F204" s="196"/>
      <c r="AG204" s="200"/>
      <c r="BH204" s="200"/>
      <c r="CI204" s="200"/>
      <c r="DJ204" s="200"/>
    </row>
    <row r="205" spans="1:114" ht="15.75" customHeight="1" x14ac:dyDescent="0.2">
      <c r="A205" s="196"/>
      <c r="B205" s="196"/>
      <c r="C205" s="196"/>
      <c r="D205" s="196"/>
      <c r="E205" s="196"/>
      <c r="F205" s="196"/>
      <c r="AG205" s="200"/>
      <c r="BH205" s="200"/>
      <c r="CI205" s="200"/>
      <c r="DJ205" s="200"/>
    </row>
    <row r="206" spans="1:114" ht="15.75" customHeight="1" x14ac:dyDescent="0.2">
      <c r="A206" s="196"/>
      <c r="B206" s="196"/>
      <c r="C206" s="196"/>
      <c r="D206" s="196"/>
      <c r="E206" s="196"/>
      <c r="F206" s="196"/>
      <c r="AG206" s="200"/>
      <c r="BH206" s="200"/>
      <c r="CI206" s="200"/>
      <c r="DJ206" s="200"/>
    </row>
    <row r="207" spans="1:114" ht="15.75" customHeight="1" x14ac:dyDescent="0.2">
      <c r="A207" s="196"/>
      <c r="B207" s="196"/>
      <c r="C207" s="196"/>
      <c r="D207" s="196"/>
      <c r="E207" s="196"/>
      <c r="F207" s="196"/>
      <c r="AG207" s="200"/>
      <c r="BH207" s="200"/>
      <c r="CI207" s="200"/>
      <c r="DJ207" s="200"/>
    </row>
    <row r="208" spans="1:114" ht="15.75" customHeight="1" x14ac:dyDescent="0.2">
      <c r="A208" s="196"/>
      <c r="B208" s="196"/>
      <c r="C208" s="196"/>
      <c r="D208" s="196"/>
      <c r="E208" s="196"/>
      <c r="F208" s="196"/>
      <c r="AG208" s="200"/>
      <c r="BH208" s="200"/>
      <c r="CI208" s="200"/>
      <c r="DJ208" s="200"/>
    </row>
    <row r="209" spans="1:114" ht="15.75" customHeight="1" x14ac:dyDescent="0.2">
      <c r="A209" s="196"/>
      <c r="B209" s="196"/>
      <c r="C209" s="196"/>
      <c r="D209" s="196"/>
      <c r="E209" s="196"/>
      <c r="F209" s="196"/>
      <c r="AG209" s="200"/>
      <c r="BH209" s="200"/>
      <c r="CI209" s="200"/>
      <c r="DJ209" s="200"/>
    </row>
    <row r="210" spans="1:114" ht="15.75" customHeight="1" x14ac:dyDescent="0.2">
      <c r="A210" s="196"/>
      <c r="B210" s="196"/>
      <c r="C210" s="196"/>
      <c r="D210" s="196"/>
      <c r="E210" s="196"/>
      <c r="F210" s="196"/>
      <c r="AG210" s="200"/>
      <c r="BH210" s="200"/>
      <c r="CI210" s="200"/>
      <c r="DJ210" s="200"/>
    </row>
    <row r="211" spans="1:114" ht="15.75" customHeight="1" x14ac:dyDescent="0.2">
      <c r="A211" s="196"/>
      <c r="B211" s="196"/>
      <c r="C211" s="196"/>
      <c r="D211" s="196"/>
      <c r="E211" s="196"/>
      <c r="F211" s="196"/>
      <c r="AG211" s="200"/>
      <c r="BH211" s="200"/>
      <c r="CI211" s="200"/>
      <c r="DJ211" s="200"/>
    </row>
    <row r="212" spans="1:114" ht="15.75" customHeight="1" x14ac:dyDescent="0.2">
      <c r="A212" s="196"/>
      <c r="B212" s="196"/>
      <c r="C212" s="196"/>
      <c r="D212" s="196"/>
      <c r="E212" s="196"/>
      <c r="F212" s="196"/>
      <c r="AG212" s="200"/>
      <c r="BH212" s="200"/>
      <c r="CI212" s="200"/>
      <c r="DJ212" s="200"/>
    </row>
    <row r="213" spans="1:114" ht="15.75" customHeight="1" x14ac:dyDescent="0.2">
      <c r="A213" s="196"/>
      <c r="B213" s="196"/>
      <c r="C213" s="196"/>
      <c r="D213" s="196"/>
      <c r="E213" s="196"/>
      <c r="F213" s="196"/>
      <c r="AG213" s="200"/>
      <c r="BH213" s="200"/>
      <c r="CI213" s="200"/>
      <c r="DJ213" s="200"/>
    </row>
    <row r="214" spans="1:114" ht="15.75" customHeight="1" x14ac:dyDescent="0.2">
      <c r="A214" s="196"/>
      <c r="B214" s="196"/>
      <c r="C214" s="196"/>
      <c r="D214" s="196"/>
      <c r="E214" s="196"/>
      <c r="F214" s="196"/>
      <c r="AG214" s="200"/>
      <c r="BH214" s="200"/>
      <c r="CI214" s="200"/>
      <c r="DJ214" s="200"/>
    </row>
    <row r="215" spans="1:114" ht="15.75" customHeight="1" x14ac:dyDescent="0.2">
      <c r="A215" s="196"/>
      <c r="B215" s="196"/>
      <c r="C215" s="196"/>
      <c r="D215" s="196"/>
      <c r="E215" s="196"/>
      <c r="F215" s="196"/>
      <c r="AG215" s="200"/>
      <c r="BH215" s="200"/>
      <c r="CI215" s="200"/>
      <c r="DJ215" s="200"/>
    </row>
    <row r="216" spans="1:114" ht="15.75" customHeight="1" x14ac:dyDescent="0.2">
      <c r="A216" s="196"/>
      <c r="B216" s="196"/>
      <c r="C216" s="196"/>
      <c r="D216" s="196"/>
      <c r="E216" s="196"/>
      <c r="F216" s="196"/>
      <c r="AG216" s="200"/>
      <c r="BH216" s="200"/>
      <c r="CI216" s="200"/>
      <c r="DJ216" s="200"/>
    </row>
    <row r="217" spans="1:114" ht="15.75" customHeight="1" x14ac:dyDescent="0.2">
      <c r="A217" s="196"/>
      <c r="B217" s="196"/>
      <c r="C217" s="196"/>
      <c r="D217" s="196"/>
      <c r="E217" s="196"/>
      <c r="F217" s="196"/>
      <c r="AG217" s="200"/>
      <c r="BH217" s="200"/>
      <c r="CI217" s="200"/>
      <c r="DJ217" s="200"/>
    </row>
    <row r="218" spans="1:114" ht="15.75" customHeight="1" x14ac:dyDescent="0.2">
      <c r="A218" s="196"/>
      <c r="B218" s="196"/>
      <c r="C218" s="196"/>
      <c r="D218" s="196"/>
      <c r="E218" s="196"/>
      <c r="F218" s="196"/>
      <c r="AG218" s="200"/>
      <c r="BH218" s="200"/>
      <c r="CI218" s="200"/>
      <c r="DJ218" s="200"/>
    </row>
    <row r="219" spans="1:114" ht="15.75" customHeight="1" x14ac:dyDescent="0.2">
      <c r="A219" s="196"/>
      <c r="B219" s="196"/>
      <c r="C219" s="196"/>
      <c r="D219" s="196"/>
      <c r="E219" s="196"/>
      <c r="F219" s="196"/>
      <c r="AG219" s="200"/>
      <c r="BH219" s="200"/>
      <c r="CI219" s="200"/>
      <c r="DJ219" s="200"/>
    </row>
    <row r="220" spans="1:114" ht="15.75" customHeight="1" x14ac:dyDescent="0.2">
      <c r="A220" s="196"/>
      <c r="B220" s="196"/>
      <c r="C220" s="196"/>
      <c r="D220" s="196"/>
      <c r="E220" s="196"/>
      <c r="F220" s="196"/>
      <c r="AG220" s="200"/>
      <c r="BH220" s="200"/>
      <c r="CI220" s="200"/>
      <c r="DJ220" s="200"/>
    </row>
    <row r="221" spans="1:114" ht="15.75" customHeight="1" x14ac:dyDescent="0.2">
      <c r="A221" s="196"/>
      <c r="B221" s="196"/>
      <c r="C221" s="196"/>
      <c r="D221" s="196"/>
      <c r="E221" s="196"/>
      <c r="F221" s="196"/>
      <c r="AG221" s="200"/>
      <c r="BH221" s="200"/>
      <c r="CI221" s="200"/>
      <c r="DJ221" s="200"/>
    </row>
    <row r="222" spans="1:114" ht="15.75" customHeight="1" x14ac:dyDescent="0.2">
      <c r="A222" s="196"/>
      <c r="B222" s="196"/>
      <c r="C222" s="196"/>
      <c r="D222" s="196"/>
      <c r="E222" s="196"/>
      <c r="F222" s="196"/>
      <c r="AG222" s="200"/>
      <c r="BH222" s="200"/>
      <c r="CI222" s="200"/>
      <c r="DJ222" s="200"/>
    </row>
    <row r="223" spans="1:114" ht="15.75" customHeight="1" x14ac:dyDescent="0.2">
      <c r="A223" s="196"/>
      <c r="B223" s="196"/>
      <c r="C223" s="196"/>
      <c r="D223" s="196"/>
      <c r="E223" s="196"/>
      <c r="F223" s="196"/>
      <c r="AG223" s="200"/>
      <c r="BH223" s="200"/>
      <c r="CI223" s="200"/>
      <c r="DJ223" s="200"/>
    </row>
    <row r="224" spans="1:114" ht="15.75" customHeight="1" x14ac:dyDescent="0.2">
      <c r="A224" s="196"/>
      <c r="B224" s="196"/>
      <c r="C224" s="196"/>
      <c r="D224" s="196"/>
      <c r="E224" s="196"/>
      <c r="F224" s="196"/>
      <c r="AG224" s="200"/>
      <c r="BH224" s="200"/>
      <c r="CI224" s="200"/>
      <c r="DJ224" s="200"/>
    </row>
    <row r="225" spans="1:114" ht="15.75" customHeight="1" x14ac:dyDescent="0.2">
      <c r="A225" s="196"/>
      <c r="B225" s="196"/>
      <c r="C225" s="196"/>
      <c r="D225" s="196"/>
      <c r="E225" s="196"/>
      <c r="F225" s="196"/>
      <c r="AG225" s="200"/>
      <c r="BH225" s="200"/>
      <c r="CI225" s="200"/>
      <c r="DJ225" s="200"/>
    </row>
    <row r="226" spans="1:114" ht="15.75" customHeight="1" x14ac:dyDescent="0.2">
      <c r="A226" s="196"/>
      <c r="B226" s="196"/>
      <c r="C226" s="196"/>
      <c r="D226" s="196"/>
      <c r="E226" s="196"/>
      <c r="F226" s="196"/>
      <c r="AG226" s="200"/>
      <c r="BH226" s="200"/>
      <c r="CI226" s="200"/>
      <c r="DJ226" s="200"/>
    </row>
    <row r="227" spans="1:114" ht="15.75" customHeight="1" x14ac:dyDescent="0.2">
      <c r="A227" s="196"/>
      <c r="B227" s="196"/>
      <c r="C227" s="196"/>
      <c r="D227" s="196"/>
      <c r="E227" s="196"/>
      <c r="F227" s="196"/>
      <c r="AG227" s="200"/>
      <c r="BH227" s="200"/>
      <c r="CI227" s="200"/>
      <c r="DJ227" s="200"/>
    </row>
    <row r="228" spans="1:114" ht="15.75" customHeight="1" x14ac:dyDescent="0.2">
      <c r="A228" s="196"/>
      <c r="B228" s="196"/>
      <c r="C228" s="196"/>
      <c r="D228" s="196"/>
      <c r="E228" s="196"/>
      <c r="F228" s="196"/>
      <c r="AG228" s="200"/>
      <c r="BH228" s="200"/>
      <c r="CI228" s="200"/>
      <c r="DJ228" s="200"/>
    </row>
    <row r="229" spans="1:114" ht="15.75" customHeight="1" x14ac:dyDescent="0.2">
      <c r="A229" s="196"/>
      <c r="B229" s="196"/>
      <c r="C229" s="196"/>
      <c r="D229" s="196"/>
      <c r="E229" s="196"/>
      <c r="F229" s="196"/>
      <c r="AG229" s="200"/>
      <c r="BH229" s="200"/>
      <c r="CI229" s="200"/>
      <c r="DJ229" s="200"/>
    </row>
    <row r="230" spans="1:114" ht="15.75" customHeight="1" x14ac:dyDescent="0.2">
      <c r="A230" s="196"/>
      <c r="B230" s="196"/>
      <c r="C230" s="196"/>
      <c r="D230" s="196"/>
      <c r="E230" s="196"/>
      <c r="F230" s="196"/>
      <c r="AG230" s="200"/>
      <c r="BH230" s="200"/>
      <c r="CI230" s="200"/>
      <c r="DJ230" s="200"/>
    </row>
    <row r="231" spans="1:114" ht="15.75" customHeight="1" x14ac:dyDescent="0.2">
      <c r="A231" s="196"/>
      <c r="B231" s="196"/>
      <c r="C231" s="196"/>
      <c r="D231" s="196"/>
      <c r="E231" s="196"/>
      <c r="F231" s="196"/>
      <c r="AG231" s="200"/>
      <c r="BH231" s="200"/>
      <c r="CI231" s="200"/>
      <c r="DJ231" s="200"/>
    </row>
    <row r="232" spans="1:114" ht="15.75" customHeight="1" x14ac:dyDescent="0.2">
      <c r="A232" s="196"/>
      <c r="B232" s="196"/>
      <c r="C232" s="196"/>
      <c r="D232" s="196"/>
      <c r="E232" s="196"/>
      <c r="F232" s="196"/>
      <c r="AG232" s="200"/>
      <c r="BH232" s="200"/>
      <c r="CI232" s="200"/>
      <c r="DJ232" s="200"/>
    </row>
    <row r="233" spans="1:114" ht="15.75" customHeight="1" x14ac:dyDescent="0.2">
      <c r="A233" s="196"/>
      <c r="B233" s="196"/>
      <c r="C233" s="196"/>
      <c r="D233" s="196"/>
      <c r="E233" s="196"/>
      <c r="F233" s="196"/>
      <c r="AG233" s="200"/>
      <c r="BH233" s="200"/>
      <c r="CI233" s="200"/>
      <c r="DJ233" s="200"/>
    </row>
    <row r="234" spans="1:114" ht="15.75" customHeight="1" x14ac:dyDescent="0.2">
      <c r="A234" s="196"/>
      <c r="B234" s="196"/>
      <c r="C234" s="196"/>
      <c r="D234" s="196"/>
      <c r="E234" s="196"/>
      <c r="F234" s="196"/>
      <c r="AG234" s="200"/>
      <c r="BH234" s="200"/>
      <c r="CI234" s="200"/>
      <c r="DJ234" s="200"/>
    </row>
    <row r="235" spans="1:114" ht="15.75" customHeight="1" x14ac:dyDescent="0.15">
      <c r="A235" s="187"/>
      <c r="B235" s="187"/>
      <c r="C235" s="187"/>
      <c r="D235" s="187"/>
      <c r="E235" s="187"/>
      <c r="F235" s="187"/>
      <c r="AG235" s="12"/>
      <c r="BH235" s="12"/>
      <c r="CI235" s="12"/>
      <c r="DJ235" s="12"/>
    </row>
    <row r="236" spans="1:114" ht="15.75" customHeight="1" x14ac:dyDescent="0.15">
      <c r="A236" s="191"/>
      <c r="B236" s="191"/>
      <c r="C236" s="191"/>
      <c r="D236" s="191"/>
      <c r="E236" s="191"/>
      <c r="F236" s="191"/>
      <c r="AG236" s="193"/>
      <c r="BH236" s="193"/>
      <c r="CI236" s="193"/>
      <c r="DJ236" s="193"/>
    </row>
    <row r="237" spans="1:114" ht="15.75" customHeight="1" x14ac:dyDescent="0.2">
      <c r="A237" s="196"/>
      <c r="B237" s="196"/>
      <c r="C237" s="196"/>
      <c r="D237" s="196"/>
      <c r="E237" s="196"/>
      <c r="F237" s="196"/>
      <c r="AG237" s="200"/>
      <c r="BH237" s="200"/>
      <c r="CI237" s="200"/>
      <c r="DJ237" s="200"/>
    </row>
    <row r="238" spans="1:114" ht="15.75" customHeight="1" x14ac:dyDescent="0.2">
      <c r="A238" s="196"/>
      <c r="B238" s="196"/>
      <c r="C238" s="196"/>
      <c r="D238" s="196"/>
      <c r="E238" s="196"/>
      <c r="F238" s="196"/>
      <c r="AG238" s="200"/>
      <c r="BH238" s="200"/>
      <c r="CI238" s="200"/>
      <c r="DJ238" s="200"/>
    </row>
    <row r="239" spans="1:114" ht="15.75" customHeight="1" x14ac:dyDescent="0.2">
      <c r="A239" s="196"/>
      <c r="B239" s="196"/>
      <c r="C239" s="196"/>
      <c r="D239" s="196"/>
      <c r="E239" s="196"/>
      <c r="F239" s="196"/>
      <c r="AG239" s="200"/>
      <c r="BH239" s="200"/>
      <c r="CI239" s="200"/>
      <c r="DJ239" s="200"/>
    </row>
    <row r="240" spans="1:114" ht="15.75" customHeight="1" x14ac:dyDescent="0.2">
      <c r="A240" s="196"/>
      <c r="B240" s="196"/>
      <c r="C240" s="196"/>
      <c r="D240" s="196"/>
      <c r="E240" s="196"/>
      <c r="F240" s="196"/>
      <c r="AG240" s="200"/>
      <c r="BH240" s="200"/>
      <c r="CI240" s="200"/>
      <c r="DJ240" s="200"/>
    </row>
    <row r="241" spans="1:114" ht="15.75" customHeight="1" x14ac:dyDescent="0.2">
      <c r="A241" s="196"/>
      <c r="B241" s="196"/>
      <c r="C241" s="196"/>
      <c r="D241" s="196"/>
      <c r="E241" s="196"/>
      <c r="F241" s="196"/>
      <c r="AG241" s="200"/>
      <c r="BH241" s="200"/>
      <c r="CI241" s="200"/>
      <c r="DJ241" s="200"/>
    </row>
    <row r="242" spans="1:114" ht="15.75" customHeight="1" x14ac:dyDescent="0.2">
      <c r="A242" s="196"/>
      <c r="B242" s="196"/>
      <c r="C242" s="196"/>
      <c r="D242" s="196"/>
      <c r="E242" s="196"/>
      <c r="F242" s="196"/>
      <c r="AG242" s="200"/>
      <c r="BH242" s="200"/>
      <c r="CI242" s="200"/>
      <c r="DJ242" s="200"/>
    </row>
    <row r="243" spans="1:114" ht="15.75" customHeight="1" x14ac:dyDescent="0.2">
      <c r="A243" s="196"/>
      <c r="B243" s="196"/>
      <c r="C243" s="196"/>
      <c r="D243" s="196"/>
      <c r="E243" s="196"/>
      <c r="F243" s="196"/>
      <c r="AG243" s="200"/>
      <c r="BH243" s="200"/>
      <c r="CI243" s="200"/>
      <c r="DJ243" s="200"/>
    </row>
    <row r="244" spans="1:114" ht="15.75" customHeight="1" x14ac:dyDescent="0.15">
      <c r="A244" s="196"/>
      <c r="B244" s="196"/>
      <c r="C244" s="196"/>
      <c r="D244" s="196"/>
      <c r="E244" s="196"/>
      <c r="F244" s="196"/>
      <c r="AG244" s="12"/>
      <c r="BH244" s="12"/>
      <c r="CI244" s="12"/>
      <c r="DJ244" s="12"/>
    </row>
    <row r="245" spans="1:114" ht="15.75" customHeight="1" x14ac:dyDescent="0.15">
      <c r="A245" s="196"/>
      <c r="B245" s="196"/>
      <c r="C245" s="196"/>
      <c r="D245" s="196"/>
      <c r="E245" s="196"/>
      <c r="F245" s="196"/>
      <c r="AG245" s="12"/>
      <c r="BH245" s="12"/>
      <c r="CI245" s="12"/>
      <c r="DJ245" s="12"/>
    </row>
    <row r="246" spans="1:114" ht="15.75" customHeight="1" x14ac:dyDescent="0.15">
      <c r="A246" s="196"/>
      <c r="B246" s="196"/>
      <c r="C246" s="196"/>
      <c r="D246" s="196"/>
      <c r="E246" s="196"/>
      <c r="F246" s="196"/>
      <c r="AG246" s="12"/>
      <c r="BH246" s="12"/>
      <c r="CI246" s="12"/>
      <c r="DJ246" s="12"/>
    </row>
    <row r="247" spans="1:114" ht="15.75" customHeight="1" x14ac:dyDescent="0.15">
      <c r="A247" s="196"/>
      <c r="B247" s="196"/>
      <c r="C247" s="196"/>
      <c r="D247" s="196"/>
      <c r="E247" s="196"/>
      <c r="F247" s="196"/>
      <c r="AG247" s="12"/>
      <c r="BH247" s="12"/>
      <c r="CI247" s="12"/>
      <c r="DJ247" s="12"/>
    </row>
    <row r="248" spans="1:114" ht="15.75" customHeight="1" x14ac:dyDescent="0.15">
      <c r="A248" s="196"/>
      <c r="B248" s="196"/>
      <c r="C248" s="196"/>
      <c r="D248" s="196"/>
      <c r="E248" s="196"/>
      <c r="F248" s="196"/>
      <c r="AG248" s="12"/>
      <c r="BH248" s="12"/>
      <c r="CI248" s="12"/>
      <c r="DJ248" s="12"/>
    </row>
    <row r="249" spans="1:114" ht="15.75" customHeight="1" x14ac:dyDescent="0.15">
      <c r="A249" s="196"/>
      <c r="B249" s="196"/>
      <c r="C249" s="196"/>
      <c r="D249" s="196"/>
      <c r="E249" s="196"/>
      <c r="F249" s="196"/>
      <c r="AG249" s="12"/>
      <c r="BH249" s="12"/>
      <c r="CI249" s="12"/>
      <c r="DJ249" s="12"/>
    </row>
    <row r="250" spans="1:114" ht="15.75" customHeight="1" x14ac:dyDescent="0.15">
      <c r="A250" s="196"/>
      <c r="B250" s="196"/>
      <c r="C250" s="196"/>
      <c r="D250" s="196"/>
      <c r="E250" s="196"/>
      <c r="F250" s="196"/>
      <c r="AG250" s="12"/>
      <c r="BH250" s="12"/>
      <c r="CI250" s="12"/>
      <c r="DJ250" s="12"/>
    </row>
    <row r="251" spans="1:114" ht="15.75" customHeight="1" x14ac:dyDescent="0.15">
      <c r="A251" s="196"/>
      <c r="B251" s="196"/>
      <c r="C251" s="196"/>
      <c r="D251" s="196"/>
      <c r="E251" s="196"/>
      <c r="F251" s="196"/>
      <c r="AG251" s="12"/>
      <c r="BH251" s="12"/>
      <c r="CI251" s="12"/>
      <c r="DJ251" s="12"/>
    </row>
    <row r="252" spans="1:114" ht="15.75" customHeight="1" x14ac:dyDescent="0.15">
      <c r="A252" s="196"/>
      <c r="B252" s="196"/>
      <c r="C252" s="196"/>
      <c r="D252" s="196"/>
      <c r="E252" s="196"/>
      <c r="F252" s="196"/>
      <c r="AG252" s="12"/>
      <c r="BH252" s="12"/>
      <c r="CI252" s="12"/>
      <c r="DJ252" s="12"/>
    </row>
    <row r="253" spans="1:114" ht="15.75" customHeight="1" x14ac:dyDescent="0.15">
      <c r="A253" s="196"/>
      <c r="B253" s="196"/>
      <c r="C253" s="196"/>
      <c r="D253" s="196"/>
      <c r="E253" s="196"/>
      <c r="F253" s="196"/>
      <c r="AG253" s="12"/>
      <c r="BH253" s="12"/>
      <c r="CI253" s="12"/>
      <c r="DJ253" s="12"/>
    </row>
    <row r="254" spans="1:114" ht="15.75" customHeight="1" x14ac:dyDescent="0.15">
      <c r="A254" s="196"/>
      <c r="B254" s="196"/>
      <c r="C254" s="196"/>
      <c r="D254" s="196"/>
      <c r="E254" s="196"/>
      <c r="F254" s="196"/>
      <c r="AG254" s="12"/>
      <c r="BH254" s="12"/>
      <c r="CI254" s="12"/>
      <c r="DJ254" s="12"/>
    </row>
    <row r="255" spans="1:114" ht="15.75" customHeight="1" x14ac:dyDescent="0.15">
      <c r="A255" s="196"/>
      <c r="B255" s="196"/>
      <c r="C255" s="196"/>
      <c r="D255" s="196"/>
      <c r="E255" s="196"/>
      <c r="F255" s="196"/>
      <c r="AG255" s="12"/>
      <c r="BH255" s="12"/>
      <c r="CI255" s="12"/>
      <c r="DJ255" s="12"/>
    </row>
    <row r="256" spans="1:114" ht="15.75" customHeight="1" x14ac:dyDescent="0.15">
      <c r="A256" s="196"/>
      <c r="B256" s="196"/>
      <c r="C256" s="196"/>
      <c r="D256" s="196"/>
      <c r="E256" s="196"/>
      <c r="F256" s="196"/>
      <c r="AG256" s="12"/>
      <c r="BH256" s="12"/>
      <c r="CI256" s="12"/>
      <c r="DJ256" s="12"/>
    </row>
    <row r="257" spans="1:114" ht="15.75" customHeight="1" x14ac:dyDescent="0.15">
      <c r="A257" s="196"/>
      <c r="B257" s="196"/>
      <c r="C257" s="196"/>
      <c r="D257" s="196"/>
      <c r="E257" s="196"/>
      <c r="F257" s="196"/>
      <c r="AG257" s="12"/>
      <c r="BH257" s="12"/>
      <c r="CI257" s="12"/>
      <c r="DJ257" s="12"/>
    </row>
    <row r="258" spans="1:114" ht="15.75" customHeight="1" x14ac:dyDescent="0.15">
      <c r="A258" s="196"/>
      <c r="B258" s="196"/>
      <c r="C258" s="196"/>
      <c r="D258" s="196"/>
      <c r="E258" s="196"/>
      <c r="F258" s="196"/>
      <c r="AG258" s="12"/>
      <c r="BH258" s="12"/>
      <c r="CI258" s="12"/>
      <c r="DJ258" s="12"/>
    </row>
    <row r="259" spans="1:114" ht="15.75" customHeight="1" x14ac:dyDescent="0.15">
      <c r="A259" s="196"/>
      <c r="B259" s="196"/>
      <c r="C259" s="196"/>
      <c r="D259" s="196"/>
      <c r="E259" s="196"/>
      <c r="F259" s="196"/>
      <c r="AG259" s="12"/>
      <c r="BH259" s="12"/>
      <c r="CI259" s="12"/>
      <c r="DJ259" s="12"/>
    </row>
    <row r="260" spans="1:114" ht="15.75" customHeight="1" x14ac:dyDescent="0.15">
      <c r="A260" s="196"/>
      <c r="B260" s="196"/>
      <c r="C260" s="196"/>
      <c r="D260" s="196"/>
      <c r="E260" s="196"/>
      <c r="F260" s="196"/>
      <c r="AG260" s="12"/>
      <c r="BH260" s="12"/>
      <c r="CI260" s="12"/>
      <c r="DJ260" s="12"/>
    </row>
    <row r="261" spans="1:114" ht="15.75" customHeight="1" x14ac:dyDescent="0.15">
      <c r="A261" s="196"/>
      <c r="B261" s="196"/>
      <c r="C261" s="196"/>
      <c r="D261" s="196"/>
      <c r="E261" s="196"/>
      <c r="F261" s="196"/>
      <c r="AG261" s="12"/>
      <c r="BH261" s="12"/>
      <c r="CI261" s="12"/>
      <c r="DJ261" s="12"/>
    </row>
    <row r="262" spans="1:114" ht="15.75" customHeight="1" x14ac:dyDescent="0.15">
      <c r="A262" s="196"/>
      <c r="B262" s="196"/>
      <c r="C262" s="196"/>
      <c r="D262" s="196"/>
      <c r="E262" s="196"/>
      <c r="F262" s="196"/>
      <c r="AG262" s="12"/>
      <c r="BH262" s="12"/>
      <c r="CI262" s="12"/>
      <c r="DJ262" s="12"/>
    </row>
    <row r="263" spans="1:114" ht="15.75" customHeight="1" x14ac:dyDescent="0.15">
      <c r="A263" s="196"/>
      <c r="B263" s="196"/>
      <c r="C263" s="196"/>
      <c r="D263" s="196"/>
      <c r="E263" s="196"/>
      <c r="F263" s="196"/>
      <c r="AG263" s="12"/>
      <c r="BH263" s="12"/>
      <c r="CI263" s="12"/>
      <c r="DJ263" s="12"/>
    </row>
    <row r="264" spans="1:114" ht="15.75" customHeight="1" x14ac:dyDescent="0.15">
      <c r="A264" s="196"/>
      <c r="B264" s="196"/>
      <c r="C264" s="196"/>
      <c r="D264" s="196"/>
      <c r="E264" s="196"/>
      <c r="F264" s="196"/>
      <c r="AG264" s="12"/>
      <c r="BH264" s="12"/>
      <c r="CI264" s="12"/>
      <c r="DJ264" s="12"/>
    </row>
    <row r="265" spans="1:114" ht="15.75" customHeight="1" x14ac:dyDescent="0.15">
      <c r="A265" s="196"/>
      <c r="B265" s="196"/>
      <c r="C265" s="196"/>
      <c r="D265" s="196"/>
      <c r="E265" s="196"/>
      <c r="F265" s="196"/>
      <c r="AG265" s="12"/>
      <c r="BH265" s="12"/>
      <c r="CI265" s="12"/>
      <c r="DJ265" s="12"/>
    </row>
    <row r="266" spans="1:114" ht="15.75" customHeight="1" x14ac:dyDescent="0.15">
      <c r="A266" s="196"/>
      <c r="B266" s="196"/>
      <c r="C266" s="196"/>
      <c r="D266" s="196"/>
      <c r="E266" s="196"/>
      <c r="F266" s="196"/>
      <c r="AG266" s="12"/>
      <c r="BH266" s="12"/>
      <c r="CI266" s="12"/>
      <c r="DJ266" s="12"/>
    </row>
    <row r="267" spans="1:114" ht="15.75" customHeight="1" x14ac:dyDescent="0.15">
      <c r="A267" s="196"/>
      <c r="B267" s="196"/>
      <c r="C267" s="196"/>
      <c r="D267" s="196"/>
      <c r="E267" s="196"/>
      <c r="F267" s="196"/>
      <c r="AG267" s="12"/>
      <c r="BH267" s="12"/>
      <c r="CI267" s="12"/>
      <c r="DJ267" s="12"/>
    </row>
    <row r="268" spans="1:114" ht="15.75" customHeight="1" x14ac:dyDescent="0.15">
      <c r="A268" s="196"/>
      <c r="B268" s="196"/>
      <c r="C268" s="196"/>
      <c r="D268" s="196"/>
      <c r="E268" s="196"/>
      <c r="F268" s="196"/>
      <c r="AG268" s="12"/>
      <c r="BH268" s="12"/>
      <c r="CI268" s="12"/>
      <c r="DJ268" s="12"/>
    </row>
    <row r="269" spans="1:114" ht="15.75" customHeight="1" x14ac:dyDescent="0.15">
      <c r="A269" s="196"/>
      <c r="B269" s="196"/>
      <c r="C269" s="196"/>
      <c r="D269" s="196"/>
      <c r="E269" s="196"/>
      <c r="F269" s="196"/>
      <c r="AG269" s="12"/>
      <c r="BH269" s="12"/>
      <c r="CI269" s="12"/>
      <c r="DJ269" s="12"/>
    </row>
    <row r="270" spans="1:114" ht="15.75" customHeight="1" x14ac:dyDescent="0.15">
      <c r="A270" s="196"/>
      <c r="B270" s="196"/>
      <c r="C270" s="196"/>
      <c r="D270" s="196"/>
      <c r="E270" s="196"/>
      <c r="F270" s="196"/>
      <c r="AG270" s="12"/>
      <c r="BH270" s="12"/>
      <c r="CI270" s="12"/>
      <c r="DJ270" s="12"/>
    </row>
    <row r="271" spans="1:114" ht="15.75" customHeight="1" x14ac:dyDescent="0.15">
      <c r="A271" s="196"/>
      <c r="B271" s="196"/>
      <c r="C271" s="196"/>
      <c r="D271" s="196"/>
      <c r="E271" s="196"/>
      <c r="F271" s="196"/>
      <c r="AG271" s="12"/>
      <c r="BH271" s="12"/>
      <c r="CI271" s="12"/>
      <c r="DJ271" s="12"/>
    </row>
    <row r="272" spans="1:114" ht="15.75" customHeight="1" x14ac:dyDescent="0.15">
      <c r="A272" s="196"/>
      <c r="B272" s="196"/>
      <c r="C272" s="196"/>
      <c r="D272" s="196"/>
      <c r="E272" s="196"/>
      <c r="F272" s="196"/>
      <c r="AG272" s="12"/>
      <c r="BH272" s="12"/>
      <c r="CI272" s="12"/>
      <c r="DJ272" s="12"/>
    </row>
    <row r="273" spans="1:114" ht="15.75" customHeight="1" x14ac:dyDescent="0.15">
      <c r="A273" s="196"/>
      <c r="B273" s="196"/>
      <c r="C273" s="196"/>
      <c r="D273" s="196"/>
      <c r="E273" s="196"/>
      <c r="F273" s="196"/>
      <c r="AG273" s="12"/>
      <c r="BH273" s="12"/>
      <c r="CI273" s="12"/>
      <c r="DJ273" s="12"/>
    </row>
    <row r="274" spans="1:114" ht="15.75" customHeight="1" x14ac:dyDescent="0.2">
      <c r="A274" s="196"/>
      <c r="B274" s="196"/>
      <c r="C274" s="196"/>
      <c r="D274" s="196"/>
      <c r="E274" s="196"/>
      <c r="F274" s="196"/>
      <c r="AG274" s="200"/>
      <c r="BH274" s="200"/>
      <c r="CI274" s="200"/>
      <c r="DJ274" s="200"/>
    </row>
    <row r="275" spans="1:114" ht="15.75" customHeight="1" x14ac:dyDescent="0.15">
      <c r="A275" s="38"/>
      <c r="B275" s="38"/>
      <c r="C275" s="38"/>
      <c r="D275" s="38"/>
      <c r="E275" s="38"/>
      <c r="F275" s="38"/>
      <c r="AG275" s="2"/>
      <c r="BH275" s="2"/>
      <c r="CI275" s="2"/>
      <c r="DJ275" s="2"/>
    </row>
    <row r="276" spans="1:114" ht="15.75" customHeight="1" x14ac:dyDescent="0.15">
      <c r="A276" s="187"/>
      <c r="B276" s="187"/>
      <c r="C276" s="187"/>
      <c r="D276" s="187"/>
      <c r="E276" s="187"/>
      <c r="F276" s="187"/>
      <c r="AG276" s="12"/>
      <c r="BH276" s="12"/>
      <c r="CI276" s="12"/>
      <c r="DJ276" s="12"/>
    </row>
    <row r="277" spans="1:114" ht="15.75" customHeight="1" x14ac:dyDescent="0.15">
      <c r="A277" s="191"/>
      <c r="B277" s="191"/>
      <c r="C277" s="191"/>
      <c r="D277" s="191"/>
      <c r="E277" s="191"/>
      <c r="F277" s="191"/>
      <c r="AG277" s="193"/>
      <c r="BH277" s="193"/>
      <c r="CI277" s="193"/>
      <c r="DJ277" s="193"/>
    </row>
    <row r="278" spans="1:114" ht="15.75" customHeight="1" x14ac:dyDescent="0.2">
      <c r="A278" s="196"/>
      <c r="B278" s="196"/>
      <c r="C278" s="196"/>
      <c r="D278" s="196"/>
      <c r="E278" s="196"/>
      <c r="F278" s="196"/>
      <c r="AG278" s="200"/>
      <c r="BH278" s="200"/>
      <c r="CI278" s="200"/>
      <c r="DJ278" s="200"/>
    </row>
    <row r="279" spans="1:114" ht="15.75" customHeight="1" x14ac:dyDescent="0.2">
      <c r="A279" s="196"/>
      <c r="B279" s="196"/>
      <c r="C279" s="196"/>
      <c r="D279" s="196"/>
      <c r="E279" s="196"/>
      <c r="F279" s="196"/>
      <c r="AG279" s="200"/>
      <c r="BH279" s="200"/>
      <c r="CI279" s="200"/>
      <c r="DJ279" s="200"/>
    </row>
    <row r="280" spans="1:114" ht="15.75" customHeight="1" x14ac:dyDescent="0.2">
      <c r="A280" s="196"/>
      <c r="B280" s="196"/>
      <c r="C280" s="196"/>
      <c r="D280" s="196"/>
      <c r="E280" s="196"/>
      <c r="F280" s="196"/>
      <c r="AG280" s="200"/>
      <c r="BH280" s="200"/>
      <c r="CI280" s="200"/>
      <c r="DJ280" s="200"/>
    </row>
    <row r="281" spans="1:114" ht="15.75" customHeight="1" x14ac:dyDescent="0.2">
      <c r="A281" s="196"/>
      <c r="B281" s="196"/>
      <c r="C281" s="196"/>
      <c r="D281" s="196"/>
      <c r="E281" s="196"/>
      <c r="F281" s="196"/>
      <c r="AG281" s="200"/>
      <c r="BH281" s="200"/>
      <c r="CI281" s="200"/>
      <c r="DJ281" s="200"/>
    </row>
    <row r="282" spans="1:114" ht="15.75" customHeight="1" x14ac:dyDescent="0.2">
      <c r="A282" s="196"/>
      <c r="B282" s="196"/>
      <c r="C282" s="196"/>
      <c r="D282" s="196"/>
      <c r="E282" s="196"/>
      <c r="F282" s="196"/>
      <c r="AG282" s="200"/>
      <c r="BH282" s="200"/>
      <c r="CI282" s="200"/>
      <c r="DJ282" s="200"/>
    </row>
    <row r="283" spans="1:114" ht="15.75" customHeight="1" x14ac:dyDescent="0.2">
      <c r="A283" s="196"/>
      <c r="B283" s="196"/>
      <c r="C283" s="196"/>
      <c r="D283" s="196"/>
      <c r="E283" s="196"/>
      <c r="F283" s="196"/>
      <c r="AG283" s="200"/>
      <c r="BH283" s="200"/>
      <c r="CI283" s="200"/>
      <c r="DJ283" s="200"/>
    </row>
    <row r="284" spans="1:114" ht="15.75" customHeight="1" x14ac:dyDescent="0.2">
      <c r="A284" s="196"/>
      <c r="B284" s="196"/>
      <c r="C284" s="196"/>
      <c r="D284" s="196"/>
      <c r="E284" s="196"/>
      <c r="F284" s="196"/>
      <c r="AG284" s="200"/>
      <c r="BH284" s="200"/>
      <c r="CI284" s="200"/>
      <c r="DJ284" s="200"/>
    </row>
    <row r="285" spans="1:114" ht="15.75" customHeight="1" x14ac:dyDescent="0.2">
      <c r="A285" s="196"/>
      <c r="B285" s="196"/>
      <c r="C285" s="196"/>
      <c r="D285" s="196"/>
      <c r="E285" s="196"/>
      <c r="F285" s="196"/>
      <c r="AG285" s="200"/>
      <c r="BH285" s="200"/>
      <c r="CI285" s="200"/>
      <c r="DJ285" s="200"/>
    </row>
    <row r="286" spans="1:114" ht="15.75" customHeight="1" x14ac:dyDescent="0.2">
      <c r="A286" s="196"/>
      <c r="B286" s="196"/>
      <c r="C286" s="196"/>
      <c r="D286" s="196"/>
      <c r="E286" s="196"/>
      <c r="F286" s="196"/>
      <c r="AG286" s="200"/>
      <c r="BH286" s="200"/>
      <c r="CI286" s="200"/>
      <c r="DJ286" s="200"/>
    </row>
    <row r="287" spans="1:114" ht="15.75" customHeight="1" x14ac:dyDescent="0.2">
      <c r="A287" s="196"/>
      <c r="B287" s="196"/>
      <c r="C287" s="196"/>
      <c r="D287" s="196"/>
      <c r="E287" s="196"/>
      <c r="F287" s="196"/>
      <c r="AG287" s="200"/>
      <c r="BH287" s="200"/>
      <c r="CI287" s="200"/>
      <c r="DJ287" s="200"/>
    </row>
    <row r="288" spans="1:114" ht="15.75" customHeight="1" x14ac:dyDescent="0.15">
      <c r="A288" s="196"/>
      <c r="B288" s="196"/>
      <c r="C288" s="196"/>
      <c r="D288" s="196"/>
      <c r="E288" s="196"/>
      <c r="F288" s="196"/>
      <c r="AG288" s="12"/>
      <c r="BH288" s="12"/>
      <c r="CI288" s="12"/>
      <c r="DJ288" s="12"/>
    </row>
    <row r="289" spans="1:114" ht="15.75" customHeight="1" x14ac:dyDescent="0.2">
      <c r="A289" s="196"/>
      <c r="B289" s="196"/>
      <c r="C289" s="196"/>
      <c r="D289" s="196"/>
      <c r="E289" s="196"/>
      <c r="F289" s="196"/>
      <c r="AG289" s="200"/>
      <c r="BH289" s="200"/>
      <c r="CI289" s="200"/>
      <c r="DJ289" s="200"/>
    </row>
    <row r="290" spans="1:114" ht="15.75" customHeight="1" x14ac:dyDescent="0.2">
      <c r="A290" s="196"/>
      <c r="B290" s="196"/>
      <c r="C290" s="196"/>
      <c r="D290" s="196"/>
      <c r="E290" s="196"/>
      <c r="F290" s="196"/>
      <c r="AG290" s="200"/>
      <c r="BH290" s="200"/>
      <c r="CI290" s="200"/>
      <c r="DJ290" s="200"/>
    </row>
    <row r="291" spans="1:114" ht="15.75" customHeight="1" x14ac:dyDescent="0.2">
      <c r="A291" s="196"/>
      <c r="B291" s="196"/>
      <c r="C291" s="196"/>
      <c r="D291" s="196"/>
      <c r="E291" s="196"/>
      <c r="F291" s="196"/>
      <c r="AG291" s="200"/>
      <c r="BH291" s="200"/>
      <c r="CI291" s="200"/>
      <c r="DJ291" s="200"/>
    </row>
    <row r="292" spans="1:114" ht="15.75" customHeight="1" x14ac:dyDescent="0.2">
      <c r="A292" s="196"/>
      <c r="B292" s="196"/>
      <c r="C292" s="196"/>
      <c r="D292" s="196"/>
      <c r="E292" s="196"/>
      <c r="F292" s="196"/>
      <c r="AG292" s="200"/>
      <c r="BH292" s="200"/>
      <c r="CI292" s="200"/>
      <c r="DJ292" s="200"/>
    </row>
    <row r="293" spans="1:114" ht="15.75" customHeight="1" x14ac:dyDescent="0.2">
      <c r="A293" s="196"/>
      <c r="B293" s="196"/>
      <c r="C293" s="196"/>
      <c r="D293" s="196"/>
      <c r="E293" s="196"/>
      <c r="F293" s="196"/>
      <c r="AG293" s="200"/>
      <c r="BH293" s="200"/>
      <c r="CI293" s="200"/>
      <c r="DJ293" s="200"/>
    </row>
    <row r="294" spans="1:114" ht="15.75" customHeight="1" x14ac:dyDescent="0.2">
      <c r="A294" s="196"/>
      <c r="B294" s="196"/>
      <c r="C294" s="196"/>
      <c r="D294" s="196"/>
      <c r="E294" s="196"/>
      <c r="F294" s="196"/>
      <c r="AG294" s="200"/>
      <c r="BH294" s="200"/>
      <c r="CI294" s="200"/>
      <c r="DJ294" s="200"/>
    </row>
    <row r="295" spans="1:114" ht="15.75" customHeight="1" x14ac:dyDescent="0.2">
      <c r="A295" s="196"/>
      <c r="B295" s="196"/>
      <c r="C295" s="196"/>
      <c r="D295" s="196"/>
      <c r="E295" s="196"/>
      <c r="F295" s="196"/>
      <c r="AG295" s="200"/>
      <c r="BH295" s="200"/>
      <c r="CI295" s="200"/>
      <c r="DJ295" s="200"/>
    </row>
    <row r="296" spans="1:114" ht="15.75" customHeight="1" x14ac:dyDescent="0.2">
      <c r="A296" s="196"/>
      <c r="B296" s="196"/>
      <c r="C296" s="196"/>
      <c r="D296" s="196"/>
      <c r="E296" s="196"/>
      <c r="F296" s="196"/>
      <c r="AG296" s="200"/>
      <c r="BH296" s="200"/>
      <c r="CI296" s="200"/>
      <c r="DJ296" s="200"/>
    </row>
    <row r="297" spans="1:114" ht="15.75" customHeight="1" x14ac:dyDescent="0.2">
      <c r="A297" s="196"/>
      <c r="B297" s="196"/>
      <c r="C297" s="196"/>
      <c r="D297" s="196"/>
      <c r="E297" s="196"/>
      <c r="F297" s="196"/>
      <c r="AG297" s="200"/>
      <c r="BH297" s="200"/>
      <c r="CI297" s="200"/>
      <c r="DJ297" s="200"/>
    </row>
    <row r="298" spans="1:114" ht="15.75" customHeight="1" x14ac:dyDescent="0.2">
      <c r="A298" s="196"/>
      <c r="B298" s="196"/>
      <c r="C298" s="196"/>
      <c r="D298" s="196"/>
      <c r="E298" s="196"/>
      <c r="F298" s="196"/>
      <c r="AG298" s="200"/>
      <c r="BH298" s="200"/>
      <c r="CI298" s="200"/>
      <c r="DJ298" s="200"/>
    </row>
    <row r="299" spans="1:114" ht="15.75" customHeight="1" x14ac:dyDescent="0.2">
      <c r="A299" s="196"/>
      <c r="B299" s="196"/>
      <c r="C299" s="196"/>
      <c r="D299" s="196"/>
      <c r="E299" s="196"/>
      <c r="F299" s="196"/>
      <c r="AG299" s="200"/>
      <c r="BH299" s="200"/>
      <c r="CI299" s="200"/>
      <c r="DJ299" s="200"/>
    </row>
    <row r="300" spans="1:114" ht="15.75" customHeight="1" x14ac:dyDescent="0.15">
      <c r="A300" s="187"/>
      <c r="B300" s="187"/>
      <c r="C300" s="187"/>
      <c r="D300" s="187"/>
      <c r="E300" s="187"/>
      <c r="F300" s="187"/>
      <c r="AG300" s="12"/>
      <c r="BH300" s="12"/>
      <c r="CI300" s="12"/>
      <c r="DJ300" s="12"/>
    </row>
    <row r="301" spans="1:114" ht="15.75" customHeight="1" x14ac:dyDescent="0.15">
      <c r="A301" s="191"/>
      <c r="B301" s="191"/>
      <c r="C301" s="191"/>
      <c r="D301" s="191"/>
      <c r="E301" s="191"/>
      <c r="F301" s="191"/>
      <c r="AG301" s="193"/>
      <c r="BH301" s="193"/>
      <c r="CI301" s="193"/>
      <c r="DJ301" s="193"/>
    </row>
    <row r="302" spans="1:114" ht="15.75" customHeight="1" x14ac:dyDescent="0.2">
      <c r="A302" s="196"/>
      <c r="B302" s="196"/>
      <c r="C302" s="196"/>
      <c r="D302" s="196"/>
      <c r="E302" s="196"/>
      <c r="F302" s="196"/>
      <c r="AG302" s="200"/>
      <c r="BH302" s="200"/>
      <c r="CI302" s="200"/>
      <c r="DJ302" s="200"/>
    </row>
    <row r="303" spans="1:114" ht="15.75" customHeight="1" x14ac:dyDescent="0.15">
      <c r="A303" s="196"/>
      <c r="B303" s="196"/>
      <c r="C303" s="196"/>
      <c r="D303" s="196"/>
      <c r="E303" s="196"/>
      <c r="F303" s="196"/>
      <c r="AG303" s="12"/>
      <c r="BH303" s="12"/>
      <c r="CI303" s="12"/>
      <c r="DJ303" s="12"/>
    </row>
    <row r="304" spans="1:114" ht="15.75" customHeight="1" x14ac:dyDescent="0.2">
      <c r="A304" s="196"/>
      <c r="B304" s="196"/>
      <c r="C304" s="196"/>
      <c r="D304" s="196"/>
      <c r="E304" s="196"/>
      <c r="F304" s="196"/>
      <c r="AG304" s="200"/>
      <c r="BH304" s="200"/>
      <c r="CI304" s="200"/>
      <c r="DJ304" s="200"/>
    </row>
    <row r="305" spans="1:114" ht="15.75" customHeight="1" x14ac:dyDescent="0.2">
      <c r="A305" s="196"/>
      <c r="B305" s="196"/>
      <c r="C305" s="196"/>
      <c r="D305" s="196"/>
      <c r="E305" s="196"/>
      <c r="F305" s="196"/>
      <c r="AG305" s="200"/>
      <c r="BH305" s="200"/>
      <c r="CI305" s="200"/>
      <c r="DJ305" s="200"/>
    </row>
    <row r="306" spans="1:114" ht="15.75" customHeight="1" x14ac:dyDescent="0.2">
      <c r="A306" s="196"/>
      <c r="B306" s="196"/>
      <c r="C306" s="196"/>
      <c r="D306" s="196"/>
      <c r="E306" s="196"/>
      <c r="F306" s="196"/>
      <c r="AG306" s="200"/>
      <c r="BH306" s="200"/>
      <c r="CI306" s="200"/>
      <c r="DJ306" s="200"/>
    </row>
    <row r="307" spans="1:114" ht="15.75" customHeight="1" x14ac:dyDescent="0.2">
      <c r="A307" s="196"/>
      <c r="B307" s="196"/>
      <c r="C307" s="196"/>
      <c r="D307" s="196"/>
      <c r="E307" s="196"/>
      <c r="F307" s="196"/>
      <c r="AG307" s="200"/>
      <c r="BH307" s="200"/>
      <c r="CI307" s="200"/>
      <c r="DJ307" s="200"/>
    </row>
    <row r="308" spans="1:114" ht="15.75" customHeight="1" x14ac:dyDescent="0.2">
      <c r="A308" s="196"/>
      <c r="B308" s="196"/>
      <c r="C308" s="196"/>
      <c r="D308" s="196"/>
      <c r="E308" s="196"/>
      <c r="F308" s="196"/>
      <c r="AG308" s="200"/>
      <c r="BH308" s="200"/>
      <c r="CI308" s="200"/>
      <c r="DJ308" s="200"/>
    </row>
    <row r="309" spans="1:114" ht="15.75" customHeight="1" x14ac:dyDescent="0.2">
      <c r="A309" s="196"/>
      <c r="B309" s="196"/>
      <c r="C309" s="196"/>
      <c r="D309" s="196"/>
      <c r="E309" s="196"/>
      <c r="F309" s="196"/>
      <c r="AG309" s="200"/>
      <c r="BH309" s="200"/>
      <c r="CI309" s="200"/>
      <c r="DJ309" s="200"/>
    </row>
    <row r="310" spans="1:114" ht="15.75" customHeight="1" x14ac:dyDescent="0.2">
      <c r="A310" s="196"/>
      <c r="B310" s="196"/>
      <c r="C310" s="196"/>
      <c r="D310" s="196"/>
      <c r="E310" s="196"/>
      <c r="F310" s="196"/>
      <c r="AG310" s="200"/>
      <c r="BH310" s="200"/>
      <c r="CI310" s="200"/>
      <c r="DJ310" s="200"/>
    </row>
    <row r="311" spans="1:114" ht="15.75" customHeight="1" x14ac:dyDescent="0.2">
      <c r="A311" s="196"/>
      <c r="B311" s="196"/>
      <c r="C311" s="196"/>
      <c r="D311" s="196"/>
      <c r="E311" s="196"/>
      <c r="F311" s="196"/>
      <c r="AG311" s="200"/>
      <c r="BH311" s="200"/>
      <c r="CI311" s="200"/>
      <c r="DJ311" s="200"/>
    </row>
    <row r="312" spans="1:114" ht="15.75" customHeight="1" x14ac:dyDescent="0.2">
      <c r="A312" s="196"/>
      <c r="B312" s="196"/>
      <c r="C312" s="196"/>
      <c r="D312" s="196"/>
      <c r="E312" s="196"/>
      <c r="F312" s="196"/>
      <c r="AG312" s="200"/>
      <c r="BH312" s="200"/>
      <c r="CI312" s="200"/>
      <c r="DJ312" s="200"/>
    </row>
    <row r="313" spans="1:114" ht="15.75" customHeight="1" x14ac:dyDescent="0.2">
      <c r="A313" s="196"/>
      <c r="B313" s="196"/>
      <c r="C313" s="196"/>
      <c r="D313" s="196"/>
      <c r="E313" s="196"/>
      <c r="F313" s="196"/>
      <c r="AG313" s="200"/>
      <c r="BH313" s="200"/>
      <c r="CI313" s="200"/>
      <c r="DJ313" s="200"/>
    </row>
    <row r="314" spans="1:114" ht="15.75" customHeight="1" x14ac:dyDescent="0.2">
      <c r="A314" s="196"/>
      <c r="B314" s="196"/>
      <c r="C314" s="196"/>
      <c r="D314" s="196"/>
      <c r="E314" s="196"/>
      <c r="F314" s="196"/>
      <c r="AG314" s="200"/>
      <c r="BH314" s="200"/>
      <c r="CI314" s="200"/>
      <c r="DJ314" s="200"/>
    </row>
    <row r="315" spans="1:114" ht="15.75" customHeight="1" x14ac:dyDescent="0.2">
      <c r="A315" s="196"/>
      <c r="B315" s="196"/>
      <c r="C315" s="196"/>
      <c r="D315" s="196"/>
      <c r="E315" s="196"/>
      <c r="F315" s="196"/>
      <c r="AG315" s="200"/>
      <c r="BH315" s="200"/>
      <c r="CI315" s="200"/>
      <c r="DJ315" s="200"/>
    </row>
    <row r="316" spans="1:114" ht="15.75" customHeight="1" x14ac:dyDescent="0.2">
      <c r="A316" s="196"/>
      <c r="B316" s="196"/>
      <c r="C316" s="196"/>
      <c r="D316" s="196"/>
      <c r="E316" s="196"/>
      <c r="F316" s="196"/>
      <c r="AG316" s="200"/>
      <c r="BH316" s="200"/>
      <c r="CI316" s="200"/>
      <c r="DJ316" s="200"/>
    </row>
    <row r="317" spans="1:114" ht="15.75" customHeight="1" x14ac:dyDescent="0.2">
      <c r="A317" s="196"/>
      <c r="B317" s="196"/>
      <c r="C317" s="196"/>
      <c r="D317" s="196"/>
      <c r="E317" s="196"/>
      <c r="F317" s="196"/>
      <c r="AG317" s="200"/>
      <c r="BH317" s="200"/>
      <c r="CI317" s="200"/>
      <c r="DJ317" s="200"/>
    </row>
    <row r="318" spans="1:114" ht="15.75" customHeight="1" x14ac:dyDescent="0.15">
      <c r="A318" s="196"/>
      <c r="B318" s="196"/>
      <c r="C318" s="196"/>
      <c r="D318" s="196"/>
      <c r="E318" s="196"/>
      <c r="F318" s="196"/>
      <c r="AG318" s="12"/>
      <c r="BH318" s="12"/>
      <c r="CI318" s="12"/>
      <c r="DJ318" s="12"/>
    </row>
  </sheetData>
  <hyperlinks>
    <hyperlink ref="AO7" r:id="rId1" xr:uid="{00000000-0004-0000-1500-000000000000}"/>
    <hyperlink ref="BP12" r:id="rId2" xr:uid="{00000000-0004-0000-1500-000001000000}"/>
    <hyperlink ref="CQ22" r:id="rId3" xr:uid="{00000000-0004-0000-1500-000002000000}"/>
    <hyperlink ref="BP33" r:id="rId4" xr:uid="{00000000-0004-0000-1500-000003000000}"/>
    <hyperlink ref="AO46" r:id="rId5" xr:uid="{00000000-0004-0000-1500-000004000000}"/>
    <hyperlink ref="CQ46" r:id="rId6" xr:uid="{00000000-0004-0000-1500-000005000000}"/>
    <hyperlink ref="BP54" r:id="rId7" xr:uid="{00000000-0004-0000-1500-000006000000}"/>
    <hyperlink ref="CQ70" r:id="rId8" xr:uid="{00000000-0004-0000-1500-000007000000}"/>
    <hyperlink ref="AO85" r:id="rId9" xr:uid="{00000000-0004-0000-1500-000008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Summary &amp; Analysis</vt:lpstr>
      <vt:lpstr>PUZZLE&gt;&gt;</vt:lpstr>
      <vt:lpstr>Gardenscapes</vt:lpstr>
      <vt:lpstr>Candy Crush Soda</vt:lpstr>
      <vt:lpstr>Fishdom</vt:lpstr>
      <vt:lpstr>Homescapes</vt:lpstr>
      <vt:lpstr>Matchington Mansion</vt:lpstr>
      <vt:lpstr>SIMS&gt;&gt;</vt:lpstr>
      <vt:lpstr>Hay Day</vt:lpstr>
      <vt:lpstr>Township</vt:lpstr>
      <vt:lpstr>CASINO&gt;&gt;</vt:lpstr>
      <vt:lpstr>Bingo Party</vt:lpstr>
      <vt:lpstr>Cash Frenzy</vt:lpstr>
      <vt:lpstr>Huuuge Casino</vt:lpstr>
      <vt:lpstr>Lotsa Slots</vt:lpstr>
      <vt:lpstr>Scatter Slots</vt:lpstr>
      <vt:lpstr>RPG&gt;&gt;</vt:lpstr>
      <vt:lpstr>AFK Arena</vt:lpstr>
      <vt:lpstr>Empires &amp; Puzzles</vt:lpstr>
      <vt:lpstr>RAID Shadow Legends</vt:lpstr>
      <vt:lpstr>Rise of Kingdoms</vt:lpstr>
      <vt:lpstr>Usage Data (cvs)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Coreen Savage</cp:lastModifiedBy>
  <dcterms:created xsi:type="dcterms:W3CDTF">2020-12-29T20:29:05Z</dcterms:created>
  <dcterms:modified xsi:type="dcterms:W3CDTF">2021-01-04T18:31:22Z</dcterms:modified>
</cp:coreProperties>
</file>